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standardproperty.sharepoint.com/sites/NewConstruction/Shared Documents/California/Buchanan Crossing (Antioch)/2. Accounting &amp; Financing/2. Financing Applications/September 2025 Round/"/>
    </mc:Choice>
  </mc:AlternateContent>
  <xr:revisionPtr revIDLastSave="702" documentId="8_{24B21541-7445-4354-9918-FCFF9A8050B6}" xr6:coauthVersionLast="47" xr6:coauthVersionMax="47" xr10:uidLastSave="{CF2D2763-A1D1-4021-B7D6-D5032752E12D}"/>
  <bookViews>
    <workbookView xWindow="-120" yWindow="-120" windowWidth="29040" windowHeight="15720"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Application_d294b452-2037-4adb-a8ea-8d19852c7139" name="Application" connection="Query - Applicatio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C65" i="4"/>
  <c r="C61" i="4"/>
  <c r="C75" i="4"/>
  <c r="W846" i="3"/>
  <c r="C83" i="4" l="1"/>
  <c r="Q627" i="3"/>
  <c r="AM556" i="3" l="1"/>
  <c r="AG442" i="3"/>
  <c r="AG443" i="3" s="1"/>
  <c r="C47" i="4"/>
  <c r="F90" i="4" l="1"/>
  <c r="F89" i="4"/>
  <c r="F88" i="4"/>
  <c r="F87" i="4"/>
  <c r="F86" i="4"/>
  <c r="F85" i="4"/>
  <c r="F84" i="4"/>
  <c r="F83" i="4"/>
  <c r="F80" i="4"/>
  <c r="F79" i="4"/>
  <c r="F75" i="4"/>
  <c r="F66" i="4"/>
  <c r="F61" i="4"/>
  <c r="F60" i="4"/>
  <c r="F59" i="4"/>
  <c r="F58" i="4"/>
  <c r="F57" i="4"/>
  <c r="F56" i="4"/>
  <c r="F53" i="4"/>
  <c r="F51" i="4"/>
  <c r="F50" i="4"/>
  <c r="F49" i="4"/>
  <c r="F48" i="4"/>
  <c r="F46" i="4"/>
  <c r="F41" i="4"/>
  <c r="F40" i="4"/>
  <c r="F37" i="4"/>
  <c r="F35" i="4"/>
  <c r="F32" i="4"/>
  <c r="F31" i="4"/>
  <c r="E13" i="4"/>
  <c r="E6" i="4"/>
  <c r="E4" i="4"/>
  <c r="F95" i="13"/>
  <c r="F94" i="13"/>
  <c r="F93" i="13"/>
  <c r="F92" i="13"/>
  <c r="F91" i="13"/>
  <c r="F90" i="13"/>
  <c r="F89" i="13"/>
  <c r="F68" i="13"/>
  <c r="F67" i="13"/>
  <c r="F65" i="4"/>
  <c r="C33" i="4"/>
  <c r="F33" i="4" s="1"/>
  <c r="F29" i="4"/>
  <c r="Q488" i="3" l="1"/>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S45" i="21"/>
  <c r="T45" i="21"/>
  <c r="U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B36" i="4"/>
  <c r="B66" i="4"/>
  <c r="B67" i="4"/>
  <c r="B68" i="4"/>
  <c r="B69" i="4"/>
  <c r="R66" i="4"/>
  <c r="S66" i="4" s="1"/>
  <c r="E66" i="13" s="1"/>
  <c r="R67" i="4"/>
  <c r="S67" i="4" s="1"/>
  <c r="E67" i="13" s="1"/>
  <c r="R68" i="4"/>
  <c r="S68" i="4" s="1"/>
  <c r="E68" i="13"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B66" i="13"/>
  <c r="C66" i="13" s="1"/>
  <c r="F66" i="13" s="1"/>
  <c r="B67" i="13"/>
  <c r="B68" i="13"/>
  <c r="B69" i="13"/>
  <c r="C69" i="13" s="1"/>
  <c r="F69" i="13" s="1"/>
  <c r="A53" i="13"/>
  <c r="H36" i="13"/>
  <c r="B36" i="13"/>
  <c r="C36" i="13" s="1"/>
  <c r="F36" i="13" s="1"/>
  <c r="H24" i="13"/>
  <c r="E24" i="13"/>
  <c r="B24" i="13"/>
  <c r="C104" i="4"/>
  <c r="B104" i="13" s="1"/>
  <c r="B99" i="4"/>
  <c r="F99" i="4" s="1"/>
  <c r="F104" i="4"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E91" i="13" s="1"/>
  <c r="R84" i="4"/>
  <c r="S84" i="4" s="1"/>
  <c r="E84" i="13" s="1"/>
  <c r="B59" i="4"/>
  <c r="C80" i="11"/>
  <c r="C81" i="11"/>
  <c r="B80" i="11"/>
  <c r="B81" i="11"/>
  <c r="I96" i="13"/>
  <c r="J96" i="13"/>
  <c r="J81" i="13"/>
  <c r="I81" i="13"/>
  <c r="G81" i="13"/>
  <c r="D81" i="13"/>
  <c r="H80" i="13"/>
  <c r="B80" i="13"/>
  <c r="C80" i="13" s="1"/>
  <c r="F80" i="13" s="1"/>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65" i="13"/>
  <c r="E45" i="13"/>
  <c r="E43" i="13"/>
  <c r="E27" i="13"/>
  <c r="E25" i="13"/>
  <c r="E23" i="13"/>
  <c r="E22" i="13"/>
  <c r="E21" i="13"/>
  <c r="E20" i="13"/>
  <c r="E19" i="13"/>
  <c r="E18" i="13"/>
  <c r="E17" i="13"/>
  <c r="E15" i="13"/>
  <c r="E14" i="13"/>
  <c r="E13" i="13"/>
  <c r="E10" i="13"/>
  <c r="B99" i="13"/>
  <c r="C99" i="13" s="1"/>
  <c r="F99" i="13" s="1"/>
  <c r="F104" i="13" s="1"/>
  <c r="B95" i="13"/>
  <c r="B94" i="13"/>
  <c r="B93" i="13"/>
  <c r="B92" i="13"/>
  <c r="B91" i="13"/>
  <c r="B90" i="13"/>
  <c r="B89" i="13"/>
  <c r="B88" i="13"/>
  <c r="B87" i="13"/>
  <c r="B86" i="13"/>
  <c r="C86" i="13" s="1"/>
  <c r="F86" i="13" s="1"/>
  <c r="B85" i="13"/>
  <c r="C85" i="13" s="1"/>
  <c r="F85" i="13" s="1"/>
  <c r="B84" i="13"/>
  <c r="C84" i="13" s="1"/>
  <c r="F84" i="13" s="1"/>
  <c r="B83" i="13"/>
  <c r="C83" i="13" s="1"/>
  <c r="B79" i="13"/>
  <c r="C79" i="13" s="1"/>
  <c r="F79" i="13" s="1"/>
  <c r="B76" i="13"/>
  <c r="B75" i="13"/>
  <c r="C75" i="13" s="1"/>
  <c r="C77" i="13" s="1"/>
  <c r="B74" i="13"/>
  <c r="B73" i="13"/>
  <c r="B72" i="13"/>
  <c r="B65" i="13"/>
  <c r="C65" i="13" s="1"/>
  <c r="F65" i="13" s="1"/>
  <c r="B61" i="13"/>
  <c r="C61" i="13" s="1"/>
  <c r="B60" i="13"/>
  <c r="B59" i="13"/>
  <c r="B58" i="13"/>
  <c r="B57" i="13"/>
  <c r="B56" i="13"/>
  <c r="C56" i="13" s="1"/>
  <c r="B53" i="13"/>
  <c r="B52" i="13"/>
  <c r="B51" i="13"/>
  <c r="B50" i="13"/>
  <c r="C50" i="13" s="1"/>
  <c r="F50" i="13" s="1"/>
  <c r="B49" i="13"/>
  <c r="C49" i="13" s="1"/>
  <c r="F49" i="13" s="1"/>
  <c r="B48" i="13"/>
  <c r="B47" i="13"/>
  <c r="B46" i="13"/>
  <c r="B45" i="13"/>
  <c r="C45" i="13" s="1"/>
  <c r="B43" i="13"/>
  <c r="C42" i="4"/>
  <c r="B42" i="13" s="1"/>
  <c r="B41" i="13"/>
  <c r="C41" i="13" s="1"/>
  <c r="F41" i="13" s="1"/>
  <c r="B40" i="13"/>
  <c r="C40" i="13" s="1"/>
  <c r="F40" i="13" s="1"/>
  <c r="B37" i="13"/>
  <c r="C37" i="13" s="1"/>
  <c r="F37" i="13" s="1"/>
  <c r="B35" i="13"/>
  <c r="C35" i="13" s="1"/>
  <c r="F35" i="13" s="1"/>
  <c r="B34" i="13"/>
  <c r="C34" i="13" s="1"/>
  <c r="F34" i="13" s="1"/>
  <c r="B33" i="13"/>
  <c r="C33" i="13" s="1"/>
  <c r="F33" i="13" s="1"/>
  <c r="B32" i="13"/>
  <c r="C32" i="13" s="1"/>
  <c r="F32" i="13" s="1"/>
  <c r="B31" i="13"/>
  <c r="C31" i="13" s="1"/>
  <c r="F31" i="13" s="1"/>
  <c r="B30" i="13"/>
  <c r="C30" i="13" s="1"/>
  <c r="F30" i="13" s="1"/>
  <c r="B29" i="13"/>
  <c r="C29" i="13" s="1"/>
  <c r="F29" i="13" s="1"/>
  <c r="B27" i="13"/>
  <c r="B25" i="13"/>
  <c r="B23" i="13"/>
  <c r="B22" i="13"/>
  <c r="B21" i="13"/>
  <c r="B20" i="13"/>
  <c r="B19" i="13"/>
  <c r="B18" i="13"/>
  <c r="B17" i="13"/>
  <c r="B5" i="13"/>
  <c r="B6" i="13"/>
  <c r="B7" i="13"/>
  <c r="C8" i="4"/>
  <c r="B8" i="13" s="1"/>
  <c r="B9" i="13"/>
  <c r="B10" i="13"/>
  <c r="B13" i="13"/>
  <c r="B14" i="13"/>
  <c r="B15" i="13"/>
  <c r="B4"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C8" i="13"/>
  <c r="D8" i="13"/>
  <c r="T104" i="4"/>
  <c r="H104" i="13" s="1"/>
  <c r="R103" i="4"/>
  <c r="R102" i="4"/>
  <c r="R101" i="4"/>
  <c r="R95" i="4"/>
  <c r="S95" i="4" s="1"/>
  <c r="E95" i="13" s="1"/>
  <c r="R94" i="4"/>
  <c r="S94" i="4" s="1"/>
  <c r="E94" i="13" s="1"/>
  <c r="R93" i="4"/>
  <c r="S93" i="4" s="1"/>
  <c r="E93" i="13" s="1"/>
  <c r="R92" i="4"/>
  <c r="S92" i="4" s="1"/>
  <c r="R90" i="4"/>
  <c r="S90" i="4" s="1"/>
  <c r="E90" i="13" s="1"/>
  <c r="R89" i="4"/>
  <c r="S89" i="4" s="1"/>
  <c r="E89" i="13" s="1"/>
  <c r="R88" i="4"/>
  <c r="R87" i="4"/>
  <c r="S87" i="4" s="1"/>
  <c r="E87" i="13" s="1"/>
  <c r="R86" i="4"/>
  <c r="S86" i="4" s="1"/>
  <c r="E86" i="13" s="1"/>
  <c r="R85" i="4"/>
  <c r="S85" i="4" s="1"/>
  <c r="E85" i="13" s="1"/>
  <c r="R83" i="4"/>
  <c r="R76" i="4"/>
  <c r="R75" i="4"/>
  <c r="R72" i="4"/>
  <c r="R73" i="4"/>
  <c r="R74" i="4"/>
  <c r="R69" i="4"/>
  <c r="S69" i="4" s="1"/>
  <c r="E69" i="13" s="1"/>
  <c r="R65" i="4"/>
  <c r="R61" i="4"/>
  <c r="R60" i="4"/>
  <c r="R59" i="4"/>
  <c r="R58" i="4"/>
  <c r="R57" i="4"/>
  <c r="R56" i="4"/>
  <c r="R53" i="4"/>
  <c r="S53" i="4" s="1"/>
  <c r="E53" i="13" s="1"/>
  <c r="R52" i="4"/>
  <c r="S52" i="4" s="1"/>
  <c r="E52" i="13" s="1"/>
  <c r="R51" i="4"/>
  <c r="S51" i="4" s="1"/>
  <c r="E51" i="13" s="1"/>
  <c r="R50" i="4"/>
  <c r="S50" i="4" s="1"/>
  <c r="E50" i="13" s="1"/>
  <c r="R49" i="4"/>
  <c r="S49" i="4" s="1"/>
  <c r="E49" i="13" s="1"/>
  <c r="R48" i="4"/>
  <c r="S48" i="4" s="1"/>
  <c r="E48" i="13" s="1"/>
  <c r="R47" i="4"/>
  <c r="S47" i="4" s="1"/>
  <c r="E47" i="13" s="1"/>
  <c r="R46" i="4"/>
  <c r="S46" i="4" s="1"/>
  <c r="E46" i="13" s="1"/>
  <c r="R45" i="4"/>
  <c r="R43" i="4"/>
  <c r="R41" i="4"/>
  <c r="S41" i="4" s="1"/>
  <c r="E41" i="13" s="1"/>
  <c r="R40" i="4"/>
  <c r="S40" i="4" s="1"/>
  <c r="R37" i="4"/>
  <c r="S37" i="4" s="1"/>
  <c r="E37" i="13" s="1"/>
  <c r="R35" i="4"/>
  <c r="S35" i="4" s="1"/>
  <c r="E35" i="13" s="1"/>
  <c r="R34" i="4"/>
  <c r="S34" i="4" s="1"/>
  <c r="E34" i="13" s="1"/>
  <c r="R33" i="4"/>
  <c r="S33" i="4" s="1"/>
  <c r="E33" i="13" s="1"/>
  <c r="R32" i="4"/>
  <c r="S32" i="4" s="1"/>
  <c r="E32" i="13" s="1"/>
  <c r="R31" i="4"/>
  <c r="S31" i="4" s="1"/>
  <c r="E31"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S42" i="4" l="1"/>
  <c r="E42" i="13" s="1"/>
  <c r="F42" i="13"/>
  <c r="F81" i="13"/>
  <c r="S70" i="4"/>
  <c r="E70" i="13" s="1"/>
  <c r="S96" i="4"/>
  <c r="E96" i="13" s="1"/>
  <c r="B26" i="4"/>
  <c r="C81" i="13"/>
  <c r="D35" i="11"/>
  <c r="R99" i="4"/>
  <c r="S99" i="4" s="1"/>
  <c r="E99" i="13" s="1"/>
  <c r="E40" i="13"/>
  <c r="E92" i="13"/>
  <c r="S104" i="4"/>
  <c r="E104" i="13" s="1"/>
  <c r="S54" i="4"/>
  <c r="E54" i="13" s="1"/>
  <c r="S81" i="4"/>
  <c r="E81" i="13" s="1"/>
  <c r="F70" i="13"/>
  <c r="C62" i="13"/>
  <c r="F96" i="13"/>
  <c r="F38" i="13"/>
  <c r="C42" i="13"/>
  <c r="C70" i="13"/>
  <c r="C96" i="13"/>
  <c r="C104" i="13"/>
  <c r="C47" i="13"/>
  <c r="F47" i="13"/>
  <c r="C48" i="13"/>
  <c r="F48" i="13"/>
  <c r="F51" i="13"/>
  <c r="C51" i="13"/>
  <c r="C52" i="13"/>
  <c r="F52" i="13"/>
  <c r="F53" i="13"/>
  <c r="C53" i="13"/>
  <c r="C46" i="13"/>
  <c r="F46" i="13"/>
  <c r="C38" i="13"/>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E30" i="4" s="1"/>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AJ621" i="20" l="1"/>
  <c r="G94" i="21"/>
  <c r="BA1058" i="3"/>
  <c r="F30" i="4"/>
  <c r="F38" i="4" s="1"/>
  <c r="F63" i="4" s="1"/>
  <c r="F97" i="4" s="1"/>
  <c r="F105" i="4" s="1"/>
  <c r="E38" i="4"/>
  <c r="E63" i="4" s="1"/>
  <c r="E97" i="4" s="1"/>
  <c r="E105" i="4" s="1"/>
  <c r="F54" i="13"/>
  <c r="F63" i="13" s="1"/>
  <c r="F97" i="13" s="1"/>
  <c r="F105" i="13" s="1"/>
  <c r="F107" i="13" s="1"/>
  <c r="C54" i="13"/>
  <c r="C63" i="13" s="1"/>
  <c r="C97" i="13" s="1"/>
  <c r="C105" i="13" s="1"/>
  <c r="D105" i="1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4"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R30" i="4" l="1"/>
  <c r="S30" i="4" s="1"/>
  <c r="R38" i="4"/>
  <c r="R63" i="4" s="1"/>
  <c r="R97" i="4" s="1"/>
  <c r="R105" i="4" s="1"/>
  <c r="O20" i="21"/>
  <c r="O21" i="21"/>
  <c r="P21" i="21" s="1" a="1"/>
  <c r="P21" i="21" s="1"/>
  <c r="S21" i="21" s="1"/>
  <c r="O22" i="21"/>
  <c r="P22" i="21" s="1" a="1"/>
  <c r="P22" i="21" s="1"/>
  <c r="S22" i="21" s="1"/>
  <c r="O25" i="21"/>
  <c r="P25" i="21" s="1" a="1"/>
  <c r="P25" i="21" s="1"/>
  <c r="S25" i="21" s="1"/>
  <c r="O30" i="21"/>
  <c r="P30" i="21" s="1" a="1"/>
  <c r="P30" i="21" s="1"/>
  <c r="S30" i="21" s="1"/>
  <c r="O27" i="21"/>
  <c r="P27" i="21" s="1" a="1"/>
  <c r="P27" i="21" s="1"/>
  <c r="S27" i="21" s="1"/>
  <c r="O26" i="21"/>
  <c r="P26" i="21" s="1" a="1"/>
  <c r="P26" i="21" s="1"/>
  <c r="S26" i="21" s="1"/>
  <c r="O28" i="21"/>
  <c r="P28" i="21" s="1" a="1"/>
  <c r="P28" i="21" s="1"/>
  <c r="S28" i="21" s="1"/>
  <c r="O31" i="21"/>
  <c r="P31" i="21" s="1" a="1"/>
  <c r="P31" i="21" s="1"/>
  <c r="S31" i="21" s="1"/>
  <c r="O23" i="21"/>
  <c r="P23" i="21" s="1" a="1"/>
  <c r="P23" i="21" s="1"/>
  <c r="S23" i="21" s="1"/>
  <c r="O29" i="21"/>
  <c r="P29" i="21" s="1" a="1"/>
  <c r="P29" i="21" s="1"/>
  <c r="S29" i="21" s="1"/>
  <c r="D64" i="11"/>
  <c r="B105" i="4"/>
  <c r="BE101" i="3"/>
  <c r="AK84" i="20"/>
  <c r="AK191" i="20" s="1"/>
  <c r="T811" i="20" s="1"/>
  <c r="AF811" i="20" s="1"/>
  <c r="BE76" i="3" s="1"/>
  <c r="D13" i="11"/>
  <c r="B97" i="13"/>
  <c r="B97" i="4"/>
  <c r="B105" i="13"/>
  <c r="AG269" i="20"/>
  <c r="O58" i="7"/>
  <c r="Q53" i="7"/>
  <c r="T105" i="4"/>
  <c r="H97" i="13"/>
  <c r="P24" i="21" a="1"/>
  <c r="P24" i="21" s="1"/>
  <c r="S24"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E30" i="13"/>
  <c r="S38" i="4"/>
  <c r="AB47" i="15"/>
  <c r="AB49" i="15" s="1"/>
  <c r="AB54" i="15" s="1"/>
  <c r="AB55" i="15" s="1"/>
  <c r="T805" i="20"/>
  <c r="AF805" i="20" s="1"/>
  <c r="BE72" i="3" s="1"/>
  <c r="N185" i="23"/>
  <c r="BE22"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E38" i="13" l="1"/>
  <c r="S63" i="4"/>
  <c r="BE44" i="3"/>
  <c r="F457" i="3"/>
  <c r="AD11" i="15"/>
  <c r="AD23" i="15" s="1"/>
  <c r="AD26" i="15" s="1"/>
  <c r="AD28" i="15" s="1"/>
  <c r="AI11" i="15"/>
  <c r="AI23" i="15" s="1"/>
  <c r="AI26" i="15" s="1"/>
  <c r="AI28" i="15" s="1"/>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E63" i="13" l="1"/>
  <c r="S97" i="4"/>
  <c r="T11" i="15"/>
  <c r="T23" i="15" s="1"/>
  <c r="T26" i="15" s="1"/>
  <c r="T28" i="15" s="1"/>
  <c r="U58" i="7"/>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AZ1046" i="3" l="1"/>
  <c r="S105" i="4"/>
  <c r="E97" i="13"/>
  <c r="G80" i="21"/>
  <c r="E15" i="21" s="1"/>
  <c r="W58" i="7"/>
  <c r="Y53" i="7"/>
  <c r="T24" i="15"/>
  <c r="AP557" i="20"/>
  <c r="AP556" i="20" s="1"/>
  <c r="AP559" i="20" s="1"/>
  <c r="AF552" i="20" s="1"/>
  <c r="K11" i="7"/>
  <c r="K37" i="7" s="1"/>
  <c r="K45" i="7" s="1"/>
  <c r="E66" i="7"/>
  <c r="E67" i="7"/>
  <c r="O5" i="7"/>
  <c r="Q4" i="7"/>
  <c r="M7" i="7"/>
  <c r="M11" i="7" s="1"/>
  <c r="M37" i="7" s="1"/>
  <c r="O6" i="7"/>
  <c r="G67" i="7"/>
  <c r="G62" i="7"/>
  <c r="G66" i="7"/>
  <c r="I48" i="7"/>
  <c r="I60" i="7"/>
  <c r="I47" i="7"/>
  <c r="G101" i="21"/>
  <c r="G113" i="21"/>
  <c r="G97" i="21"/>
  <c r="S22" i="7"/>
  <c r="S35" i="7" s="1"/>
  <c r="U15" i="7"/>
  <c r="U8" i="7"/>
  <c r="S9" i="7"/>
  <c r="BA1056" i="3" l="1"/>
  <c r="AZ1051" i="3"/>
  <c r="BA1055" i="3" s="1"/>
  <c r="BA1059" i="3" s="1"/>
  <c r="E105" i="13"/>
  <c r="S107" i="4"/>
  <c r="AA53" i="7"/>
  <c r="Y58" i="7"/>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456" i="3" l="1"/>
  <c r="AF551" i="20"/>
  <c r="AF553" i="20" s="1"/>
  <c r="AK559" i="20" s="1"/>
  <c r="T818" i="20" s="1"/>
  <c r="AF818" i="20" s="1"/>
  <c r="BE81" i="3" s="1"/>
  <c r="AA1056" i="3"/>
  <c r="AA1057" i="3" s="1"/>
  <c r="G1058" i="3" s="1"/>
  <c r="E107" i="13"/>
  <c r="Y11" i="15" s="1"/>
  <c r="Y23" i="15" s="1"/>
  <c r="AC53" i="7"/>
  <c r="AA58" i="7"/>
  <c r="U4" i="7"/>
  <c r="S5" i="7"/>
  <c r="M48" i="7"/>
  <c r="M47" i="7"/>
  <c r="M60" i="7"/>
  <c r="O45" i="7"/>
  <c r="O49" i="7"/>
  <c r="K66" i="7"/>
  <c r="K67" i="7"/>
  <c r="K62" i="7"/>
  <c r="Q7" i="7"/>
  <c r="Q11" i="7" s="1"/>
  <c r="Q37" i="7" s="1"/>
  <c r="S6" i="7"/>
  <c r="I70" i="7"/>
  <c r="I72" i="7" s="1"/>
  <c r="W22" i="7"/>
  <c r="W35" i="7" s="1"/>
  <c r="Y15" i="7"/>
  <c r="W9" i="7"/>
  <c r="Y8" i="7"/>
  <c r="Y26" i="15" l="1"/>
  <c r="Y28" i="15" s="1"/>
  <c r="Y38" i="15" s="1"/>
  <c r="Y40" i="15" s="1"/>
  <c r="AD38" i="15"/>
  <c r="AD40" i="15" s="1"/>
  <c r="AE53" i="7"/>
  <c r="AC58" i="7"/>
  <c r="U5" i="7"/>
  <c r="W4" i="7"/>
  <c r="Q49" i="7"/>
  <c r="Q45" i="7"/>
  <c r="M62" i="7"/>
  <c r="M67" i="7"/>
  <c r="M66" i="7"/>
  <c r="O47" i="7"/>
  <c r="O48" i="7"/>
  <c r="O60" i="7"/>
  <c r="K70" i="7"/>
  <c r="K72" i="7" s="1"/>
  <c r="S7" i="7"/>
  <c r="S11" i="7" s="1"/>
  <c r="S37" i="7" s="1"/>
  <c r="U6" i="7"/>
  <c r="Y22" i="7"/>
  <c r="Y35" i="7" s="1"/>
  <c r="AA15" i="7"/>
  <c r="Y9" i="7"/>
  <c r="AA8" i="7"/>
  <c r="Y41" i="15" l="1"/>
  <c r="AB56" i="15" s="1"/>
  <c r="M26" i="3" s="1"/>
  <c r="BE19" i="3" s="1"/>
  <c r="Y64" i="15"/>
  <c r="Y68" i="15" s="1"/>
  <c r="Y69" i="15" s="1"/>
  <c r="T29" i="15"/>
  <c r="AG53" i="7"/>
  <c r="AG58" i="7" s="1"/>
  <c r="AE58" i="7"/>
  <c r="M70" i="7"/>
  <c r="M72" i="7" s="1"/>
  <c r="W5" i="7"/>
  <c r="Y4" i="7"/>
  <c r="U7" i="7"/>
  <c r="U11" i="7" s="1"/>
  <c r="U37" i="7" s="1"/>
  <c r="W6" i="7"/>
  <c r="O67" i="7"/>
  <c r="O66" i="7"/>
  <c r="O62" i="7"/>
  <c r="Q60" i="7"/>
  <c r="Q48" i="7"/>
  <c r="Q47" i="7"/>
  <c r="S49" i="7"/>
  <c r="S45" i="7"/>
  <c r="AC15" i="7"/>
  <c r="AA22" i="7"/>
  <c r="AA35" i="7" s="1"/>
  <c r="AC8" i="7"/>
  <c r="AA9" i="7"/>
  <c r="AB57" i="15" l="1"/>
  <c r="AB59" i="15" s="1"/>
  <c r="AB77" i="15" s="1"/>
  <c r="AB78" i="15" s="1"/>
  <c r="AB79" i="15" s="1"/>
  <c r="AB81" i="15" s="1"/>
  <c r="J82" i="15" s="1"/>
  <c r="P204" i="3"/>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48F46D71-605B-4279-BB14-847C07E3E619}">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61C6658-672F-47E0-8E9F-1FD48B2E64BF}" name="Query - Application" description="Connection to the 'Application' query in the workbook." type="100" refreshedVersion="8" minRefreshableVersion="5">
    <extLst>
      <ext xmlns:x15="http://schemas.microsoft.com/office/spreadsheetml/2010/11/main" uri="{DE250136-89BD-433C-8126-D09CA5730AF9}">
        <x15:connection id="df7e5a82-16f7-4e07-86f4-f3ee6d681fe5"/>
      </ext>
    </extLst>
  </connection>
  <connection id="2" xr16:uid="{10F455FE-4F94-4423-8673-F2A514119B71}"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<sst xmlns="http://schemas.openxmlformats.org/spreadsheetml/2006/main" count="5005" uniqueCount="2747">
  <si>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</si>
  <si>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</si>
  <si>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</si>
  <si>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</si>
  <si>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</si>
  <si>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</si>
  <si>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</si>
  <si>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</si>
  <si>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</si>
  <si>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</si>
  <si>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</si>
  <si>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</si>
  <si>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</si>
  <si>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</si>
  <si>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</si>
  <si>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</si>
  <si>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</si>
  <si>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</si>
  <si>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</si>
  <si>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</si>
  <si>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</si>
  <si>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</si>
  <si>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</si>
  <si>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</si>
  <si>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</si>
  <si>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</si>
  <si>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</si>
  <si>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</si>
  <si>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</si>
  <si>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</si>
  <si>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</si>
  <si>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</si>
  <si>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</si>
  <si>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</si>
  <si>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</si>
  <si>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</si>
  <si>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</si>
  <si>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</si>
  <si>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</si>
  <si>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</si>
  <si>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</si>
  <si>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</si>
  <si>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</si>
  <si>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</si>
  <si>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</si>
  <si>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</si>
  <si>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</si>
  <si>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</si>
  <si>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</si>
  <si>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</si>
  <si>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</si>
  <si>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</si>
  <si>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</si>
  <si>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</si>
  <si>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</si>
  <si>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</si>
  <si>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</si>
  <si>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</si>
  <si>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</si>
  <si>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</si>
  <si>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</si>
  <si>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</si>
  <si>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</si>
  <si>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</si>
  <si>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</si>
  <si>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</si>
  <si>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</si>
  <si>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</si>
  <si>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</si>
  <si>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</si>
  <si>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</si>
  <si>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</si>
  <si>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</si>
  <si>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</si>
  <si>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</si>
  <si>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</si>
  <si>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</si>
  <si>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</si>
  <si>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</si>
  <si>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</si>
  <si>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</si>
  <si>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</si>
  <si>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</si>
  <si>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</si>
  <si>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</si>
  <si>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</si>
  <si>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</si>
  <si>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</si>
  <si>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</si>
  <si>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</si>
  <si>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</si>
  <si>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</si>
  <si>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</si>
  <si>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</si>
  <si>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</si>
  <si>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</si>
  <si>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</si>
  <si>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</si>
  <si>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</si>
  <si>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</si>
  <si>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</si>
  <si>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</si>
  <si>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</si>
  <si>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</si>
  <si>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</si>
  <si>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</si>
  <si>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</si>
  <si>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</si>
  <si>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</si>
  <si>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</si>
  <si>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</si>
  <si>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</si>
  <si>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</si>
  <si>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</si>
  <si>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</si>
  <si>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</si>
  <si>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</si>
  <si>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</si>
  <si>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</si>
  <si>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</si>
  <si>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</si>
  <si>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</si>
  <si>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</si>
  <si>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</si>
  <si>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</si>
  <si>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</si>
  <si>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</si>
  <si>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</si>
  <si>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</si>
  <si>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</si>
  <si>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</si>
  <si>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</si>
  <si>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</si>
  <si>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</si>
  <si>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</si>
  <si>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</si>
  <si>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</si>
  <si>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</si>
  <si>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</si>
  <si>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</si>
  <si>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</si>
  <si>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</si>
  <si>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</si>
  <si>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</si>
  <si>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</si>
  <si>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</si>
  <si>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</si>
  <si>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</si>
  <si>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</si>
  <si>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</si>
  <si>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</si>
  <si>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</si>
  <si>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</si>
  <si>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</si>
  <si>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</si>
  <si>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</si>
  <si>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</si>
  <si>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</si>
  <si>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</si>
  <si>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</si>
  <si>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</si>
  <si>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</si>
  <si>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</si>
  <si>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</si>
  <si>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</si>
  <si>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</si>
  <si>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</si>
  <si>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</si>
  <si>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</si>
  <si>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</si>
  <si>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</si>
  <si>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</si>
  <si>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</si>
  <si>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</si>
  <si>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</si>
  <si>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</si>
  <si>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</si>
  <si>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</si>
  <si>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</si>
  <si>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</si>
  <si>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</si>
  <si>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</si>
  <si>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</si>
  <si>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</si>
  <si>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</si>
  <si>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</si>
  <si>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</si>
  <si>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</si>
  <si>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</si>
  <si>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</si>
  <si>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</si>
  <si>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</si>
  <si>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</si>
  <si>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</si>
  <si>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</si>
  <si>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</si>
  <si>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</si>
  <si>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</si>
  <si>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</si>
  <si>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</si>
  <si>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</si>
  <si>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</si>
  <si>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</si>
  <si>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</si>
  <si>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</si>
  <si>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</si>
  <si>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</si>
  <si>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</si>
  <si>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</si>
  <si>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</si>
  <si>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</si>
  <si>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</si>
  <si>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</si>
  <si>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</si>
  <si>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</si>
  <si>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</si>
  <si>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</si>
  <si>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</si>
  <si>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</si>
  <si>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</si>
  <si>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</si>
  <si>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</si>
  <si>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</si>
  <si>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</si>
  <si>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</si>
  <si>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</si>
  <si>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</si>
  <si>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</si>
  <si>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</si>
  <si>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</si>
  <si>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</si>
  <si>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</si>
  <si>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</si>
  <si>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</si>
  <si>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</si>
  <si>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</si>
  <si>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</si>
  <si>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</si>
  <si>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</si>
  <si>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</si>
  <si>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</si>
  <si>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</si>
  <si>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</si>
  <si>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</si>
  <si>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</si>
  <si>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</si>
  <si>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</si>
  <si>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</si>
  <si>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</si>
  <si>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</si>
  <si>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</si>
  <si>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</si>
  <si>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</si>
  <si>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</si>
  <si>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</si>
  <si>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</si>
  <si>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</si>
  <si>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</si>
  <si>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</si>
  <si>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</si>
  <si>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</si>
  <si>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</si>
  <si>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</si>
  <si>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</si>
  <si>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</si>
  <si>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</si>
  <si>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</si>
  <si>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</si>
  <si>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</si>
  <si>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</si>
  <si>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</si>
  <si>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</si>
  <si>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</si>
  <si>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</si>
  <si>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</si>
  <si>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</si>
  <si>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</si>
  <si>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</si>
  <si>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</si>
  <si>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</si>
  <si>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</si>
  <si>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</si>
  <si>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</si>
  <si>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</si>
  <si>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</si>
  <si>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</si>
  <si>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</si>
  <si>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</si>
  <si>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</si>
  <si>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</si>
  <si>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</si>
  <si>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</si>
  <si>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</si>
  <si>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</si>
  <si>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</si>
  <si>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</si>
  <si>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</si>
  <si>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</si>
  <si>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</si>
  <si>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</si>
  <si>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</si>
  <si>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</si>
  <si>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</si>
  <si>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</si>
  <si>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</si>
  <si>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</si>
  <si>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</si>
  <si>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</si>
  <si>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</si>
  <si>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</si>
  <si>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</si>
  <si>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</si>
  <si>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</si>
  <si>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</si>
  <si>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</si>
  <si>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</si>
  <si>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</si>
  <si>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</si>
  <si>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</si>
  <si>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</si>
  <si>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</si>
  <si>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</si>
  <si>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</si>
  <si>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</si>
  <si>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</si>
  <si>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</si>
  <si>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</si>
  <si>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</si>
  <si>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</si>
  <si>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</si>
  <si>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</si>
  <si>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</si>
  <si>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</si>
  <si>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</si>
  <si>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</si>
  <si>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</si>
  <si>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</si>
  <si>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</si>
  <si>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</si>
  <si>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</si>
  <si>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</si>
  <si>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</si>
  <si>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</si>
  <si>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</si>
  <si>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</si>
  <si>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</si>
  <si>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</si>
  <si>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</si>
  <si>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</si>
  <si>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</si>
  <si>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</si>
  <si>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</si>
  <si>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</si>
  <si>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</si>
  <si>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</si>
  <si>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</si>
  <si>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</si>
  <si>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</si>
  <si>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</si>
  <si>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</si>
  <si>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</si>
  <si>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</si>
  <si>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</si>
  <si>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</si>
  <si>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</si>
  <si>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</si>
  <si>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</si>
  <si>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</si>
  <si>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</si>
  <si>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</si>
  <si>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</si>
  <si>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</si>
  <si>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</si>
  <si>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</si>
  <si>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</si>
  <si>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</si>
  <si>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</si>
  <si>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</si>
  <si>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</si>
  <si>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</si>
  <si>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</si>
  <si>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</si>
  <si>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</si>
  <si>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</si>
  <si>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</si>
  <si>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</si>
  <si>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</si>
  <si>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</si>
  <si>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</si>
  <si>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</si>
  <si>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</si>
  <si>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</si>
  <si>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</si>
  <si>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</si>
  <si>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</si>
  <si>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</si>
  <si>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</si>
  <si>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</si>
  <si>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</si>
  <si>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</si>
  <si>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</si>
  <si>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</si>
  <si>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</si>
  <si>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</si>
  <si>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</si>
  <si>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</si>
  <si>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</si>
  <si>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</si>
  <si>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</si>
  <si>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</si>
  <si>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</si>
  <si>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</si>
  <si>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</si>
  <si>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</si>
  <si>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</si>
  <si>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</si>
  <si>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</si>
  <si>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</si>
  <si>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</si>
  <si>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</si>
  <si>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</si>
  <si>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</si>
  <si>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</si>
  <si>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</si>
  <si>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</si>
  <si>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</si>
  <si>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</si>
  <si>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</si>
  <si>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</si>
  <si>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</si>
  <si>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</si>
  <si>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</si>
  <si>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</si>
  <si>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</si>
  <si>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</si>
  <si>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</si>
  <si>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</si>
  <si>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</si>
  <si>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</si>
  <si>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</si>
  <si>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</si>
  <si>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</si>
  <si>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</si>
  <si>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</si>
  <si>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</si>
  <si>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</si>
  <si>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</si>
  <si>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</si>
  <si>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</si>
  <si>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</si>
  <si>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</si>
  <si>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</si>
  <si>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</si>
  <si>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</si>
  <si>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</si>
  <si>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</si>
  <si>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</si>
  <si>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</si>
  <si>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</si>
  <si>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</si>
  <si>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</si>
  <si>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</si>
  <si>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</si>
  <si>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</si>
  <si>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</si>
  <si>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</si>
  <si>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</si>
  <si>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</si>
  <si>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</si>
  <si>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</si>
  <si>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</si>
  <si>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</si>
  <si>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</si>
  <si>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</si>
  <si>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</si>
  <si>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</si>
  <si>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</si>
  <si>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</si>
  <si>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</si>
  <si>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</si>
  <si>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</si>
  <si>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</si>
  <si>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</si>
  <si>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</si>
  <si>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</si>
  <si>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</si>
  <si>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</si>
  <si>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</si>
  <si>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</si>
  <si>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</si>
  <si>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</si>
  <si>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</si>
  <si>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</si>
  <si>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</si>
  <si>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</si>
  <si>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</si>
  <si>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</si>
  <si>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</si>
  <si>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</si>
  <si>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</si>
  <si>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</si>
  <si>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</si>
  <si>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</si>
  <si>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</si>
  <si>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</si>
  <si>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</si>
  <si>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</si>
  <si>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</si>
  <si>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</si>
  <si>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</si>
  <si>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</si>
  <si>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</si>
  <si>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</si>
  <si>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</si>
  <si>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</si>
  <si>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</si>
  <si>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</si>
  <si>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</si>
  <si>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</si>
  <si>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</si>
  <si>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</si>
  <si>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</si>
  <si>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</si>
  <si>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</si>
  <si>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</si>
  <si>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</si>
  <si>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</si>
  <si>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</si>
  <si>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</si>
  <si>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</si>
  <si>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</si>
  <si>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</si>
  <si>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</si>
  <si>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</si>
  <si>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</si>
  <si>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</si>
  <si>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</si>
  <si>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</si>
  <si>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</si>
  <si>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</si>
  <si>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</si>
  <si>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</si>
  <si>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</si>
  <si>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</si>
  <si>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</si>
  <si>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</si>
  <si>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</si>
  <si>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</si>
  <si>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</si>
  <si>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</si>
  <si>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</si>
  <si>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</si>
  <si>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</si>
  <si>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</si>
  <si>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</si>
  <si>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</si>
  <si>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</si>
  <si>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</si>
  <si>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</si>
  <si>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</si>
  <si>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</si>
  <si>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</si>
  <si>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</si>
  <si>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</si>
  <si>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</si>
  <si>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</si>
  <si>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</si>
  <si>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</si>
  <si>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</si>
  <si>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</si>
  <si>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</si>
  <si>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</si>
  <si>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</si>
  <si>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</si>
  <si>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</si>
  <si>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</si>
  <si>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</si>
  <si>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</si>
  <si>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</si>
  <si>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</si>
  <si>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</si>
  <si>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</si>
  <si>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</si>
  <si>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</si>
  <si>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</si>
  <si>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</si>
  <si>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</si>
  <si>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</si>
  <si>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</si>
  <si>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</si>
  <si>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</si>
  <si>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</si>
  <si>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</si>
  <si>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</si>
  <si>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</si>
  <si>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</si>
  <si>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</si>
  <si>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</si>
  <si>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</si>
  <si>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</si>
  <si>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</si>
  <si>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</si>
  <si>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</si>
  <si>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</si>
  <si>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</si>
  <si>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</si>
  <si>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</si>
  <si>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</si>
  <si>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</si>
  <si>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</si>
  <si>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</si>
  <si>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</si>
  <si>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</si>
  <si>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</si>
  <si>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</si>
  <si>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</si>
  <si>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</si>
  <si>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</si>
  <si>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</si>
  <si>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</si>
  <si>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</si>
  <si>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</si>
  <si>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</si>
  <si>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</si>
  <si>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</si>
  <si>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</si>
  <si>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</si>
  <si>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</si>
  <si>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</si>
  <si>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</si>
  <si>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</si>
  <si>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</si>
  <si>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</si>
  <si>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</si>
  <si>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</si>
  <si>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</si>
  <si>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</si>
  <si>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</si>
  <si>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</si>
  <si>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</si>
  <si>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</si>
  <si>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</si>
  <si>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</si>
  <si>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</si>
  <si>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</si>
  <si>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</si>
  <si>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</si>
  <si>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</si>
  <si>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</si>
  <si>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</si>
  <si>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</si>
  <si>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</si>
  <si>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</si>
  <si>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</si>
  <si>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</si>
  <si>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</si>
  <si>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</si>
  <si>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</si>
  <si>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</si>
  <si>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</si>
  <si>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</si>
  <si>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</si>
  <si>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</si>
  <si>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</si>
  <si>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</si>
  <si>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Standard Buchanan Venture LP</t>
  </si>
  <si>
    <t>MIP Amount</t>
  </si>
  <si>
    <t>PROJECT NAME:</t>
  </si>
  <si>
    <t>Joyfield at Buchanan Crossing</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</si>
  <si>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</si>
  <si>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</si>
  <si>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</si>
  <si>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</si>
  <si>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</si>
  <si>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</si>
  <si>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</si>
  <si>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</si>
  <si>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</si>
  <si>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</si>
  <si>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</si>
  <si>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</si>
  <si>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</si>
  <si>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</si>
  <si>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</si>
  <si>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</si>
  <si>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</si>
  <si>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</si>
  <si>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</si>
  <si>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</si>
  <si>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</si>
  <si>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</si>
  <si>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</si>
  <si>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</si>
  <si>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</si>
  <si>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</si>
  <si>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</si>
  <si>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</si>
  <si>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</si>
  <si>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</si>
  <si>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</si>
  <si>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</si>
  <si>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</si>
  <si>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</si>
  <si>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</si>
  <si>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</si>
  <si>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</si>
  <si>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</si>
  <si>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</si>
  <si>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</si>
  <si>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</si>
  <si>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</si>
  <si>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</si>
  <si>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</si>
  <si>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</si>
  <si>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</si>
  <si>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</si>
  <si>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</si>
  <si>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</si>
  <si>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</si>
  <si>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</si>
  <si>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</si>
  <si>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</si>
  <si>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</si>
  <si>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</si>
  <si>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</si>
  <si>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</si>
  <si>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</si>
  <si>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</si>
  <si>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</si>
  <si>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</si>
  <si>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</si>
  <si>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</si>
  <si>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</si>
  <si>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</si>
  <si>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</si>
  <si>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</si>
  <si>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</si>
  <si>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</si>
  <si>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</si>
  <si>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</si>
  <si>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</si>
  <si>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</si>
  <si>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</si>
  <si>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</si>
  <si>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</si>
  <si>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</si>
  <si>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</si>
  <si>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</si>
  <si>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</si>
  <si>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</si>
  <si>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</si>
  <si>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</si>
  <si>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</si>
  <si>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</si>
  <si>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</si>
  <si>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</si>
  <si>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</si>
  <si>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</si>
  <si>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</si>
  <si>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</si>
  <si>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</si>
  <si>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</si>
  <si>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</si>
  <si>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</si>
  <si>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</si>
  <si>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</si>
  <si>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</si>
  <si>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</si>
  <si>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</si>
  <si>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</si>
  <si>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</si>
  <si>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</si>
  <si>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</si>
  <si>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</si>
  <si>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</si>
  <si>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</si>
  <si>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</si>
  <si>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</si>
  <si>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</si>
  <si>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</si>
  <si>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</si>
  <si>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</si>
  <si>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</si>
  <si>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</si>
  <si>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</si>
  <si>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</si>
  <si>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</si>
  <si>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</si>
  <si>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</si>
  <si>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</si>
  <si>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</si>
  <si>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</si>
  <si>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</si>
  <si>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</si>
  <si>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</si>
  <si>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</si>
  <si>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</si>
  <si>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</si>
  <si>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Antioch</t>
  </si>
  <si>
    <t>Inland (Fresno, Imperial, Kern, Kings, Madera, Merced, Riverside, San Bernardino, Stanislaus, and Tulare Counties)</t>
  </si>
  <si>
    <t>4% 2025 TBLs</t>
  </si>
  <si>
    <t>9% 2025 TBLs</t>
  </si>
  <si>
    <t>City Manager:</t>
  </si>
  <si>
    <t>Teri House</t>
  </si>
  <si>
    <t>Northern (Butte, El Dorado, Placer, Sacramento, San Joaquin, Shasta, Solano, Sutter, Yuba, and Yolo Counties)</t>
  </si>
  <si>
    <t>Title:</t>
  </si>
  <si>
    <t>City Manager</t>
  </si>
  <si>
    <t>N/A</t>
  </si>
  <si>
    <t xml:space="preserve">Mailing Address: </t>
  </si>
  <si>
    <t>200 H Street, 2nd Floor</t>
  </si>
  <si>
    <t>2025 100% RENTS</t>
  </si>
  <si>
    <t>2025 FAIR MARKET RENTS</t>
  </si>
  <si>
    <t xml:space="preserve">City: </t>
  </si>
  <si>
    <t>Antioch</t>
  </si>
  <si>
    <t>ALAMEDA</t>
  </si>
  <si>
    <t>Alameda</t>
  </si>
  <si>
    <t>California Tax Credit Allocation Committee</t>
  </si>
  <si>
    <t>Housing and Urban Development</t>
  </si>
  <si>
    <t xml:space="preserve">Zip Code: </t>
  </si>
  <si>
    <t>ALPINE</t>
  </si>
  <si>
    <t>Alpine</t>
  </si>
  <si>
    <t>Phone Number:</t>
  </si>
  <si>
    <t>(925) 779-7011</t>
  </si>
  <si>
    <t>Ext.</t>
  </si>
  <si>
    <t>AMADOR</t>
  </si>
  <si>
    <t>Amador</t>
  </si>
  <si>
    <t>County</t>
  </si>
  <si>
    <t>SRO/Studio</t>
  </si>
  <si>
    <t>1 Bedroom</t>
  </si>
  <si>
    <t>2 Bedrooms</t>
  </si>
  <si>
    <t>3 Bedrooms</t>
  </si>
  <si>
    <t>4 Bedrooms</t>
  </si>
  <si>
    <t>5 Bedrooms</t>
  </si>
  <si>
    <t>SRO/STUDIO</t>
  </si>
  <si>
    <t>4+ Bedrooms</t>
  </si>
  <si>
    <t xml:space="preserve">FAX Number: </t>
  </si>
  <si>
    <t>(925) 779-7034</t>
  </si>
  <si>
    <t>BUTTE</t>
  </si>
  <si>
    <t>Butte</t>
  </si>
  <si>
    <t xml:space="preserve">E-mail: </t>
  </si>
  <si>
    <t>CDBG@ci.antioch.ca.us</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</si>
  <si>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</si>
  <si>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</si>
  <si>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</si>
  <si>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</si>
  <si>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</si>
  <si>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</si>
  <si>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</si>
  <si>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</si>
  <si>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</si>
  <si>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</si>
  <si>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</si>
  <si>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</si>
  <si>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</si>
  <si>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</si>
  <si>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</si>
  <si>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</si>
  <si>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</si>
  <si>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</si>
  <si>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</si>
  <si>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</si>
  <si>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</si>
  <si>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</si>
  <si>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</si>
  <si>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</si>
  <si>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</si>
  <si>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</si>
  <si>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</si>
  <si>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</si>
  <si>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</si>
  <si>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</si>
  <si>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</si>
  <si>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</si>
  <si>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</si>
  <si>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</si>
  <si>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</si>
  <si>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</si>
  <si>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</si>
  <si>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</si>
  <si>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</si>
  <si>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</si>
  <si>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</si>
  <si>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</si>
  <si>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</si>
  <si>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</si>
  <si>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</si>
  <si>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</si>
  <si>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</si>
  <si>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</si>
  <si>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</si>
  <si>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</si>
  <si>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</si>
  <si>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</si>
  <si>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</si>
  <si>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</si>
  <si>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</si>
  <si>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</si>
  <si>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</si>
  <si>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</si>
  <si>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</si>
  <si>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</si>
  <si>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</si>
  <si>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</si>
  <si>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</si>
  <si>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</si>
  <si>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</si>
  <si>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</si>
  <si>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</si>
  <si>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</si>
  <si>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</si>
  <si>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</si>
  <si>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</si>
  <si>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</si>
  <si>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</si>
  <si>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</si>
  <si>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</si>
  <si>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</si>
  <si>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3110 Buchanan Road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</si>
  <si>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</si>
  <si>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</si>
  <si>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</si>
  <si>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</si>
  <si>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</si>
  <si>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</si>
  <si>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</si>
  <si>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</si>
  <si>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</si>
  <si>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</si>
  <si>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</si>
  <si>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</si>
  <si>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</si>
  <si>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</si>
  <si>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</si>
  <si>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</si>
  <si>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</si>
  <si>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</si>
  <si>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</si>
  <si>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</si>
  <si>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074-480-001-2, 074-480-007-9</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</si>
  <si>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</si>
  <si>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</si>
  <si>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</si>
  <si>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</si>
  <si>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</si>
  <si>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</si>
  <si>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</si>
  <si>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</si>
  <si>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</si>
  <si>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</si>
  <si>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</si>
  <si>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</si>
  <si>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</si>
  <si>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</si>
  <si>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</si>
  <si>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</si>
  <si>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</si>
  <si>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</si>
  <si>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</si>
  <si>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</si>
  <si>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</si>
  <si>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</si>
  <si>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</si>
  <si>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</si>
  <si>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</si>
  <si>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</si>
  <si>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</si>
  <si>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</si>
  <si>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</si>
  <si>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</si>
  <si>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</si>
  <si>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</si>
  <si>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</si>
  <si>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</si>
  <si>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</si>
  <si>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</si>
  <si>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</si>
  <si>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</si>
  <si>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</si>
  <si>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</si>
  <si>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</si>
  <si>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</si>
  <si>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</si>
  <si>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</si>
  <si>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</si>
  <si>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</si>
  <si>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</si>
  <si>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</si>
  <si>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</si>
  <si>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</si>
  <si>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</si>
  <si>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</si>
  <si>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</si>
  <si>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</si>
  <si>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</si>
  <si>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</si>
  <si>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</si>
  <si>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</si>
  <si>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</si>
  <si>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</si>
  <si>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</si>
  <si>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</si>
  <si>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</si>
  <si>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</si>
  <si>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</si>
  <si>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</si>
  <si>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</si>
  <si>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</si>
  <si>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</si>
  <si>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</si>
  <si>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</si>
  <si>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</si>
  <si>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</si>
  <si>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</si>
  <si>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</si>
  <si>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</si>
  <si>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</si>
  <si>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</si>
  <si>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</si>
  <si>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</si>
  <si>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</si>
  <si>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</si>
  <si>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</si>
  <si>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</si>
  <si>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</si>
  <si>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</si>
  <si>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</si>
  <si>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</si>
  <si>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</si>
  <si>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</si>
  <si>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</si>
  <si>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</si>
  <si>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</si>
  <si>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</si>
  <si>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</si>
  <si>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</si>
  <si>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</si>
  <si>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</si>
  <si>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</si>
  <si>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</si>
  <si>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</si>
  <si>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</si>
  <si>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</si>
  <si>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</si>
  <si>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</si>
  <si>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</si>
  <si>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</si>
  <si>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</si>
  <si>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</si>
  <si>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</si>
  <si>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</si>
  <si>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</si>
  <si>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</si>
  <si>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</si>
  <si>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</si>
  <si>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</si>
  <si>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</si>
  <si>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</si>
  <si>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</si>
  <si>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</si>
  <si>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</si>
  <si>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</si>
  <si>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1015 18th St NW #601</t>
  </si>
  <si>
    <t>Washington</t>
  </si>
  <si>
    <t>State:</t>
  </si>
  <si>
    <t>DC</t>
  </si>
  <si>
    <t>Contact Person:</t>
  </si>
  <si>
    <t>Feras Qumseya</t>
  </si>
  <si>
    <t>Phone:</t>
  </si>
  <si>
    <t>703-405-8858</t>
  </si>
  <si>
    <t>Ext.:</t>
  </si>
  <si>
    <t>Fax:</t>
  </si>
  <si>
    <t>both nonprofits</t>
  </si>
  <si>
    <t xml:space="preserve">Email: </t>
  </si>
  <si>
    <t>FQumseya@Standard-Communities.com</t>
  </si>
  <si>
    <t>Legal Status of Applicant:</t>
  </si>
  <si>
    <t>Parent Company:</t>
  </si>
  <si>
    <t>Standard Development Partners LP</t>
  </si>
  <si>
    <t>If Other, Specify:</t>
  </si>
  <si>
    <t>both for-profit</t>
  </si>
  <si>
    <t>General Partner(s) Information (post-closing GPs):</t>
  </si>
  <si>
    <t>D(1)</t>
  </si>
  <si>
    <t>General Partner Name:</t>
  </si>
  <si>
    <t>HOM Buchanan Crossing LLC
(California)</t>
  </si>
  <si>
    <t>1901 Avenue of the Stars #395</t>
  </si>
  <si>
    <t>OWNERSHIP</t>
  </si>
  <si>
    <t>Nonprofit</t>
  </si>
  <si>
    <t>CA</t>
  </si>
  <si>
    <t>INTEREST (%):</t>
  </si>
  <si>
    <t>currently exists</t>
  </si>
  <si>
    <t>Jaymie Beckett</t>
  </si>
  <si>
    <t>to be formed</t>
  </si>
  <si>
    <t>For Profit</t>
  </si>
  <si>
    <t>(619) 573-6785</t>
  </si>
  <si>
    <t>jbeckett@housingonmerit.org</t>
  </si>
  <si>
    <t>Nonprofit/For Profit:</t>
  </si>
  <si>
    <t xml:space="preserve">Housing on Merit </t>
  </si>
  <si>
    <t>D(2)</t>
  </si>
  <si>
    <t>General Partner Name:*</t>
  </si>
  <si>
    <t>Standard Buchanan Manager LLC</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</si>
  <si>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</si>
  <si>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</si>
  <si>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</si>
  <si>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</si>
  <si>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</si>
  <si>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</si>
  <si>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</si>
  <si>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</si>
  <si>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</si>
  <si>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Standard Communities</t>
  </si>
  <si>
    <t>1901 Avenue of the Stars Suite 650</t>
  </si>
  <si>
    <t>Jon McCall</t>
  </si>
  <si>
    <t>jmccall@standard-communities.com</t>
  </si>
  <si>
    <t>Participatory Role:</t>
  </si>
  <si>
    <t>General Partner</t>
  </si>
  <si>
    <t>(e.g., General Partner, Consultant, etc.)</t>
  </si>
  <si>
    <t>II. APPLICATION - SECTION 4: DEVELOPMENT TEAM INFORMATION</t>
  </si>
  <si>
    <t>Indicate and List All Development Team Members</t>
  </si>
  <si>
    <t>Developer:</t>
  </si>
  <si>
    <t>Standard Development Partners LLC</t>
  </si>
  <si>
    <t>Architect:</t>
  </si>
  <si>
    <t>KTGY Architecture</t>
  </si>
  <si>
    <t>Address:</t>
  </si>
  <si>
    <t>1814 Franklin St, Site 400</t>
  </si>
  <si>
    <t>City, State, Zip</t>
  </si>
  <si>
    <t>Washington, DC, 20036</t>
  </si>
  <si>
    <t>City, State, Zip:</t>
  </si>
  <si>
    <t>Oakland, CA, 94612</t>
  </si>
  <si>
    <t>Feras Qumeseya</t>
  </si>
  <si>
    <t>Zac Miles</t>
  </si>
  <si>
    <t>510-463-2003</t>
  </si>
  <si>
    <t>Email:</t>
  </si>
  <si>
    <t>zmiles@ktgy.com</t>
  </si>
  <si>
    <t>Attorney:</t>
  </si>
  <si>
    <t>Rutan &amp; Tucker LLP</t>
  </si>
  <si>
    <t>General Contractor:</t>
  </si>
  <si>
    <t>CSI Construction Company</t>
  </si>
  <si>
    <t>18575 Jamboree Road, 9th Floor</t>
  </si>
  <si>
    <t>500 Broadway</t>
  </si>
  <si>
    <t xml:space="preserve"> Irvine, CA 92612</t>
  </si>
  <si>
    <t xml:space="preserve"> Sacramento, CA 95818</t>
  </si>
  <si>
    <t>Matt Murray</t>
  </si>
  <si>
    <t>Gabe VanHooser</t>
  </si>
  <si>
    <t>(714) 325-4342</t>
  </si>
  <si>
    <t>916-979-7093</t>
  </si>
  <si>
    <t>mmurray@rutan.com</t>
  </si>
  <si>
    <t>Tax Professional:</t>
  </si>
  <si>
    <t>Novogradac &amp; Company LLP</t>
  </si>
  <si>
    <t>Energy Consultant:</t>
  </si>
  <si>
    <t>VCA Green</t>
  </si>
  <si>
    <t>1300 114th Ave SE #240</t>
  </si>
  <si>
    <t>1845 W. Orangewood Ave, Suite 310</t>
  </si>
  <si>
    <t>Bellevue, WA 98004</t>
  </si>
  <si>
    <t>Orange, CA 92868</t>
  </si>
  <si>
    <t>Dat Ksor</t>
  </si>
  <si>
    <t>Burke Boydell</t>
  </si>
  <si>
    <t>206-776-0855</t>
  </si>
  <si>
    <t>714-363-4700</t>
  </si>
  <si>
    <t>John.VanStee@CohnReznick.com</t>
  </si>
  <si>
    <t>CPA:</t>
  </si>
  <si>
    <t>CohnReznick LLP</t>
  </si>
  <si>
    <t>Investor:</t>
  </si>
  <si>
    <t>Hudson Housing Capital</t>
  </si>
  <si>
    <t>1 S Wacker Dr Suite 3550</t>
  </si>
  <si>
    <t>630 Fifth Avenue, 28th Floor</t>
  </si>
  <si>
    <t>Chicago, IL 60606</t>
  </si>
  <si>
    <t>New York, NY 10111</t>
  </si>
  <si>
    <t xml:space="preserve">John Van Stee	</t>
  </si>
  <si>
    <t>Sunny Sowards</t>
  </si>
  <si>
    <t>312-508-5881</t>
  </si>
  <si>
    <t xml:space="preserve"> (212) 218-4438</t>
  </si>
  <si>
    <t>Sunny.Sowards@hudsonhousing.com</t>
  </si>
  <si>
    <t>Consultant:</t>
  </si>
  <si>
    <t>Market Analyst:</t>
  </si>
  <si>
    <t>444 North Capitol Street NW #619</t>
  </si>
  <si>
    <t>Washington, DC 20001</t>
  </si>
  <si>
    <t>Abby Cohen</t>
  </si>
  <si>
    <t>240-235-1705</t>
  </si>
  <si>
    <t>Dat.Ksor@novoco.com</t>
  </si>
  <si>
    <t>Abby.Cohen@novoco.com</t>
  </si>
  <si>
    <t>Appraiser:</t>
  </si>
  <si>
    <t>CNA Consultant:</t>
  </si>
  <si>
    <t>Bond Issuer:</t>
  </si>
  <si>
    <t xml:space="preserve">California Municipal Finance Authority </t>
  </si>
  <si>
    <t>Prop. Mgmt. Co.:</t>
  </si>
  <si>
    <t>Apartment Management Company</t>
  </si>
  <si>
    <t>2111 Palomar Airport Rd # 320</t>
  </si>
  <si>
    <t>2603 Camino Ramon, Suite 200</t>
  </si>
  <si>
    <t>Carlsbad, CA 92011</t>
  </si>
  <si>
    <t>San Ramon , CA 94538</t>
  </si>
  <si>
    <t>Anthony Stubbs</t>
  </si>
  <si>
    <t>Mike Stamper</t>
  </si>
  <si>
    <t>925-684-876</t>
  </si>
  <si>
    <t>astubbs@cmfa-ca.com</t>
  </si>
  <si>
    <t>m.stamper@amcllc.net</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</si>
  <si>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</si>
  <si>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</si>
  <si>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</si>
  <si>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</si>
  <si>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</si>
  <si>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</si>
  <si>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</si>
  <si>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</si>
  <si>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</si>
  <si>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</si>
  <si>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</si>
  <si>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</si>
  <si>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</si>
  <si>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</si>
  <si>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</si>
  <si>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</si>
  <si>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</si>
  <si>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</si>
  <si>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</si>
  <si>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</si>
  <si>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</si>
  <si>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</si>
  <si>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</si>
  <si>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</si>
  <si>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</si>
  <si>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</si>
  <si>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</si>
  <si>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</si>
  <si>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</si>
  <si>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</si>
  <si>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</si>
  <si>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</si>
  <si>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</si>
  <si>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Buchanan Crossings LLC</t>
  </si>
  <si>
    <t>Signatory of Seller:</t>
  </si>
  <si>
    <t>Patrick W. Orosco</t>
  </si>
  <si>
    <t>Seller Principal:</t>
  </si>
  <si>
    <t>Managing Member</t>
  </si>
  <si>
    <t>Seller Address:</t>
  </si>
  <si>
    <t>10 Harris Court, Suite B-1,Monterey, CA 93940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</si>
  <si>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</si>
  <si>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</si>
  <si>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</si>
  <si>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</si>
  <si>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</si>
  <si>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</si>
  <si>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(831) 649-0220</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</si>
  <si>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</si>
  <si>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</si>
  <si>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</si>
  <si>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</si>
  <si>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</si>
  <si>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</si>
  <si>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</si>
  <si>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</si>
  <si>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</si>
  <si>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</si>
  <si>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</si>
  <si>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</si>
  <si>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</si>
  <si>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</si>
  <si>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</si>
  <si>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</si>
  <si>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</si>
  <si>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</si>
  <si>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</si>
  <si>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</si>
  <si>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</si>
  <si>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</si>
  <si>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</si>
  <si>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3-Story Garden Walk-Up</t>
  </si>
  <si>
    <t>Density:</t>
  </si>
  <si>
    <t>x</t>
  </si>
  <si>
    <t>Feet</t>
  </si>
  <si>
    <t>Acres</t>
  </si>
  <si>
    <t>Square Feet</t>
  </si>
  <si>
    <t>If irregular, specify measurements in feet, acres, and square feet:</t>
  </si>
  <si>
    <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</si>
  <si>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</si>
  <si>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</si>
  <si>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</si>
  <si>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</si>
  <si>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</si>
  <si>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</si>
  <si>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</si>
  <si>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</si>
  <si>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</si>
  <si>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</si>
  <si>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</si>
  <si>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</si>
  <si>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</si>
  <si>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</si>
  <si>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</si>
  <si>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</si>
  <si>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</si>
  <si>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</si>
  <si>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</si>
  <si>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</si>
  <si>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</si>
  <si>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</si>
  <si>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</si>
  <si>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</si>
  <si>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</si>
  <si>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</si>
  <si>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</si>
  <si>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</si>
  <si>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</si>
  <si>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</si>
  <si>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</si>
  <si>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</si>
  <si>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</si>
  <si>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</si>
  <si>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</si>
  <si>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</si>
  <si>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</si>
  <si>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</si>
  <si>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</si>
  <si>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</si>
  <si>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</si>
  <si>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</si>
  <si>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</si>
  <si>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</si>
  <si>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</si>
  <si>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</si>
  <si>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</si>
  <si>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</si>
  <si>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Vacant Land</t>
  </si>
  <si>
    <t>Current Zoning and Maximum Density</t>
  </si>
  <si>
    <t>P-D (CIH Overlay) and 35 Units/Developable Acre</t>
  </si>
  <si>
    <t>Proposed Zoning and Maximum Density</t>
  </si>
  <si>
    <t>Occupancy restrictions that run with the land due to CUP’s or density bonuses?</t>
  </si>
  <si>
    <t>(if yes, explain here)</t>
  </si>
  <si>
    <t>Subject to Inclusionary Zoning?</t>
  </si>
  <si>
    <t>Building Height Requirements</t>
  </si>
  <si>
    <t>45 ft</t>
  </si>
  <si>
    <t>Required Parking Ratio</t>
  </si>
  <si>
    <t>1.5/unit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</si>
  <si>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</si>
  <si>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</si>
  <si>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</si>
  <si>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</si>
  <si>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</si>
  <si>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</si>
  <si>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</si>
  <si>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</si>
  <si>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</si>
  <si>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</si>
  <si>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</si>
  <si>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</si>
  <si>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</si>
  <si>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</si>
  <si>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</si>
  <si>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</si>
  <si>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</si>
  <si>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</si>
  <si>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</si>
  <si>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</si>
  <si>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</si>
  <si>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</si>
  <si>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</si>
  <si>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</si>
  <si>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</si>
  <si>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</si>
  <si>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</si>
  <si>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</si>
  <si>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</si>
  <si>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</si>
  <si>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</si>
  <si>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</si>
  <si>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</si>
  <si>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</si>
  <si>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</si>
  <si>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</si>
  <si>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</si>
  <si>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</si>
  <si>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</si>
  <si>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</si>
  <si>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</si>
  <si>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</si>
  <si>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</si>
  <si>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</si>
  <si>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</si>
  <si>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</si>
  <si>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</si>
  <si>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</si>
  <si>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</si>
  <si>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</si>
  <si>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</si>
  <si>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</si>
  <si>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</si>
  <si>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</si>
  <si>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</si>
  <si>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</si>
  <si>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</si>
  <si>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</si>
  <si>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</si>
  <si>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</si>
  <si>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</si>
  <si>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</si>
  <si>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</si>
  <si>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</si>
  <si>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</si>
  <si>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</si>
  <si>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</si>
  <si>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</si>
  <si>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</si>
  <si>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</si>
  <si>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</si>
  <si>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California Bank &amp; Trust</t>
  </si>
  <si>
    <t>Variable</t>
  </si>
  <si>
    <t>6)</t>
  </si>
  <si>
    <t>Standard Development Partners</t>
  </si>
  <si>
    <t>7)</t>
  </si>
  <si>
    <t>8)</t>
  </si>
  <si>
    <t>9)</t>
  </si>
  <si>
    <t>10)</t>
  </si>
  <si>
    <t>11)</t>
  </si>
  <si>
    <t>12)</t>
  </si>
  <si>
    <t>Total Funds For Construction:</t>
  </si>
  <si>
    <t>Lender/Source:</t>
  </si>
  <si>
    <t>550 S. Hope St. 3rd Floor</t>
  </si>
  <si>
    <t>Los Angeles, CA</t>
  </si>
  <si>
    <t>Contact Name:</t>
  </si>
  <si>
    <t>Mark Wolf</t>
  </si>
  <si>
    <t>(323) 528-7934</t>
  </si>
  <si>
    <t>Type of Financing:</t>
  </si>
  <si>
    <t>Tax-Exempt Bonds</t>
  </si>
  <si>
    <t>Recycled Tax-Exempt Bonds</t>
  </si>
  <si>
    <t>Variable Rate Index (if applicable):</t>
  </si>
  <si>
    <t>Term SOFR</t>
  </si>
  <si>
    <t>Is the Lender/Source Committed?</t>
  </si>
  <si>
    <t>1015 18th Street NW #601</t>
  </si>
  <si>
    <t>703 405 8858</t>
  </si>
  <si>
    <t>Taxable Bonds</t>
  </si>
  <si>
    <t>Deffered Developer Fee</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</si>
  <si>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</si>
  <si>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</si>
  <si>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</si>
  <si>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</si>
  <si>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</si>
  <si>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</si>
  <si>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Cal Bank &amp; Trust</t>
  </si>
  <si>
    <t>Deferred Developer Fee</t>
  </si>
  <si>
    <t>Deferred</t>
  </si>
  <si>
    <t>Residual</t>
  </si>
  <si>
    <t>Required</t>
  </si>
  <si>
    <t>Total Permanent Financing:</t>
  </si>
  <si>
    <t>Total Tax Credit Equity:</t>
  </si>
  <si>
    <t>Total Sources of Project Funds:</t>
  </si>
  <si>
    <t>Tax Excempt Bond (Perm Loan)</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</si>
  <si>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</si>
  <si>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</si>
  <si>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</si>
  <si>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</si>
  <si>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</si>
  <si>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</si>
  <si>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</si>
  <si>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</si>
  <si>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</si>
  <si>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</si>
  <si>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</si>
  <si>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</si>
  <si>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</si>
  <si>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</si>
  <si>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</si>
  <si>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</si>
  <si>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</si>
  <si>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</si>
  <si>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</si>
  <si>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</si>
  <si>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</si>
  <si>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</si>
  <si>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</si>
  <si>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</si>
  <si>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</si>
  <si>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</si>
  <si>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</si>
  <si>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</si>
  <si>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</si>
  <si>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</si>
  <si>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</si>
  <si>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</si>
  <si>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</si>
  <si>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</si>
  <si>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</si>
  <si>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</si>
  <si>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</si>
  <si>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</si>
  <si>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</si>
  <si>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</si>
  <si>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</si>
  <si>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</si>
  <si>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</si>
  <si>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</si>
  <si>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</si>
  <si>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</si>
  <si>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</si>
  <si>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</si>
  <si>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</si>
  <si>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</si>
  <si>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</si>
  <si>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</si>
  <si>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</si>
  <si>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</si>
  <si>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</si>
  <si>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</si>
  <si>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</si>
  <si>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</si>
  <si>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</si>
  <si>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</si>
  <si>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</si>
  <si>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</si>
  <si>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</si>
  <si>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</si>
  <si>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</si>
  <si>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</si>
  <si>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</si>
  <si>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</si>
  <si>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</si>
  <si>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</si>
  <si>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</si>
  <si>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</si>
  <si>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Other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</si>
  <si>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</si>
  <si>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</si>
  <si>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</si>
  <si>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</si>
  <si>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</si>
  <si>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</si>
  <si>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</si>
  <si>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</si>
  <si>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</si>
  <si>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</si>
  <si>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</si>
  <si>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</si>
  <si>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</si>
  <si>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</si>
  <si>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</si>
  <si>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</si>
  <si>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</si>
  <si>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</si>
  <si>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</si>
  <si>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</si>
  <si>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VCA Green (California Utility Allowance Calculator)</t>
  </si>
  <si>
    <t>See Regulation Section 10322(h)(21) for type of projects that are allowed to use CUAC.</t>
  </si>
  <si>
    <t>Annual Residential Operating Expenses</t>
  </si>
  <si>
    <t xml:space="preserve"> Administrative</t>
  </si>
  <si>
    <t>Advertising:</t>
  </si>
  <si>
    <t>Legal:</t>
  </si>
  <si>
    <t>Accounting/Audit:</t>
  </si>
  <si>
    <t>Security:</t>
  </si>
  <si>
    <t>Other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</si>
  <si>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</si>
  <si>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</si>
  <si>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</si>
  <si>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</si>
  <si>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</si>
  <si>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</si>
  <si>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</si>
  <si>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</si>
  <si>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</si>
  <si>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</si>
  <si>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</si>
  <si>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</si>
  <si>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</si>
  <si>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 and Benefits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</si>
  <si>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</si>
  <si>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</si>
  <si>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</si>
  <si>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</si>
  <si>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</si>
  <si>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</si>
  <si>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</si>
  <si>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</si>
  <si>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</si>
  <si>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</si>
  <si>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</si>
  <si>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</si>
  <si>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</si>
  <si>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</si>
  <si>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</si>
  <si>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</si>
  <si>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</si>
  <si>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</si>
  <si>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</si>
  <si>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</si>
  <si>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</si>
  <si>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</si>
  <si>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</si>
  <si>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</si>
  <si>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</si>
  <si>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</si>
  <si>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</si>
  <si>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</si>
  <si>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</si>
  <si>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</si>
  <si>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</si>
  <si>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</si>
  <si>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</si>
  <si>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</si>
  <si>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</si>
  <si>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</si>
  <si>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</si>
  <si>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</si>
  <si>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</si>
  <si>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</si>
  <si>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</si>
  <si>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</si>
  <si>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</si>
  <si>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</si>
  <si>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</si>
  <si>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</si>
  <si>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</si>
  <si>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</si>
  <si>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</si>
  <si>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</si>
  <si>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</si>
  <si>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</si>
  <si>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</si>
  <si>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</si>
  <si>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</si>
  <si>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</si>
  <si>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</si>
  <si>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</si>
  <si>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</si>
  <si>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</si>
  <si>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</si>
  <si>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</si>
  <si>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</si>
  <si>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</si>
  <si>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</si>
  <si>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</si>
  <si>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</si>
  <si>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</si>
  <si>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</si>
  <si>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</si>
  <si>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</si>
  <si>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</si>
  <si>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</si>
  <si>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</si>
  <si>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</si>
  <si>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</si>
  <si>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</si>
  <si>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</si>
  <si>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</si>
  <si>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</si>
  <si>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</si>
  <si>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</si>
  <si>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</si>
  <si>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</si>
  <si>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</si>
  <si>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</si>
  <si>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</si>
  <si>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</si>
  <si>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</si>
  <si>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</si>
  <si>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</si>
  <si>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</si>
  <si>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</si>
  <si>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</si>
  <si>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</si>
  <si>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</si>
  <si>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</si>
  <si>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</si>
  <si>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</si>
  <si>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</si>
  <si>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</si>
  <si>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</si>
  <si>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</si>
  <si>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</si>
  <si>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</si>
  <si>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</si>
  <si>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</si>
  <si>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</si>
  <si>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</si>
  <si>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</si>
  <si>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</si>
  <si>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</si>
  <si>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</si>
  <si>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</si>
  <si>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</si>
  <si>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</si>
  <si>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</si>
  <si>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</si>
  <si>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</si>
  <si>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</si>
  <si>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</si>
  <si>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</si>
  <si>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</si>
  <si>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</si>
  <si>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</si>
  <si>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</si>
  <si>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</si>
  <si>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</si>
  <si>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</si>
  <si>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</si>
  <si>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</si>
  <si>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</si>
  <si>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</si>
  <si>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</si>
  <si>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</si>
  <si>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</si>
  <si>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</si>
  <si>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</si>
  <si>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</si>
  <si>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</si>
  <si>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</si>
  <si>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</si>
  <si>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</si>
  <si>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</si>
  <si>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</si>
  <si>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</si>
  <si>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</si>
  <si>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</si>
  <si>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</si>
  <si>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</si>
  <si>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</si>
  <si>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</si>
  <si>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</si>
  <si>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</si>
  <si>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</si>
  <si>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</si>
  <si>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</si>
  <si>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</si>
  <si>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</si>
  <si>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</si>
  <si>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</si>
  <si>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</si>
  <si>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</si>
  <si>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</si>
  <si>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</si>
  <si>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</si>
  <si>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</si>
  <si>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</si>
  <si>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</si>
  <si>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</si>
  <si>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</si>
  <si>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</si>
  <si>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</si>
  <si>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</si>
  <si>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</si>
  <si>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</si>
  <si>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</si>
  <si>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</si>
  <si>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</si>
  <si>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</si>
  <si>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</si>
  <si>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</si>
  <si>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</si>
  <si>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</si>
  <si>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</si>
  <si>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</si>
  <si>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</si>
  <si>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</si>
  <si>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</si>
  <si>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</si>
  <si>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</si>
  <si>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</si>
  <si>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</si>
  <si>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</si>
  <si>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</si>
  <si>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</si>
  <si>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</si>
  <si>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</si>
  <si>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</si>
  <si>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</si>
  <si>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</si>
  <si>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</si>
  <si>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</si>
  <si>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</si>
  <si>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</si>
  <si>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</si>
  <si>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</si>
  <si>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</si>
  <si>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</si>
  <si>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</si>
  <si>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</si>
  <si>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</si>
  <si>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</si>
  <si>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</si>
  <si>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</si>
  <si>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Total Rehabilitation Costs</t>
  </si>
  <si>
    <t>Total Relocation Expenses</t>
  </si>
  <si>
    <t>NEW CONSTRUCTION</t>
  </si>
  <si>
    <t>Off-Site Public Improvements</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</si>
  <si>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</si>
  <si>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</si>
  <si>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</si>
  <si>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</si>
  <si>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</si>
  <si>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</si>
  <si>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</si>
  <si>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</si>
  <si>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</si>
  <si>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</si>
  <si>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</si>
  <si>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</si>
  <si>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</si>
  <si>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</si>
  <si>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</si>
  <si>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Interest Rate Cap</t>
  </si>
  <si>
    <t>Total Construction Interest &amp; Fees</t>
  </si>
  <si>
    <t>Loan Origination Fee</t>
  </si>
  <si>
    <t>Legal and Rate Lock Fees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</si>
  <si>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</si>
  <si>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</si>
  <si>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</si>
  <si>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</si>
  <si>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</si>
  <si>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</si>
  <si>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</si>
  <si>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Third Party Consultants</t>
  </si>
  <si>
    <t>Total Legal and Consulting Costs</t>
  </si>
  <si>
    <t>RESERVES</t>
  </si>
  <si>
    <t>Rent Reserves</t>
  </si>
  <si>
    <t>Capitalized Rent Reserves</t>
  </si>
  <si>
    <t>Required Capitalized Replacement Reserve</t>
  </si>
  <si>
    <t>3-Month Operating Reserve</t>
  </si>
  <si>
    <t>Other: (Specify)</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</si>
  <si>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</si>
  <si>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</si>
  <si>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</si>
  <si>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</si>
  <si>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</si>
  <si>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</si>
  <si>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</si>
  <si>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</si>
  <si>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</si>
  <si>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</si>
  <si>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</si>
  <si>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</si>
  <si>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</si>
  <si>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</si>
  <si>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</si>
  <si>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</si>
  <si>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</si>
  <si>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</si>
  <si>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</si>
  <si>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</si>
  <si>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</si>
  <si>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</si>
  <si>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</si>
  <si>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</si>
  <si>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</si>
  <si>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</si>
  <si>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</si>
  <si>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</si>
  <si>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</si>
  <si>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</si>
  <si>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</si>
  <si>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</si>
  <si>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</si>
  <si>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</si>
  <si>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</si>
  <si>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</si>
  <si>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</si>
  <si>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</si>
  <si>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</si>
  <si>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</si>
  <si>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</si>
  <si>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</si>
  <si>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</si>
  <si>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</si>
  <si>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</si>
  <si>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</si>
  <si>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</si>
  <si>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</si>
  <si>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</si>
  <si>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</si>
  <si>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</si>
  <si>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</si>
  <si>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</si>
  <si>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</si>
  <si>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</si>
  <si>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</si>
  <si>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</si>
  <si>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</si>
  <si>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</si>
  <si>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</si>
  <si>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</si>
  <si>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</si>
  <si>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</si>
  <si>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</si>
  <si>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</si>
  <si>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</si>
  <si>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</si>
  <si>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</si>
  <si>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</si>
  <si>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</si>
  <si>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</si>
  <si>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</si>
  <si>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</si>
  <si>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</si>
  <si>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</si>
  <si>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</si>
  <si>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</si>
  <si>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</si>
  <si>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</si>
  <si>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</si>
  <si>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</si>
  <si>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</si>
  <si>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</si>
  <si>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</si>
  <si>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</si>
  <si>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</si>
  <si>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</si>
  <si>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</si>
  <si>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</si>
  <si>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</si>
  <si>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</si>
  <si>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</si>
  <si>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</si>
  <si>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</si>
  <si>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</si>
  <si>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</si>
  <si>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</si>
  <si>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</si>
  <si>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</si>
  <si>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</si>
  <si>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</si>
  <si>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</si>
  <si>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</si>
  <si>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</si>
  <si>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</si>
  <si>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</si>
  <si>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</si>
  <si>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</si>
  <si>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</si>
  <si>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</si>
  <si>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</si>
  <si>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</si>
  <si>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</si>
  <si>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</si>
  <si>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</si>
  <si>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</si>
  <si>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</si>
  <si>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</si>
  <si>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</si>
  <si>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</si>
  <si>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</si>
  <si>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</si>
  <si>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</si>
  <si>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</si>
  <si>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</si>
  <si>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</si>
  <si>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</si>
  <si>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</si>
  <si>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</si>
  <si>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</si>
  <si>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</si>
  <si>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</si>
  <si>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</si>
  <si>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</si>
  <si>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</si>
  <si>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</si>
  <si>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</si>
  <si>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</si>
  <si>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</si>
  <si>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</si>
  <si>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</si>
  <si>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</si>
  <si>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</si>
  <si>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</si>
  <si>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</si>
  <si>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</si>
  <si>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</si>
  <si>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</si>
  <si>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</si>
  <si>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</si>
  <si>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</si>
  <si>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</si>
  <si>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</si>
  <si>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</si>
  <si>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</si>
  <si>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</si>
  <si>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</si>
  <si>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</si>
  <si>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</si>
  <si>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</si>
  <si>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</si>
  <si>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</si>
  <si>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</si>
  <si>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</si>
  <si>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</si>
  <si>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</si>
  <si>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</si>
  <si>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</si>
  <si>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</si>
  <si>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</si>
  <si>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</si>
  <si>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</si>
  <si>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</si>
  <si>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</si>
  <si>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</si>
  <si>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</si>
  <si>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</si>
  <si>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</si>
  <si>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</si>
  <si>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</si>
  <si>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</si>
  <si>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</si>
  <si>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</si>
  <si>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</si>
  <si>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</si>
  <si>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</si>
  <si>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</si>
  <si>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</si>
  <si>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</si>
  <si>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</si>
  <si>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</si>
  <si>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</si>
  <si>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</si>
  <si>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</si>
  <si>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</si>
  <si>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</si>
  <si>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</si>
  <si>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</si>
  <si>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</si>
  <si>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</si>
  <si>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</si>
  <si>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</si>
  <si>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</si>
  <si>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</si>
  <si>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</si>
  <si>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</si>
  <si>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</si>
  <si>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</si>
  <si>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</si>
  <si>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</si>
  <si>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</si>
  <si>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</si>
  <si>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</si>
  <si>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</si>
  <si>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</si>
  <si>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</si>
  <si>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</si>
  <si>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</si>
  <si>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</si>
  <si>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</si>
  <si>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</si>
  <si>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</si>
  <si>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</si>
  <si>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</si>
  <si>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</si>
  <si>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</si>
  <si>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</si>
  <si>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</si>
  <si>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</si>
  <si>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</si>
  <si>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</si>
  <si>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</si>
  <si>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</si>
  <si>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</si>
  <si>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</si>
  <si>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</si>
  <si>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</si>
  <si>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</si>
  <si>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</si>
  <si>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</si>
  <si>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</si>
  <si>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</si>
  <si>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</si>
  <si>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</si>
  <si>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</si>
  <si>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</si>
  <si>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</si>
  <si>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</si>
  <si>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</si>
  <si>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</si>
  <si>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</si>
  <si>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</si>
  <si>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</si>
  <si>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</si>
  <si>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</si>
  <si>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</si>
  <si>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</si>
  <si>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</si>
  <si>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</si>
  <si>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</si>
  <si>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</si>
  <si>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</si>
  <si>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</si>
  <si>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</si>
  <si>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</si>
  <si>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</si>
  <si>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</si>
  <si>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</si>
  <si>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</si>
  <si>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</si>
  <si>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</si>
  <si>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</si>
  <si>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</si>
  <si>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</si>
  <si>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</si>
  <si>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</si>
  <si>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</si>
  <si>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</si>
  <si>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</si>
  <si>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</si>
  <si>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</si>
  <si>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</si>
  <si>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</si>
  <si>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</si>
  <si>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</si>
  <si>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</si>
  <si>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</si>
  <si>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</si>
  <si>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</si>
  <si>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</si>
  <si>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</si>
  <si>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</si>
  <si>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</si>
  <si>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</si>
  <si>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</si>
  <si>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</si>
  <si>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</si>
  <si>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</si>
  <si>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</si>
  <si>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</si>
  <si>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</si>
  <si>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</si>
  <si>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</si>
  <si>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</si>
  <si>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</si>
  <si>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</si>
  <si>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</si>
  <si>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</si>
  <si>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</si>
  <si>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</si>
  <si>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</si>
  <si>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</si>
  <si>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</si>
  <si>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</si>
  <si>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</si>
  <si>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</si>
  <si>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</si>
  <si>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</si>
  <si>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</si>
  <si>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</si>
  <si>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</si>
  <si>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</si>
  <si>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</si>
  <si>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</si>
  <si>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</si>
  <si>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</si>
  <si>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</si>
  <si>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</si>
  <si>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</si>
  <si>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</si>
  <si>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</si>
  <si>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</si>
  <si>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</si>
  <si>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</si>
  <si>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</si>
  <si>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</si>
  <si>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</si>
  <si>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</si>
  <si>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</si>
  <si>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</si>
  <si>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</si>
  <si>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</si>
  <si>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</si>
  <si>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</si>
  <si>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</si>
  <si>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</si>
  <si>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</si>
  <si>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</si>
  <si>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</si>
  <si>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</si>
  <si>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</si>
  <si>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</si>
  <si>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</si>
  <si>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</si>
  <si>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</si>
  <si>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</si>
  <si>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</si>
  <si>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</si>
  <si>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</si>
  <si>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</si>
  <si>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</si>
  <si>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</si>
  <si>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</si>
  <si>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</si>
  <si>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</si>
  <si>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</si>
  <si>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</si>
  <si>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</si>
  <si>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</si>
  <si>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</si>
  <si>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</si>
  <si>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</si>
  <si>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</si>
  <si>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</si>
  <si>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</si>
  <si>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</si>
  <si>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</si>
  <si>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</si>
  <si>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</si>
  <si>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</si>
  <si>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</si>
  <si>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</si>
  <si>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</si>
  <si>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</si>
  <si>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</si>
  <si>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</si>
  <si>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</si>
  <si>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</si>
  <si>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</si>
  <si>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</si>
  <si>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</si>
  <si>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</si>
  <si>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</si>
  <si>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</si>
  <si>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</si>
  <si>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</si>
  <si>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</si>
  <si>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</si>
  <si>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</si>
  <si>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</si>
  <si>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</si>
  <si>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</si>
  <si>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</si>
  <si>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</si>
  <si>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</si>
  <si>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</si>
  <si>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</si>
  <si>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</si>
  <si>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</si>
  <si>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</si>
  <si>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</si>
  <si>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</si>
  <si>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</si>
  <si>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</si>
  <si>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</si>
  <si>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</si>
  <si>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</si>
  <si>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</si>
  <si>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Recycled Bonds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</si>
  <si>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</si>
  <si>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</si>
  <si>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</si>
  <si>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</si>
  <si>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</si>
  <si>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</si>
  <si>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</si>
  <si>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</si>
  <si>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</si>
  <si>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</si>
  <si>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</si>
  <si>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</si>
  <si>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</si>
  <si>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</si>
  <si>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</si>
  <si>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</si>
  <si>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</si>
  <si>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</si>
  <si>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</si>
  <si>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</si>
  <si>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</si>
  <si>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</si>
  <si>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</si>
  <si>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</si>
  <si>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</si>
  <si>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</si>
  <si>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</si>
  <si>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</si>
  <si>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</si>
  <si>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</si>
  <si>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</si>
  <si>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</si>
  <si>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</si>
  <si>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</si>
  <si>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</si>
  <si>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</si>
  <si>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</si>
  <si>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</si>
  <si>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</si>
  <si>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</si>
  <si>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</si>
  <si>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</si>
  <si>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</si>
  <si>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</si>
  <si>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</si>
  <si>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</si>
  <si>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</si>
  <si>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</si>
  <si>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</si>
  <si>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</si>
  <si>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</si>
  <si>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</si>
  <si>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</si>
  <si>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</si>
  <si>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</si>
  <si>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</si>
  <si>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</si>
  <si>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</si>
  <si>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</si>
  <si>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</si>
  <si>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</si>
  <si>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</si>
  <si>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</si>
  <si>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</si>
  <si>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</si>
  <si>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</si>
  <si>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</si>
  <si>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</si>
  <si>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</si>
  <si>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</si>
  <si>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</si>
  <si>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</si>
  <si>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</si>
  <si>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</si>
  <si>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</si>
  <si>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</si>
  <si>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</si>
  <si>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</si>
  <si>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</si>
  <si>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</si>
  <si>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</si>
  <si>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</si>
  <si>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</si>
  <si>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</si>
  <si>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</si>
  <si>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</si>
  <si>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</si>
  <si>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</si>
  <si>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</si>
  <si>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</si>
  <si>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</si>
  <si>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</si>
  <si>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</si>
  <si>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</si>
  <si>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</si>
  <si>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</si>
  <si>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</si>
  <si>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</si>
  <si>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</si>
  <si>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</si>
  <si>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</si>
  <si>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</si>
  <si>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</si>
  <si>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</si>
  <si>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</si>
  <si>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</si>
  <si>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</si>
  <si>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</si>
  <si>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</si>
  <si>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</si>
  <si>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</si>
  <si>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</si>
  <si>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</si>
  <si>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</si>
  <si>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</si>
  <si>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</si>
  <si>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</si>
  <si>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</si>
  <si>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</si>
  <si>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</si>
  <si>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</si>
  <si>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</si>
  <si>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</si>
  <si>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</si>
  <si>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</si>
  <si>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</si>
  <si>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</si>
  <si>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</si>
  <si>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</si>
  <si>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</si>
  <si>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</si>
  <si>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</si>
  <si>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</si>
  <si>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</si>
  <si>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</si>
  <si>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</si>
  <si>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</si>
  <si>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</si>
  <si>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</si>
  <si>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</si>
  <si>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</si>
  <si>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</si>
  <si>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</si>
  <si>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</si>
  <si>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</si>
  <si>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</si>
  <si>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</si>
  <si>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</si>
  <si>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</si>
  <si>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</si>
  <si>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</si>
  <si>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</si>
  <si>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</si>
  <si>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</si>
  <si>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</si>
  <si>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</si>
  <si>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</si>
  <si>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</si>
  <si>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</si>
  <si>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</si>
  <si>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</si>
  <si>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</si>
  <si>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</si>
  <si>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</si>
  <si>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</si>
  <si>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</si>
  <si>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</si>
  <si>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</si>
  <si>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</si>
  <si>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</si>
  <si>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</si>
  <si>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</si>
  <si>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</si>
  <si>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</si>
  <si>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</si>
  <si>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</si>
  <si>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</si>
  <si>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</si>
  <si>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</si>
  <si>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</si>
  <si>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</si>
  <si>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</si>
  <si>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</si>
  <si>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</si>
  <si>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</si>
  <si>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</si>
  <si>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</si>
  <si>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</si>
  <si>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</si>
  <si>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</si>
  <si>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</si>
  <si>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</si>
  <si>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</si>
  <si>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</si>
  <si>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</si>
  <si>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</si>
  <si>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</si>
  <si>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</si>
  <si>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</si>
  <si>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</si>
  <si>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</si>
  <si>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</si>
  <si>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</si>
  <si>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</si>
  <si>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</si>
  <si>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</si>
  <si>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</si>
  <si>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</si>
  <si>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</si>
  <si>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</si>
  <si>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</si>
  <si>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</si>
  <si>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</si>
  <si>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</si>
  <si>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</si>
  <si>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</si>
  <si>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</si>
  <si>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</si>
  <si>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</si>
  <si>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</si>
  <si>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</si>
  <si>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</si>
  <si>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</si>
  <si>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</si>
  <si>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</si>
  <si>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</si>
  <si>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</si>
  <si>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</si>
  <si>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</si>
  <si>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</si>
  <si>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</si>
  <si>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</si>
  <si>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</si>
  <si>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</si>
  <si>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</si>
  <si>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</si>
  <si>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</si>
  <si>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</si>
  <si>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</si>
  <si>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</si>
  <si>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</si>
  <si>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</si>
  <si>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</si>
  <si>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</si>
  <si>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</si>
  <si>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</si>
  <si>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</si>
  <si>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</si>
  <si>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</si>
  <si>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</si>
  <si>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</si>
  <si>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</si>
  <si>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</si>
  <si>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</si>
  <si>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</si>
  <si>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</si>
  <si>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</si>
  <si>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</si>
  <si>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</si>
  <si>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</si>
  <si>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</si>
  <si>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</si>
  <si>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</si>
  <si>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</si>
  <si>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</si>
  <si>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</si>
  <si>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</si>
  <si>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</si>
  <si>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</si>
  <si>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</si>
  <si>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</si>
  <si>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</si>
  <si>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</si>
  <si>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</si>
  <si>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</si>
  <si>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</si>
  <si>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</si>
  <si>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</si>
  <si>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</si>
  <si>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</si>
  <si>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</si>
  <si>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</si>
  <si>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</si>
  <si>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</si>
  <si>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</si>
  <si>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</si>
  <si>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</si>
  <si>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</si>
  <si>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</si>
  <si>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</si>
  <si>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</si>
  <si>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</si>
  <si>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</si>
  <si>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</si>
  <si>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</si>
  <si>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</si>
  <si>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</si>
  <si>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</si>
  <si>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</si>
  <si>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</si>
  <si>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</si>
  <si>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</si>
  <si>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</si>
  <si>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</si>
  <si>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</si>
  <si>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</si>
  <si>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</si>
  <si>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</si>
  <si>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</si>
  <si>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</si>
  <si>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</si>
  <si>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</si>
  <si>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</si>
  <si>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</si>
  <si>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</si>
  <si>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</si>
  <si>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</si>
  <si>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</si>
  <si>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</si>
  <si>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</si>
  <si>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</si>
  <si>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</si>
  <si>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</si>
  <si>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</si>
  <si>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</si>
  <si>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</si>
  <si>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</si>
  <si>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</si>
  <si>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</si>
  <si>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</si>
  <si>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</si>
  <si>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</si>
  <si>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</si>
  <si>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</si>
  <si>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</si>
  <si>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</si>
  <si>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</si>
  <si>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</si>
  <si>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</si>
  <si>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</si>
  <si>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</si>
  <si>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</si>
  <si>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</si>
  <si>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</si>
  <si>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</si>
  <si>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</si>
  <si>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</si>
  <si>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</si>
  <si>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</si>
  <si>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</si>
  <si>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</si>
  <si>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</si>
  <si>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</si>
  <si>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</si>
  <si>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</si>
  <si>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</si>
  <si>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</si>
  <si>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</si>
  <si>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</si>
  <si>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</si>
  <si>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</si>
  <si>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</si>
  <si>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</si>
  <si>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</si>
  <si>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</si>
  <si>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</si>
  <si>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</si>
  <si>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</si>
  <si>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</si>
  <si>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</si>
  <si>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</si>
  <si>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</si>
  <si>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</si>
  <si>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</si>
  <si>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</si>
  <si>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</si>
  <si>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</si>
  <si>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</si>
  <si>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</si>
  <si>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</si>
  <si>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</si>
  <si>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</si>
  <si>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</si>
  <si>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</si>
  <si>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</si>
  <si>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</si>
  <si>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</si>
  <si>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</si>
  <si>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</si>
  <si>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</si>
  <si>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</si>
  <si>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</si>
  <si>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</si>
  <si>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</si>
  <si>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</si>
  <si>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</si>
  <si>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</si>
  <si>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</si>
  <si>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</si>
  <si>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</si>
  <si>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</si>
  <si>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</si>
  <si>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</si>
  <si>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</si>
  <si>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</si>
  <si>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</si>
  <si>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</si>
  <si>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</si>
  <si>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</si>
  <si>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</si>
  <si>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</si>
  <si>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</si>
  <si>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</si>
  <si>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</si>
  <si>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</si>
  <si>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</si>
  <si>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</si>
  <si>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</si>
  <si>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</si>
  <si>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</si>
  <si>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</si>
  <si>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</si>
  <si>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</si>
  <si>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</si>
  <si>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</si>
  <si>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</si>
  <si>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</si>
  <si>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</si>
  <si>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</si>
  <si>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</si>
  <si>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</si>
  <si>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</si>
  <si>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</si>
  <si>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</si>
  <si>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</si>
  <si>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</si>
  <si>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</si>
  <si>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</si>
  <si>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</si>
  <si>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</si>
  <si>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</si>
  <si>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</si>
  <si>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</si>
  <si>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</si>
  <si>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</si>
  <si>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</si>
  <si>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</si>
  <si>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</si>
  <si>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</si>
  <si>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</si>
  <si>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</si>
  <si>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</si>
  <si>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</si>
  <si>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</si>
  <si>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</si>
  <si>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</si>
  <si>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</si>
  <si>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</si>
  <si>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</si>
  <si>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</si>
  <si>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</si>
  <si>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</si>
  <si>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</si>
  <si>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</si>
  <si>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</si>
  <si>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</si>
  <si>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</si>
  <si>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</si>
  <si>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</si>
  <si>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</si>
  <si>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</si>
  <si>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</si>
  <si>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</si>
  <si>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</si>
  <si>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</si>
  <si>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</si>
  <si>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</si>
  <si>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</si>
  <si>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</si>
  <si>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</si>
  <si>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</si>
  <si>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</si>
  <si>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</si>
  <si>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</si>
  <si>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</si>
  <si>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</si>
  <si>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</si>
  <si>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</si>
  <si>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</si>
  <si>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</si>
  <si>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</si>
  <si>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</si>
  <si>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</si>
  <si>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</si>
  <si>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</si>
  <si>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</si>
  <si>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</si>
  <si>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</si>
  <si>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</si>
  <si>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</si>
  <si>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</si>
  <si>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</si>
  <si>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</si>
  <si>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</si>
  <si>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</si>
  <si>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</si>
  <si>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</si>
  <si>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</si>
  <si>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</si>
  <si>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</si>
  <si>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10500 NE 8th Street Suite 1410</t>
  </si>
  <si>
    <t>Dadil Dill</t>
  </si>
  <si>
    <t>Stifel</t>
  </si>
  <si>
    <t>Cash-Collaterailized Interest Revenue</t>
  </si>
  <si>
    <t>Tax Credit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</si>
</sst>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0" fillId="5" borderId="6" xfId="0" applyFill="1" applyBorder="1" applyAlignment="1" applyProtection="1">
      <alignment horizontal="left"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19050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84137</xdr:colOff>
      <xdr:row>7</xdr:row>
      <xdr:rowOff>7716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55" workbookViewId="0">
      <selection activeCell="F40" sqref="F40:XFD41"/>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3.5"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3.5"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36"/>
      <c r="B7" s="136"/>
      <c r="C7" s="137"/>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57"/>
    </row>
    <row r="8" spans="1:38">
      <c r="A8" s="136"/>
      <c r="B8" s="136"/>
      <c r="C8" s="137"/>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57"/>
    </row>
    <row r="9" spans="1:38">
      <c r="A9" s="136"/>
      <c r="B9" s="136"/>
      <c r="C9" s="137"/>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15" customHeight="1">
      <c r="A11" s="136"/>
      <c r="B11" s="136"/>
      <c r="C11" s="137"/>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57"/>
    </row>
    <row r="12" spans="1:38">
      <c r="A12" s="136"/>
      <c r="B12" s="136"/>
      <c r="C12" s="137"/>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57"/>
    </row>
    <row r="13" spans="1:38">
      <c r="A13" s="136"/>
      <c r="B13" s="136"/>
      <c r="C13" s="137"/>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15" customHeight="1">
      <c r="A15" s="136"/>
      <c r="B15" s="136"/>
      <c r="C15" s="137"/>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57"/>
    </row>
    <row r="16" spans="1:38" ht="13.15" customHeight="1">
      <c r="A16" s="136"/>
      <c r="B16" s="136"/>
      <c r="C16" s="137"/>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57"/>
    </row>
    <row r="17" spans="1:38">
      <c r="A17" s="136"/>
      <c r="B17" s="136"/>
      <c r="C17" s="137"/>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357"/>
    </row>
    <row r="18" spans="1:38">
      <c r="A18" s="136"/>
      <c r="B18" s="136"/>
      <c r="C18" s="137"/>
      <c r="D18" s="419" t="s">
        <v>8</v>
      </c>
      <c r="E18" s="344"/>
      <c r="G18" s="344"/>
      <c r="H18" s="344"/>
      <c r="I18" s="344"/>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15" customHeight="1">
      <c r="A20" s="136"/>
      <c r="B20" s="136"/>
      <c r="C20" s="137"/>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36"/>
    </row>
    <row r="21" spans="1:38">
      <c r="A21" s="136"/>
      <c r="B21" s="136"/>
      <c r="C21" s="137"/>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36"/>
    </row>
    <row r="22" spans="1:38">
      <c r="A22" s="136"/>
      <c r="B22" s="136"/>
      <c r="C22" s="137"/>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36"/>
    </row>
    <row r="23" spans="1:38" ht="13.15" customHeight="1">
      <c r="A23" s="136"/>
      <c r="B23" s="136"/>
      <c r="C23" s="137"/>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36"/>
    </row>
    <row r="24" spans="1:38">
      <c r="A24" s="136"/>
      <c r="B24" s="136"/>
      <c r="C24" s="137"/>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36"/>
    </row>
    <row r="25" spans="1:38">
      <c r="A25" s="136"/>
      <c r="B25" s="136"/>
      <c r="C25" s="137"/>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36"/>
    </row>
    <row r="26" spans="1:38">
      <c r="A26" s="136"/>
      <c r="B26" s="136"/>
      <c r="C26" s="137"/>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36"/>
    </row>
    <row r="27" spans="1:38">
      <c r="A27" s="136"/>
      <c r="B27" s="136"/>
      <c r="C27" s="137"/>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36"/>
    </row>
    <row r="28" spans="1:38">
      <c r="A28" s="136"/>
      <c r="B28" s="136"/>
      <c r="C28" s="137"/>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15" customHeight="1">
      <c r="A30" s="136"/>
      <c r="B30" s="136"/>
      <c r="C30" s="137"/>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36"/>
    </row>
    <row r="31" spans="1:38">
      <c r="A31" s="136"/>
      <c r="B31" s="136"/>
      <c r="C31" s="137"/>
      <c r="D31" s="357"/>
      <c r="E31" s="1232" t="s">
        <v>12</v>
      </c>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36"/>
    </row>
    <row r="32" spans="1:38">
      <c r="A32" s="3"/>
      <c r="C32" s="2"/>
    </row>
    <row r="33" spans="1:38">
      <c r="A33" s="3"/>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3"/>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c r="A35" s="3"/>
      <c r="D35" s="86"/>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c r="A36" s="3"/>
      <c r="D36" s="86"/>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4" customFormat="1" ht="13.15" customHeight="1">
      <c r="A40" s="3"/>
      <c r="B40"/>
      <c r="C40" s="2"/>
      <c r="D40" s="3"/>
      <c r="E40" s="3" t="s">
        <v>20</v>
      </c>
      <c r="F40" s="1224" t="s">
        <v>21</v>
      </c>
    </row>
    <row r="41" spans="1:38" s="1224" customFormat="1" ht="13.1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1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1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c r="A49" s="3"/>
      <c r="C49" s="2"/>
      <c r="D49" s="3"/>
      <c r="E49" s="3"/>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c r="A50" s="3"/>
      <c r="C50" s="2"/>
      <c r="D50" s="3"/>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15"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1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15"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c r="A65" s="3"/>
      <c r="C65" s="2"/>
      <c r="D65" s="3"/>
      <c r="E65" s="3"/>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c r="A66" s="3"/>
      <c r="C66" s="2"/>
      <c r="D66" s="3"/>
      <c r="E66" s="3"/>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15" customHeight="1">
      <c r="A67" s="3"/>
      <c r="C67" s="2"/>
      <c r="D67" s="3"/>
      <c r="E67" s="3"/>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c r="A68" s="3"/>
      <c r="C68" s="2"/>
      <c r="D68" s="3"/>
      <c r="E68" s="3"/>
      <c r="F68" s="2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c r="A71" s="3"/>
      <c r="C71" s="2"/>
      <c r="D71" s="3"/>
      <c r="E71" s="3"/>
      <c r="F71" s="7"/>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c r="A72" s="3"/>
      <c r="C72" s="2"/>
      <c r="D72" s="3"/>
      <c r="E72" s="3"/>
      <c r="F72" s="7"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c r="A73" s="3"/>
      <c r="C73" s="2"/>
      <c r="D73" s="3"/>
      <c r="E73" s="3"/>
      <c r="F73" s="7"/>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c r="A81" s="3"/>
      <c r="C81" s="2"/>
      <c r="D81" s="3"/>
      <c r="E81" s="3"/>
      <c r="F81" s="3"/>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c r="A82" s="3"/>
      <c r="C82" s="2"/>
      <c r="D82" s="3"/>
      <c r="E82" s="3"/>
      <c r="F82" s="3"/>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c r="A85" s="3"/>
      <c r="C85" s="2"/>
      <c r="D85" s="3"/>
      <c r="E85" s="3"/>
      <c r="F85" s="3"/>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c r="A86" s="3"/>
      <c r="C86" s="2"/>
      <c r="D86" s="3"/>
      <c r="E86" s="3"/>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4" t="s">
        <v>62</v>
      </c>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row>
    <row r="89" spans="1:37">
      <c r="A89" s="3"/>
      <c r="C89" s="2"/>
      <c r="D89" s="3"/>
      <c r="E89" s="3"/>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row>
    <row r="90" spans="1:37">
      <c r="A90" s="3"/>
      <c r="C90" s="2"/>
      <c r="D90" s="3"/>
      <c r="E90" s="3"/>
      <c r="G90" s="1234"/>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3"/>
      <c r="C93" s="2"/>
      <c r="D93" s="3"/>
      <c r="E93" s="3"/>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c r="A96" s="3"/>
      <c r="C96" s="2"/>
      <c r="D96" s="3"/>
      <c r="E96" s="3"/>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c r="A97" s="3"/>
      <c r="C97" s="2"/>
      <c r="D97" s="3"/>
      <c r="E97" s="3"/>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c r="A98" s="3"/>
      <c r="D98" s="74"/>
      <c r="E98" s="1235" t="s">
        <v>69</v>
      </c>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row>
    <row r="99" spans="1:38">
      <c r="A99" s="3"/>
      <c r="D99" s="74"/>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c r="B206" s="3"/>
      <c r="C206" s="3"/>
      <c r="D206" s="2"/>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c r="B337" s="2"/>
      <c r="E337" s="3"/>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c r="B338" s="2"/>
      <c r="E338" s="3"/>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15"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3"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3"/>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c r="B350" s="2"/>
      <c r="E350" s="3"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c r="B351" s="2"/>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c r="B352" s="2"/>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1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1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c r="B366" s="2"/>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c r="B387" s="2"/>
      <c r="E387" s="3"/>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c r="B388" s="2"/>
      <c r="E388" s="3"/>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1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30" workbookViewId="0">
      <selection activeCell="H9" sqref="H9"/>
    </sheetView>
  </sheetViews>
  <sheetFormatPr defaultColWidth="0" defaultRowHeight="12.4" customHeight="1" zeroHeight="1"/>
  <cols>
    <col min="1" max="10" width="10.7109375" style="305" customWidth="1"/>
    <col min="11" max="16384" width="8.85546875" style="305" hidden="1"/>
  </cols>
  <sheetData>
    <row r="1" spans="1:10" ht="15.75">
      <c r="A1" s="1236" t="s">
        <v>293</v>
      </c>
      <c r="B1" s="1237"/>
      <c r="C1" s="1237"/>
      <c r="D1" s="1237"/>
      <c r="E1" s="1237"/>
      <c r="F1" s="1237"/>
      <c r="G1" s="1237"/>
      <c r="H1" s="1237"/>
      <c r="I1" s="1237"/>
      <c r="J1" s="1237"/>
    </row>
    <row r="2" spans="1:10" ht="15">
      <c r="A2" s="1240" t="s">
        <v>294</v>
      </c>
      <c r="B2" s="1241"/>
      <c r="C2" s="1241"/>
      <c r="D2" s="1241"/>
      <c r="E2" s="1241"/>
      <c r="F2" s="1241"/>
      <c r="G2" s="1241"/>
      <c r="H2" s="1241"/>
      <c r="I2" s="1241"/>
      <c r="J2" s="1241"/>
    </row>
    <row r="3" spans="1:10" ht="12.75"/>
    <row r="4" spans="1:10" ht="12.75" customHeight="1">
      <c r="A4" s="1238" t="s">
        <v>295</v>
      </c>
      <c r="B4" s="1238"/>
      <c r="C4" s="1238"/>
      <c r="D4" s="1238"/>
      <c r="E4" s="1238"/>
      <c r="F4" s="1238"/>
      <c r="G4" s="1238"/>
      <c r="H4" s="1238"/>
      <c r="I4" s="1238"/>
      <c r="J4" s="1238"/>
    </row>
    <row r="5" spans="1:10" ht="12.75">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2.7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75"/>
    <row r="10" spans="1:10" ht="12.75" customHeight="1">
      <c r="A10" s="1242" t="s">
        <v>297</v>
      </c>
      <c r="B10" s="1242"/>
      <c r="C10" s="1242"/>
      <c r="D10" s="1242"/>
      <c r="E10" s="1242"/>
      <c r="F10" s="1242"/>
      <c r="G10" s="1242"/>
      <c r="H10" s="1242"/>
      <c r="I10" s="1242"/>
      <c r="J10" s="1242"/>
    </row>
    <row r="11" spans="1:10" ht="12.75">
      <c r="A11" s="1242"/>
      <c r="B11" s="1242"/>
      <c r="C11" s="1242"/>
      <c r="D11" s="1242"/>
      <c r="E11" s="1242"/>
      <c r="F11" s="1242"/>
      <c r="G11" s="1242"/>
      <c r="H11" s="1242"/>
      <c r="I11" s="1242"/>
      <c r="J11" s="1242"/>
    </row>
    <row r="12" spans="1:10" ht="12.75">
      <c r="A12" s="1242"/>
      <c r="B12" s="1242"/>
      <c r="C12" s="1242"/>
      <c r="D12" s="1242"/>
      <c r="E12" s="1242"/>
      <c r="F12" s="1242"/>
      <c r="G12" s="1242"/>
      <c r="H12" s="1242"/>
      <c r="I12" s="1242"/>
      <c r="J12" s="1242"/>
    </row>
    <row r="13" spans="1:10" ht="12.75">
      <c r="A13" s="1242"/>
      <c r="B13" s="1242"/>
      <c r="C13" s="1242"/>
      <c r="D13" s="1242"/>
      <c r="E13" s="1242"/>
      <c r="F13" s="1242"/>
      <c r="G13" s="1242"/>
      <c r="H13" s="1242"/>
      <c r="I13" s="1242"/>
      <c r="J13" s="1242"/>
    </row>
    <row r="14" spans="1:10" ht="12.75">
      <c r="A14" s="1242"/>
      <c r="B14" s="1242"/>
      <c r="C14" s="1242"/>
      <c r="D14" s="1242"/>
      <c r="E14" s="1242"/>
      <c r="F14" s="1242"/>
      <c r="G14" s="1242"/>
      <c r="H14" s="1242"/>
      <c r="I14" s="1242"/>
      <c r="J14" s="1242"/>
    </row>
    <row r="15" spans="1:10" ht="12.75">
      <c r="A15" s="1242"/>
      <c r="B15" s="1242"/>
      <c r="C15" s="1242"/>
      <c r="D15" s="1242"/>
      <c r="E15" s="1242"/>
      <c r="F15" s="1242"/>
      <c r="G15" s="1242"/>
      <c r="H15" s="1242"/>
      <c r="I15" s="1242"/>
      <c r="J15" s="1242"/>
    </row>
    <row r="16" spans="1:10" ht="12.75">
      <c r="A16" s="424"/>
      <c r="B16" s="424"/>
      <c r="C16" s="424"/>
      <c r="D16" s="424"/>
      <c r="E16" s="424"/>
      <c r="F16" s="424"/>
      <c r="G16" s="424"/>
      <c r="H16" s="424"/>
      <c r="I16" s="424"/>
      <c r="J16" s="424"/>
    </row>
    <row r="17" spans="1:10" ht="12.75">
      <c r="A17" s="377" t="s">
        <v>298</v>
      </c>
      <c r="B17" s="319"/>
      <c r="C17" s="319"/>
      <c r="D17" s="319"/>
      <c r="E17" s="319"/>
      <c r="F17" s="319"/>
      <c r="G17" s="319"/>
      <c r="H17" s="319"/>
      <c r="I17" s="319"/>
      <c r="J17" s="319"/>
    </row>
    <row r="18" spans="1:10" ht="12.75">
      <c r="A18" s="319" t="s">
        <v>254</v>
      </c>
      <c r="B18" s="319"/>
      <c r="C18" s="319"/>
      <c r="D18" s="319"/>
      <c r="E18" s="319"/>
      <c r="F18" s="319"/>
      <c r="G18" s="319"/>
      <c r="H18" s="319"/>
      <c r="I18" s="319"/>
      <c r="J18" s="319"/>
    </row>
    <row r="19" spans="1:10" ht="12.75">
      <c r="A19" s="1241" t="s">
        <v>299</v>
      </c>
      <c r="B19" s="1241"/>
      <c r="C19" s="1241"/>
      <c r="D19" s="1241"/>
      <c r="E19" s="1241"/>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8" t="s">
        <v>300</v>
      </c>
      <c r="B56" s="1238"/>
      <c r="C56" s="1238"/>
      <c r="D56" s="1238"/>
      <c r="E56" s="1238"/>
      <c r="F56" s="1238"/>
      <c r="G56" s="1238"/>
      <c r="H56" s="1238"/>
      <c r="I56" s="1238"/>
      <c r="J56" s="1238"/>
    </row>
    <row r="57" spans="1:10" ht="12.75">
      <c r="A57" s="1238"/>
      <c r="B57" s="1238"/>
      <c r="C57" s="1238"/>
      <c r="D57" s="1238"/>
      <c r="E57" s="1238"/>
      <c r="F57" s="1238"/>
      <c r="G57" s="1238"/>
      <c r="H57" s="1238"/>
      <c r="I57" s="1238"/>
      <c r="J57" s="1238"/>
    </row>
    <row r="58" spans="1:10" ht="12.75">
      <c r="A58" s="1238"/>
      <c r="B58" s="1238"/>
      <c r="C58" s="1238"/>
      <c r="D58" s="1238"/>
      <c r="E58" s="1238"/>
      <c r="F58" s="1238"/>
      <c r="G58" s="1238"/>
      <c r="H58" s="1238"/>
      <c r="I58" s="1238"/>
      <c r="J58" s="1238"/>
    </row>
    <row r="59" spans="1:10" ht="12.75"/>
    <row r="60" spans="1:10" ht="12.75">
      <c r="A60" s="305"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39" t="s">
        <v>301</v>
      </c>
      <c r="B71" s="1239"/>
      <c r="C71" s="1239"/>
      <c r="D71" s="1239"/>
      <c r="E71" s="1239"/>
      <c r="F71" s="1239"/>
      <c r="G71" s="1239"/>
      <c r="H71" s="1239"/>
      <c r="I71" s="1239"/>
    </row>
    <row r="72" spans="1:9" ht="12.75">
      <c r="A72" s="1231" t="s">
        <v>14</v>
      </c>
      <c r="B72" s="1231"/>
      <c r="C72" s="1231"/>
      <c r="D72" s="1231"/>
      <c r="E72" s="1231"/>
    </row>
    <row r="73" spans="1:9" ht="12.75">
      <c r="A73" s="1231" t="s">
        <v>15</v>
      </c>
      <c r="B73" s="1231"/>
      <c r="C73" s="1231"/>
      <c r="D73" s="1231"/>
      <c r="E73" s="1231"/>
    </row>
    <row r="74" spans="1:9" ht="12.75">
      <c r="A74" s="1231" t="s">
        <v>302</v>
      </c>
      <c r="B74" s="1231"/>
      <c r="C74" s="1231"/>
      <c r="D74" s="1231"/>
      <c r="E74" s="1231"/>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19050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678" workbookViewId="0">
      <selection activeCell="D682" sqref="D682:F682"/>
    </sheetView>
  </sheetViews>
  <sheetFormatPr defaultColWidth="0" defaultRowHeight="12.75" zeroHeight="1"/>
  <cols>
    <col min="1" max="1" width="3.5703125" style="381" customWidth="1"/>
    <col min="2" max="2" width="13.5703125" style="381" customWidth="1"/>
    <col min="3" max="3" width="2.5703125" style="381" customWidth="1"/>
    <col min="4" max="5" width="3.5703125" style="305" customWidth="1"/>
    <col min="6" max="6" width="65.5703125" style="305" customWidth="1"/>
    <col min="7" max="7" width="1.5703125" style="305" customWidth="1"/>
    <col min="8" max="8" width="3.5703125" style="305" customWidth="1"/>
    <col min="9" max="9" width="9.140625" style="307" customWidth="1"/>
    <col min="10" max="10" width="8.85546875" style="305" hidden="1" customWidth="1"/>
    <col min="11" max="16384" width="8.85546875" style="305" hidden="1"/>
  </cols>
  <sheetData>
    <row r="1" spans="1:13"/>
    <row r="2" spans="1:13">
      <c r="A2" s="1293" t="s">
        <v>303</v>
      </c>
      <c r="B2" s="1293"/>
      <c r="C2" s="1293"/>
      <c r="D2" s="1293"/>
      <c r="E2" s="1293"/>
      <c r="F2" s="1293"/>
      <c r="G2" s="1293"/>
      <c r="H2" s="1293"/>
      <c r="I2" s="1293"/>
    </row>
    <row r="3" spans="1:13">
      <c r="A3" s="1281" t="s">
        <v>304</v>
      </c>
      <c r="B3" s="1281"/>
      <c r="C3" s="1281"/>
      <c r="D3" s="1281"/>
      <c r="E3" s="1281"/>
      <c r="F3" s="1281"/>
      <c r="G3" s="1281"/>
      <c r="H3" s="1281"/>
      <c r="I3" s="1281"/>
    </row>
    <row r="4" spans="1:13">
      <c r="A4" s="1281"/>
      <c r="B4" s="1281"/>
      <c r="C4" s="1241"/>
      <c r="D4" s="1241"/>
      <c r="E4" s="1241"/>
      <c r="F4" s="1241"/>
      <c r="G4" s="1241"/>
    </row>
    <row r="5" spans="1:13">
      <c r="A5" s="1281"/>
      <c r="B5" s="1281"/>
      <c r="C5" s="1241"/>
      <c r="D5" s="1241"/>
      <c r="E5" s="1241"/>
      <c r="F5" s="1241"/>
      <c r="G5" s="1241"/>
    </row>
    <row r="6" spans="1:13" ht="12.75" customHeight="1">
      <c r="A6" s="1284" t="s">
        <v>305</v>
      </c>
      <c r="B6" s="1284"/>
      <c r="C6" s="1284"/>
      <c r="D6" s="1284"/>
      <c r="E6" s="1284"/>
      <c r="F6" s="1284"/>
      <c r="G6" s="1284"/>
      <c r="I6" s="391"/>
    </row>
    <row r="7" spans="1:13">
      <c r="A7" s="1284"/>
      <c r="B7" s="1284"/>
      <c r="C7" s="1284"/>
      <c r="D7" s="1284"/>
      <c r="E7" s="1284"/>
      <c r="F7" s="1284"/>
      <c r="G7" s="1284"/>
      <c r="I7" s="391"/>
    </row>
    <row r="8" spans="1:13">
      <c r="A8" s="382"/>
      <c r="B8" s="382"/>
      <c r="C8" s="383"/>
      <c r="D8" s="383"/>
      <c r="E8" s="383"/>
      <c r="F8" s="383"/>
    </row>
    <row r="9" spans="1:13">
      <c r="A9" s="1270" t="s">
        <v>306</v>
      </c>
      <c r="B9" s="1270"/>
      <c r="C9" s="1270"/>
      <c r="D9" s="1270"/>
      <c r="E9" s="1270"/>
      <c r="F9" s="1270"/>
      <c r="G9" s="1270"/>
      <c r="H9" s="919"/>
      <c r="I9" s="920"/>
    </row>
    <row r="10" spans="1:13">
      <c r="A10" s="383"/>
      <c r="B10" s="383"/>
      <c r="E10" s="307"/>
    </row>
    <row r="11" spans="1:13" ht="13.9" customHeight="1">
      <c r="C11" s="383"/>
      <c r="D11" s="1283" t="s">
        <v>307</v>
      </c>
      <c r="E11" s="1283"/>
      <c r="F11" s="1283"/>
    </row>
    <row r="12" spans="1:13">
      <c r="C12" s="383"/>
      <c r="D12" s="1283"/>
      <c r="E12" s="1283"/>
      <c r="F12" s="1283"/>
    </row>
    <row r="13" spans="1:13">
      <c r="A13" s="384"/>
      <c r="B13" s="384"/>
      <c r="C13" s="384"/>
      <c r="D13" s="1261" t="s">
        <v>308</v>
      </c>
      <c r="E13" s="1261"/>
      <c r="F13" s="1261"/>
      <c r="M13" s="71"/>
    </row>
    <row r="14" spans="1:13">
      <c r="A14" s="384"/>
      <c r="B14" s="384"/>
      <c r="C14" s="384"/>
      <c r="D14" s="377"/>
      <c r="L14" s="219"/>
    </row>
    <row r="15" spans="1:13" ht="14.25">
      <c r="A15" s="385"/>
      <c r="B15" s="386" t="s">
        <v>309</v>
      </c>
      <c r="C15" s="384"/>
      <c r="D15" s="1263" t="s">
        <v>310</v>
      </c>
      <c r="E15" s="1263"/>
      <c r="F15" s="1263"/>
      <c r="I15" s="391"/>
    </row>
    <row r="16" spans="1:13">
      <c r="A16" s="384"/>
      <c r="B16" s="384"/>
      <c r="C16" s="384"/>
      <c r="D16" s="1263"/>
      <c r="E16" s="1263"/>
      <c r="F16" s="1263"/>
      <c r="I16" s="391"/>
    </row>
    <row r="17" spans="1:9">
      <c r="A17" s="384"/>
      <c r="B17" s="384"/>
      <c r="C17" s="384"/>
      <c r="D17" s="1263"/>
      <c r="E17" s="1263"/>
      <c r="F17" s="1263"/>
      <c r="I17" s="391"/>
    </row>
    <row r="18" spans="1:9">
      <c r="A18" s="384"/>
      <c r="B18" s="384"/>
      <c r="C18" s="384"/>
      <c r="D18" s="347"/>
      <c r="E18" s="219" t="s">
        <v>311</v>
      </c>
      <c r="F18" s="347"/>
      <c r="I18" s="391"/>
    </row>
    <row r="19" spans="1:9">
      <c r="A19" s="384"/>
      <c r="B19" s="384"/>
      <c r="C19" s="384"/>
      <c r="I19" s="391"/>
    </row>
    <row r="20" spans="1:9" ht="14.25">
      <c r="A20" s="385"/>
      <c r="B20" s="386" t="s">
        <v>309</v>
      </c>
      <c r="D20" s="1263" t="s">
        <v>312</v>
      </c>
      <c r="E20" s="1263"/>
      <c r="F20" s="1263"/>
      <c r="I20" s="391"/>
    </row>
    <row r="21" spans="1:9" ht="14.25">
      <c r="A21" s="385"/>
      <c r="D21" s="1263"/>
      <c r="E21" s="1263"/>
      <c r="F21" s="1263"/>
      <c r="I21" s="391"/>
    </row>
    <row r="22" spans="1:9" ht="14.25">
      <c r="A22" s="385"/>
      <c r="D22" s="295"/>
      <c r="E22" s="71" t="s">
        <v>313</v>
      </c>
      <c r="F22" s="295"/>
      <c r="I22" s="391"/>
    </row>
    <row r="23" spans="1:9" ht="14.25">
      <c r="A23" s="385"/>
      <c r="B23" s="385"/>
      <c r="D23" s="348"/>
      <c r="I23" s="391"/>
    </row>
    <row r="24" spans="1:9" ht="14.25">
      <c r="A24" s="385"/>
      <c r="B24" s="386" t="s">
        <v>309</v>
      </c>
      <c r="D24" s="1263" t="s">
        <v>314</v>
      </c>
      <c r="E24" s="1263"/>
      <c r="F24" s="1263"/>
      <c r="I24" s="391"/>
    </row>
    <row r="25" spans="1:9" ht="14.25">
      <c r="A25" s="385"/>
      <c r="B25" s="385"/>
      <c r="D25" s="1263"/>
      <c r="E25" s="1263"/>
      <c r="F25" s="1263"/>
      <c r="I25" s="391"/>
    </row>
    <row r="26" spans="1:9">
      <c r="I26" s="391"/>
    </row>
    <row r="27" spans="1:9" ht="14.25">
      <c r="A27" s="385"/>
      <c r="B27" s="386" t="s">
        <v>309</v>
      </c>
      <c r="D27" s="1263" t="s">
        <v>315</v>
      </c>
      <c r="E27" s="1263"/>
      <c r="F27" s="1263"/>
      <c r="I27" s="391"/>
    </row>
    <row r="28" spans="1:9">
      <c r="D28" s="1263"/>
      <c r="E28" s="1263"/>
      <c r="F28" s="1263"/>
      <c r="I28" s="391"/>
    </row>
    <row r="29" spans="1:9">
      <c r="D29" s="1263"/>
      <c r="E29" s="1263"/>
      <c r="F29" s="1263"/>
      <c r="I29" s="391"/>
    </row>
    <row r="30" spans="1:9">
      <c r="D30" s="1263"/>
      <c r="E30" s="1263"/>
      <c r="F30" s="1263"/>
      <c r="I30" s="391"/>
    </row>
    <row r="31" spans="1:9">
      <c r="D31" s="1263"/>
      <c r="E31" s="1263"/>
      <c r="F31" s="1263"/>
      <c r="I31" s="391"/>
    </row>
    <row r="32" spans="1:9">
      <c r="D32" s="349"/>
      <c r="I32" s="391"/>
    </row>
    <row r="33" spans="1:9">
      <c r="B33" s="386" t="s">
        <v>309</v>
      </c>
      <c r="D33" s="1263" t="s">
        <v>316</v>
      </c>
      <c r="E33" s="1263"/>
      <c r="F33" s="1263"/>
      <c r="I33" s="391"/>
    </row>
    <row r="34" spans="1:9">
      <c r="D34" s="1263"/>
      <c r="E34" s="1263"/>
      <c r="F34" s="1263"/>
      <c r="I34" s="391"/>
    </row>
    <row r="35" spans="1:9" ht="14.25">
      <c r="A35" s="385"/>
      <c r="B35" s="385"/>
      <c r="D35" s="349"/>
      <c r="I35" s="391"/>
    </row>
    <row r="36" spans="1:9" ht="14.65" customHeight="1">
      <c r="A36" s="385"/>
      <c r="B36" s="386" t="s">
        <v>309</v>
      </c>
      <c r="D36" s="1263" t="s">
        <v>317</v>
      </c>
      <c r="E36" s="1263"/>
      <c r="F36" s="1263"/>
      <c r="I36" s="391"/>
    </row>
    <row r="37" spans="1:9" ht="14.25">
      <c r="A37" s="385"/>
      <c r="B37" s="385"/>
      <c r="D37" s="1263"/>
      <c r="E37" s="1263"/>
      <c r="F37" s="1263"/>
      <c r="I37" s="391"/>
    </row>
    <row r="38" spans="1:9" ht="14.25">
      <c r="A38" s="385"/>
      <c r="B38" s="385"/>
      <c r="D38" s="1263"/>
      <c r="E38" s="1263"/>
      <c r="F38" s="1263"/>
      <c r="I38" s="391"/>
    </row>
    <row r="39" spans="1:9" ht="14.25">
      <c r="A39" s="385"/>
      <c r="B39" s="385"/>
      <c r="D39" s="1263"/>
      <c r="E39" s="1263"/>
      <c r="F39" s="1263"/>
      <c r="I39" s="391"/>
    </row>
    <row r="40" spans="1:9" ht="14.25">
      <c r="A40" s="385"/>
      <c r="B40" s="385"/>
      <c r="I40" s="391"/>
    </row>
    <row r="41" spans="1:9" ht="14.25">
      <c r="A41" s="385"/>
      <c r="B41" s="386" t="s">
        <v>309</v>
      </c>
      <c r="D41" s="1263" t="s">
        <v>318</v>
      </c>
      <c r="E41" s="1263"/>
      <c r="F41" s="1263"/>
      <c r="I41" s="391"/>
    </row>
    <row r="42" spans="1:9" ht="14.25">
      <c r="A42" s="385"/>
      <c r="B42" s="385"/>
      <c r="D42" s="1263"/>
      <c r="E42" s="1263"/>
      <c r="F42" s="1263"/>
      <c r="I42" s="391"/>
    </row>
    <row r="43" spans="1:9" ht="14.25">
      <c r="A43" s="385"/>
      <c r="B43" s="385"/>
      <c r="D43" s="1263"/>
      <c r="E43" s="1263"/>
      <c r="F43" s="1263"/>
      <c r="I43" s="391"/>
    </row>
    <row r="44" spans="1:9" ht="14.25">
      <c r="A44" s="385"/>
      <c r="B44" s="385"/>
      <c r="D44" s="1263"/>
      <c r="E44" s="1263"/>
      <c r="F44" s="1263"/>
      <c r="I44" s="391"/>
    </row>
    <row r="45" spans="1:9" ht="14.25">
      <c r="A45" s="385"/>
      <c r="B45" s="385"/>
      <c r="D45" s="1263"/>
      <c r="E45" s="1263"/>
      <c r="F45" s="1263"/>
      <c r="I45" s="391"/>
    </row>
    <row r="46" spans="1:9" ht="14.25">
      <c r="A46" s="385"/>
      <c r="B46" s="385"/>
      <c r="D46" s="347"/>
      <c r="E46" s="347"/>
      <c r="F46" s="347"/>
      <c r="I46" s="391"/>
    </row>
    <row r="47" spans="1:9" ht="14.25">
      <c r="A47" s="385"/>
      <c r="B47" s="386" t="s">
        <v>309</v>
      </c>
      <c r="D47" s="1263" t="s">
        <v>319</v>
      </c>
      <c r="E47" s="1263"/>
      <c r="F47" s="1263"/>
      <c r="I47" s="391"/>
    </row>
    <row r="48" spans="1:9" ht="14.25">
      <c r="A48" s="385"/>
      <c r="B48" s="385"/>
      <c r="D48" s="1263"/>
      <c r="E48" s="1263"/>
      <c r="F48" s="1263"/>
      <c r="I48" s="391"/>
    </row>
    <row r="49" spans="1:9" ht="14.25">
      <c r="A49" s="385"/>
      <c r="B49" s="385"/>
      <c r="D49" s="1263"/>
      <c r="E49" s="1263"/>
      <c r="F49" s="1263"/>
      <c r="I49" s="391"/>
    </row>
    <row r="50" spans="1:9" ht="23.25" customHeight="1">
      <c r="A50" s="385"/>
      <c r="B50" s="385"/>
      <c r="D50" s="1263"/>
      <c r="E50" s="1263"/>
      <c r="F50" s="1263"/>
      <c r="I50" s="391"/>
    </row>
    <row r="51" spans="1:9" ht="14.25">
      <c r="A51" s="385"/>
      <c r="B51" s="385"/>
      <c r="D51" s="348"/>
      <c r="I51" s="391"/>
    </row>
    <row r="52" spans="1:9" ht="14.65" customHeight="1">
      <c r="A52" s="385"/>
      <c r="B52" s="386" t="s">
        <v>309</v>
      </c>
      <c r="D52" s="1263" t="s">
        <v>320</v>
      </c>
      <c r="E52" s="1263"/>
      <c r="F52" s="1263"/>
      <c r="I52" s="391"/>
    </row>
    <row r="53" spans="1:9" ht="14.25">
      <c r="A53" s="385"/>
      <c r="B53" s="385"/>
      <c r="D53" s="1263"/>
      <c r="E53" s="1263"/>
      <c r="F53" s="1263"/>
      <c r="I53" s="391"/>
    </row>
    <row r="54" spans="1:9" ht="14.25">
      <c r="A54" s="385"/>
      <c r="B54" s="385"/>
      <c r="D54" s="1263"/>
      <c r="E54" s="1263"/>
      <c r="F54" s="1263"/>
      <c r="I54" s="391"/>
    </row>
    <row r="55" spans="1:9" ht="14.25">
      <c r="A55" s="385"/>
      <c r="B55" s="385"/>
      <c r="I55" s="391"/>
    </row>
    <row r="56" spans="1:9" ht="14.25">
      <c r="A56" s="385"/>
      <c r="B56" s="386" t="s">
        <v>309</v>
      </c>
      <c r="D56" s="1286" t="s">
        <v>321</v>
      </c>
      <c r="E56" s="1286"/>
      <c r="F56" s="1286"/>
      <c r="I56" s="391"/>
    </row>
    <row r="57" spans="1:9" ht="14.25">
      <c r="A57" s="385"/>
      <c r="B57" s="385"/>
      <c r="D57" s="1286"/>
      <c r="E57" s="1286"/>
      <c r="F57" s="1286"/>
      <c r="I57" s="391"/>
    </row>
    <row r="58" spans="1:9" ht="14.25">
      <c r="A58" s="385"/>
      <c r="B58" s="385"/>
      <c r="D58" s="295" t="s">
        <v>322</v>
      </c>
      <c r="E58" s="347"/>
      <c r="F58" s="347"/>
      <c r="I58" s="391"/>
    </row>
    <row r="59" spans="1:9" ht="14.25">
      <c r="A59" s="385"/>
      <c r="B59" s="385"/>
      <c r="D59" s="347"/>
      <c r="E59" s="219" t="s">
        <v>311</v>
      </c>
      <c r="F59" s="347"/>
      <c r="I59" s="391"/>
    </row>
    <row r="60" spans="1:9">
      <c r="D60" s="349"/>
      <c r="I60" s="391"/>
    </row>
    <row r="61" spans="1:9" ht="14.25">
      <c r="A61" s="385"/>
      <c r="B61" s="386" t="s">
        <v>309</v>
      </c>
      <c r="D61" s="1263" t="s">
        <v>323</v>
      </c>
      <c r="E61" s="1263"/>
      <c r="F61" s="1263"/>
      <c r="I61" s="391"/>
    </row>
    <row r="62" spans="1:9">
      <c r="D62" s="1263"/>
      <c r="E62" s="1263"/>
      <c r="F62" s="1263"/>
      <c r="I62" s="391"/>
    </row>
    <row r="63" spans="1:9">
      <c r="D63" s="1263"/>
      <c r="E63" s="1263"/>
      <c r="F63" s="1263"/>
      <c r="I63" s="391"/>
    </row>
    <row r="64" spans="1:9">
      <c r="I64" s="391"/>
    </row>
    <row r="65" spans="1:9" ht="14.25">
      <c r="A65" s="385"/>
      <c r="B65" s="386" t="s">
        <v>309</v>
      </c>
      <c r="D65" s="1263" t="s">
        <v>324</v>
      </c>
      <c r="E65" s="1263"/>
      <c r="F65" s="1263"/>
      <c r="I65" s="391"/>
    </row>
    <row r="66" spans="1:9">
      <c r="D66" s="1263"/>
      <c r="E66" s="1263"/>
      <c r="F66" s="1263"/>
      <c r="I66" s="391"/>
    </row>
    <row r="67" spans="1:9">
      <c r="I67" s="391"/>
    </row>
    <row r="68" spans="1:9" ht="14.25">
      <c r="A68" s="385"/>
      <c r="B68" s="386" t="s">
        <v>309</v>
      </c>
      <c r="D68" s="1263" t="s">
        <v>325</v>
      </c>
      <c r="E68" s="1263"/>
      <c r="F68" s="1263"/>
      <c r="I68" s="391"/>
    </row>
    <row r="69" spans="1:9">
      <c r="D69" s="1263"/>
      <c r="E69" s="1263"/>
      <c r="F69" s="1263"/>
      <c r="I69" s="391"/>
    </row>
    <row r="70" spans="1:9">
      <c r="D70" s="1263"/>
      <c r="E70" s="1263"/>
      <c r="F70" s="1263"/>
      <c r="I70" s="391"/>
    </row>
    <row r="71" spans="1:9">
      <c r="I71" s="391"/>
    </row>
    <row r="72" spans="1:9" ht="14.25">
      <c r="A72" s="385"/>
      <c r="B72" s="386" t="s">
        <v>309</v>
      </c>
      <c r="D72" s="1263" t="s">
        <v>326</v>
      </c>
      <c r="E72" s="1263"/>
      <c r="F72" s="1263"/>
      <c r="I72" s="391"/>
    </row>
    <row r="73" spans="1:9">
      <c r="D73" s="1263"/>
      <c r="E73" s="1263"/>
      <c r="F73" s="1263"/>
      <c r="I73" s="391"/>
    </row>
    <row r="74" spans="1:9" ht="14.25">
      <c r="A74" s="385"/>
      <c r="B74" s="385"/>
      <c r="D74" s="348"/>
      <c r="I74" s="391"/>
    </row>
    <row r="75" spans="1:9">
      <c r="A75" s="1270" t="s">
        <v>327</v>
      </c>
      <c r="B75" s="1270"/>
      <c r="C75" s="1270"/>
      <c r="D75" s="1270"/>
      <c r="E75" s="1270"/>
      <c r="F75" s="1270"/>
      <c r="G75" s="1270"/>
      <c r="H75" s="919"/>
      <c r="I75" s="1042"/>
    </row>
    <row r="76" spans="1:9">
      <c r="I76" s="391"/>
    </row>
    <row r="77" spans="1:9">
      <c r="C77" s="387"/>
      <c r="D77" s="1279" t="s">
        <v>328</v>
      </c>
      <c r="E77" s="1279"/>
      <c r="F77" s="1279"/>
      <c r="I77" s="391"/>
    </row>
    <row r="78" spans="1:9">
      <c r="A78" s="348"/>
      <c r="B78" s="348"/>
      <c r="D78" s="1263" t="s">
        <v>329</v>
      </c>
      <c r="E78" s="1263"/>
      <c r="F78" s="1263"/>
      <c r="I78" s="391"/>
    </row>
    <row r="79" spans="1:9">
      <c r="A79" s="348"/>
      <c r="B79" s="348"/>
      <c r="I79" s="391"/>
    </row>
    <row r="80" spans="1:9" ht="13.9" customHeight="1">
      <c r="A80" s="385"/>
      <c r="B80" s="386" t="s">
        <v>309</v>
      </c>
      <c r="D80" s="1263" t="s">
        <v>330</v>
      </c>
      <c r="E80" s="1263"/>
      <c r="F80" s="1263"/>
      <c r="I80" s="391"/>
    </row>
    <row r="81" spans="1:9" ht="14.25">
      <c r="A81" s="385"/>
      <c r="B81" s="385"/>
      <c r="D81" s="1263"/>
      <c r="E81" s="1263"/>
      <c r="F81" s="1263"/>
      <c r="I81" s="391"/>
    </row>
    <row r="82" spans="1:9" ht="14.25">
      <c r="A82" s="385"/>
      <c r="B82" s="385"/>
      <c r="D82" s="1263"/>
      <c r="E82" s="1263"/>
      <c r="F82" s="1263"/>
      <c r="I82" s="391"/>
    </row>
    <row r="83" spans="1:9" ht="14.25">
      <c r="A83" s="385"/>
      <c r="B83" s="385"/>
      <c r="D83" s="1263"/>
      <c r="E83" s="1263"/>
      <c r="F83" s="1263"/>
      <c r="I83" s="391"/>
    </row>
    <row r="84" spans="1:9" ht="14.25">
      <c r="A84" s="385"/>
      <c r="B84" s="385"/>
      <c r="D84" s="1263"/>
      <c r="E84" s="1263"/>
      <c r="F84" s="1263"/>
      <c r="I84" s="391"/>
    </row>
    <row r="85" spans="1:9" ht="14.25">
      <c r="A85" s="385"/>
      <c r="B85" s="385"/>
      <c r="D85" s="1263"/>
      <c r="E85" s="1263"/>
      <c r="F85" s="1263"/>
      <c r="I85" s="391"/>
    </row>
    <row r="86" spans="1:9" ht="14.25">
      <c r="A86" s="385"/>
      <c r="B86" s="385"/>
      <c r="D86" s="1263"/>
      <c r="E86" s="1263"/>
      <c r="F86" s="1263"/>
      <c r="I86" s="391"/>
    </row>
    <row r="87" spans="1:9" ht="14.25">
      <c r="A87" s="385"/>
      <c r="B87" s="385"/>
      <c r="D87" s="1263"/>
      <c r="E87" s="1263"/>
      <c r="F87" s="1263"/>
      <c r="I87" s="391"/>
    </row>
    <row r="88" spans="1:9" ht="14.25">
      <c r="A88" s="385"/>
      <c r="B88" s="385"/>
      <c r="D88" s="288"/>
      <c r="E88" s="288"/>
      <c r="F88" s="288"/>
      <c r="I88" s="391"/>
    </row>
    <row r="89" spans="1:9" ht="15" customHeight="1">
      <c r="A89" s="385"/>
      <c r="B89" s="386" t="s">
        <v>309</v>
      </c>
      <c r="D89" s="1263" t="s">
        <v>331</v>
      </c>
      <c r="E89" s="1263"/>
      <c r="F89" s="1263"/>
      <c r="I89" s="391"/>
    </row>
    <row r="90" spans="1:9" ht="14.25">
      <c r="A90" s="385"/>
      <c r="B90" s="385"/>
      <c r="D90" s="1263"/>
      <c r="E90" s="1263"/>
      <c r="F90" s="1263"/>
      <c r="I90" s="391"/>
    </row>
    <row r="91" spans="1:9" ht="14.25">
      <c r="A91" s="385"/>
      <c r="B91" s="385"/>
      <c r="D91" s="347"/>
      <c r="E91" s="347"/>
      <c r="F91" s="347"/>
      <c r="I91" s="391"/>
    </row>
    <row r="92" spans="1:9" ht="14.25">
      <c r="A92" s="385"/>
      <c r="B92" s="386" t="s">
        <v>309</v>
      </c>
      <c r="D92" s="1263" t="s">
        <v>332</v>
      </c>
      <c r="E92" s="1263"/>
      <c r="F92" s="1263"/>
      <c r="I92" s="391"/>
    </row>
    <row r="93" spans="1:9" ht="14.25">
      <c r="A93" s="385"/>
      <c r="B93" s="385"/>
      <c r="D93" s="1263"/>
      <c r="E93" s="1263"/>
      <c r="F93" s="1263"/>
      <c r="I93" s="391"/>
    </row>
    <row r="94" spans="1:9" ht="14.25">
      <c r="A94" s="385"/>
      <c r="B94" s="385"/>
      <c r="D94" s="1263"/>
      <c r="E94" s="1263"/>
      <c r="F94" s="1263"/>
      <c r="I94" s="391"/>
    </row>
    <row r="95" spans="1:9" ht="14.25">
      <c r="A95" s="385"/>
      <c r="B95" s="385"/>
      <c r="D95" s="347"/>
      <c r="E95" s="347"/>
      <c r="F95" s="347"/>
      <c r="I95" s="391"/>
    </row>
    <row r="96" spans="1:9" ht="14.25">
      <c r="A96" s="385"/>
      <c r="B96" s="386" t="s">
        <v>309</v>
      </c>
      <c r="D96" s="1263" t="s">
        <v>333</v>
      </c>
      <c r="E96" s="1263"/>
      <c r="F96" s="1263"/>
      <c r="I96" s="391"/>
    </row>
    <row r="97" spans="1:9" s="881" customFormat="1" ht="14.25">
      <c r="A97" s="879"/>
      <c r="B97" s="879"/>
      <c r="C97" s="880"/>
      <c r="D97" s="1263"/>
      <c r="E97" s="1263"/>
      <c r="F97" s="1263"/>
      <c r="I97" s="1043"/>
    </row>
    <row r="98" spans="1:9" ht="14.25">
      <c r="A98" s="385"/>
      <c r="B98" s="385"/>
      <c r="D98" s="295"/>
      <c r="E98" s="219" t="s">
        <v>334</v>
      </c>
      <c r="F98" s="347"/>
      <c r="I98" s="391"/>
    </row>
    <row r="99" spans="1:9" ht="14.25">
      <c r="A99" s="385"/>
      <c r="B99" s="385"/>
      <c r="D99" s="288"/>
      <c r="E99" s="288"/>
      <c r="F99" s="288"/>
      <c r="I99" s="391"/>
    </row>
    <row r="100" spans="1:9" ht="14.25">
      <c r="A100" s="385"/>
      <c r="B100" s="386" t="s">
        <v>309</v>
      </c>
      <c r="D100" s="1263" t="s">
        <v>335</v>
      </c>
      <c r="E100" s="1263"/>
      <c r="F100" s="1263"/>
      <c r="I100" s="391"/>
    </row>
    <row r="101" spans="1:9" ht="14.25">
      <c r="A101" s="385"/>
      <c r="B101" s="385"/>
      <c r="D101" s="1263"/>
      <c r="E101" s="1263"/>
      <c r="F101" s="1263"/>
      <c r="I101" s="391"/>
    </row>
    <row r="102" spans="1:9" ht="14.25">
      <c r="A102" s="385"/>
      <c r="B102" s="385"/>
      <c r="D102" s="347"/>
      <c r="E102" s="347"/>
      <c r="F102" s="347"/>
      <c r="I102" s="391"/>
    </row>
    <row r="103" spans="1:9" ht="14.65" customHeight="1">
      <c r="A103" s="385"/>
      <c r="B103" s="386" t="s">
        <v>309</v>
      </c>
      <c r="D103" s="1263" t="s">
        <v>336</v>
      </c>
      <c r="E103" s="1263"/>
      <c r="F103" s="1263"/>
      <c r="I103" s="391"/>
    </row>
    <row r="104" spans="1:9" ht="14.25">
      <c r="A104" s="385"/>
      <c r="B104" s="385"/>
      <c r="D104" s="1263"/>
      <c r="E104" s="1263"/>
      <c r="F104" s="1263"/>
      <c r="I104" s="391"/>
    </row>
    <row r="105" spans="1:9" ht="14.25">
      <c r="A105" s="385"/>
      <c r="B105" s="385"/>
      <c r="D105" s="1263"/>
      <c r="E105" s="1263"/>
      <c r="F105" s="1263"/>
      <c r="I105" s="391"/>
    </row>
    <row r="106" spans="1:9" ht="14.25">
      <c r="A106" s="385"/>
      <c r="B106" s="385"/>
      <c r="D106" s="1263"/>
      <c r="E106" s="1263"/>
      <c r="F106" s="1263"/>
      <c r="I106" s="391"/>
    </row>
    <row r="107" spans="1:9" ht="14.25">
      <c r="A107" s="385"/>
      <c r="B107" s="385"/>
      <c r="D107" s="1263"/>
      <c r="E107" s="1263"/>
      <c r="F107" s="1263"/>
      <c r="I107" s="391"/>
    </row>
    <row r="108" spans="1:9" ht="14.25">
      <c r="A108" s="385"/>
      <c r="B108" s="385"/>
      <c r="D108" s="1263"/>
      <c r="E108" s="1263"/>
      <c r="F108" s="1263"/>
      <c r="I108" s="391"/>
    </row>
    <row r="109" spans="1:9" ht="14.25">
      <c r="A109" s="385"/>
      <c r="B109" s="385"/>
      <c r="D109" s="1263"/>
      <c r="E109" s="1263"/>
      <c r="F109" s="1263"/>
      <c r="I109" s="391"/>
    </row>
    <row r="110" spans="1:9" ht="14.25">
      <c r="A110" s="385"/>
      <c r="B110" s="385"/>
      <c r="D110" s="1263"/>
      <c r="E110" s="1263"/>
      <c r="F110" s="1263"/>
      <c r="I110" s="391"/>
    </row>
    <row r="111" spans="1:9" ht="14.25">
      <c r="A111" s="385"/>
      <c r="B111" s="385"/>
      <c r="D111" s="1263"/>
      <c r="E111" s="1263"/>
      <c r="F111" s="1263"/>
      <c r="I111" s="391"/>
    </row>
    <row r="112" spans="1:9" ht="14.25">
      <c r="A112" s="385"/>
      <c r="B112" s="385"/>
      <c r="D112" s="1263"/>
      <c r="E112" s="1263"/>
      <c r="F112" s="1263"/>
      <c r="I112" s="391"/>
    </row>
    <row r="113" spans="1:9" ht="14.25">
      <c r="A113" s="385"/>
      <c r="B113" s="385"/>
      <c r="D113" s="1263"/>
      <c r="E113" s="1263"/>
      <c r="F113" s="1263"/>
      <c r="I113" s="391"/>
    </row>
    <row r="114" spans="1:9" ht="14.25">
      <c r="A114" s="385"/>
      <c r="B114" s="385"/>
      <c r="D114" s="1263"/>
      <c r="E114" s="1263"/>
      <c r="F114" s="1263"/>
      <c r="I114" s="391"/>
    </row>
    <row r="115" spans="1:9" ht="14.25">
      <c r="A115" s="385"/>
      <c r="B115" s="385"/>
      <c r="D115" s="1263"/>
      <c r="E115" s="1263"/>
      <c r="F115" s="1263"/>
      <c r="I115" s="391"/>
    </row>
    <row r="116" spans="1:9" ht="14.25">
      <c r="A116" s="385"/>
      <c r="B116" s="385"/>
      <c r="D116" s="1263"/>
      <c r="E116" s="1263"/>
      <c r="F116" s="1263"/>
      <c r="I116" s="391"/>
    </row>
    <row r="117" spans="1:9" ht="14.25">
      <c r="A117" s="385"/>
      <c r="B117" s="385"/>
      <c r="D117" s="1263"/>
      <c r="E117" s="1263"/>
      <c r="F117" s="1263"/>
      <c r="I117" s="391"/>
    </row>
    <row r="118" spans="1:9" ht="14.25">
      <c r="A118" s="385"/>
      <c r="B118" s="385"/>
      <c r="D118" s="424"/>
      <c r="E118" s="424"/>
      <c r="F118" s="424"/>
      <c r="I118" s="391"/>
    </row>
    <row r="119" spans="1:9" ht="14.25" customHeight="1">
      <c r="A119" s="385"/>
      <c r="B119" s="386" t="s">
        <v>309</v>
      </c>
      <c r="D119" s="1285" t="s">
        <v>337</v>
      </c>
      <c r="E119" s="1285"/>
      <c r="F119" s="1285"/>
      <c r="I119" s="391"/>
    </row>
    <row r="120" spans="1:9" ht="14.25">
      <c r="A120" s="385"/>
      <c r="B120" s="385"/>
      <c r="D120" s="1285"/>
      <c r="E120" s="1285"/>
      <c r="F120" s="1285"/>
      <c r="I120" s="391"/>
    </row>
    <row r="121" spans="1:9" ht="14.25">
      <c r="A121" s="385"/>
      <c r="B121" s="385"/>
      <c r="D121" s="1285"/>
      <c r="E121" s="1285"/>
      <c r="F121" s="1285"/>
      <c r="I121" s="391"/>
    </row>
    <row r="122" spans="1:9" ht="14.25">
      <c r="A122" s="385"/>
      <c r="B122" s="385"/>
      <c r="D122" s="1285"/>
      <c r="E122" s="1285"/>
      <c r="F122" s="1285"/>
      <c r="I122" s="391"/>
    </row>
    <row r="123" spans="1:9" ht="14.25">
      <c r="A123" s="385"/>
      <c r="B123" s="385"/>
      <c r="D123" s="1285"/>
      <c r="E123" s="1285"/>
      <c r="F123" s="1285"/>
      <c r="I123" s="391"/>
    </row>
    <row r="124" spans="1:9" ht="14.25">
      <c r="A124" s="385"/>
      <c r="B124" s="385"/>
      <c r="D124" s="1285"/>
      <c r="E124" s="1285"/>
      <c r="F124" s="1285"/>
      <c r="I124" s="391"/>
    </row>
    <row r="125" spans="1:9" ht="14.25">
      <c r="A125" s="385"/>
      <c r="B125" s="385"/>
      <c r="D125" s="1285"/>
      <c r="E125" s="1285"/>
      <c r="F125" s="1285"/>
      <c r="I125" s="391"/>
    </row>
    <row r="126" spans="1:9" ht="14.25">
      <c r="A126" s="385"/>
      <c r="B126" s="385"/>
      <c r="D126" s="1285"/>
      <c r="E126" s="1285"/>
      <c r="F126" s="1285"/>
      <c r="I126" s="391"/>
    </row>
    <row r="127" spans="1:9">
      <c r="C127" s="305"/>
      <c r="D127" s="425"/>
      <c r="E127" s="425"/>
      <c r="F127" s="425"/>
      <c r="I127" s="391"/>
    </row>
    <row r="128" spans="1:9" ht="14.25">
      <c r="A128" s="385"/>
      <c r="B128" s="386" t="s">
        <v>309</v>
      </c>
      <c r="C128" s="305"/>
      <c r="D128" s="1285" t="s">
        <v>338</v>
      </c>
      <c r="E128" s="1285"/>
      <c r="F128" s="1285"/>
      <c r="I128" s="391"/>
    </row>
    <row r="129" spans="1:9" ht="14.25">
      <c r="A129" s="385"/>
      <c r="B129" s="385"/>
      <c r="C129" s="305"/>
      <c r="D129" s="1285"/>
      <c r="E129" s="1285"/>
      <c r="F129" s="1285"/>
      <c r="I129" s="391"/>
    </row>
    <row r="130" spans="1:9">
      <c r="I130" s="391"/>
    </row>
    <row r="131" spans="1:9" ht="14.25">
      <c r="A131" s="385"/>
      <c r="B131" s="386" t="s">
        <v>309</v>
      </c>
      <c r="D131" s="1263" t="s">
        <v>339</v>
      </c>
      <c r="E131" s="1263"/>
      <c r="F131" s="1263"/>
      <c r="I131" s="391"/>
    </row>
    <row r="132" spans="1:9">
      <c r="D132" s="1263"/>
      <c r="E132" s="1263"/>
      <c r="F132" s="1263"/>
      <c r="I132" s="391"/>
    </row>
    <row r="133" spans="1:9">
      <c r="D133" s="1263"/>
      <c r="E133" s="1263"/>
      <c r="F133" s="1263"/>
      <c r="I133" s="391"/>
    </row>
    <row r="134" spans="1:9">
      <c r="D134" s="1263"/>
      <c r="E134" s="1263"/>
      <c r="F134" s="1263"/>
      <c r="I134" s="391"/>
    </row>
    <row r="135" spans="1:9">
      <c r="D135" s="1263"/>
      <c r="E135" s="1263"/>
      <c r="F135" s="1263"/>
      <c r="I135" s="391"/>
    </row>
    <row r="136" spans="1:9">
      <c r="I136" s="391"/>
    </row>
    <row r="137" spans="1:9" ht="14.25">
      <c r="A137" s="385"/>
      <c r="B137" s="386" t="s">
        <v>309</v>
      </c>
      <c r="D137" s="1263" t="s">
        <v>340</v>
      </c>
      <c r="E137" s="1263"/>
      <c r="F137" s="1263"/>
      <c r="I137" s="391"/>
    </row>
    <row r="138" spans="1:9" s="320" customFormat="1" ht="13.9" customHeight="1">
      <c r="A138" s="389"/>
      <c r="B138" s="389"/>
      <c r="C138" s="389"/>
      <c r="D138" s="1263"/>
      <c r="E138" s="1263"/>
      <c r="F138" s="1263"/>
      <c r="I138" s="1044"/>
    </row>
    <row r="139" spans="1:9" ht="13.9" customHeight="1">
      <c r="D139" s="1263"/>
      <c r="E139" s="1263"/>
      <c r="F139" s="1263"/>
      <c r="I139" s="391"/>
    </row>
    <row r="140" spans="1:9" ht="13.9" customHeight="1">
      <c r="D140" s="1263"/>
      <c r="E140" s="1263"/>
      <c r="F140" s="1263"/>
      <c r="I140" s="391"/>
    </row>
    <row r="141" spans="1:9" ht="13.9" customHeight="1">
      <c r="D141" s="1263"/>
      <c r="E141" s="1263"/>
      <c r="F141" s="1263"/>
      <c r="I141" s="391"/>
    </row>
    <row r="142" spans="1:9" ht="13.9" customHeight="1">
      <c r="A142" s="390"/>
      <c r="B142" s="390"/>
      <c r="D142" s="1263"/>
      <c r="E142" s="1263"/>
      <c r="F142" s="1263"/>
      <c r="I142" s="391"/>
    </row>
    <row r="143" spans="1:9" ht="13.9" customHeight="1">
      <c r="D143" s="1263"/>
      <c r="E143" s="1263"/>
      <c r="F143" s="1263"/>
      <c r="I143" s="391"/>
    </row>
    <row r="144" spans="1:9" ht="13.9" customHeight="1">
      <c r="D144" s="1263"/>
      <c r="E144" s="1263"/>
      <c r="F144" s="1263"/>
      <c r="I144" s="391"/>
    </row>
    <row r="145" spans="2:9" ht="13.9" customHeight="1">
      <c r="D145" s="1263"/>
      <c r="E145" s="1263"/>
      <c r="F145" s="1263"/>
      <c r="I145" s="391"/>
    </row>
    <row r="146" spans="2:9" ht="13.9" customHeight="1">
      <c r="D146" s="1263"/>
      <c r="E146" s="1263"/>
      <c r="F146" s="1263"/>
      <c r="I146" s="391"/>
    </row>
    <row r="147" spans="2:9" ht="13.9" customHeight="1">
      <c r="D147" s="1263"/>
      <c r="E147" s="1263"/>
      <c r="F147" s="1263"/>
      <c r="I147" s="391"/>
    </row>
    <row r="148" spans="2:9" ht="13.9" customHeight="1">
      <c r="D148" s="1263"/>
      <c r="E148" s="1263"/>
      <c r="F148" s="1263"/>
      <c r="I148" s="391"/>
    </row>
    <row r="149" spans="2:9" ht="13.9" customHeight="1">
      <c r="D149" s="1263"/>
      <c r="E149" s="1263"/>
      <c r="F149" s="1263"/>
      <c r="I149" s="391"/>
    </row>
    <row r="150" spans="2:9" ht="13.9" customHeight="1">
      <c r="D150" s="377"/>
      <c r="E150" s="348"/>
      <c r="F150" s="348"/>
      <c r="I150" s="391"/>
    </row>
    <row r="151" spans="2:9" ht="13.9" customHeight="1">
      <c r="B151" s="386" t="s">
        <v>309</v>
      </c>
      <c r="D151" s="1263" t="s">
        <v>341</v>
      </c>
      <c r="E151" s="1263"/>
      <c r="F151" s="1263"/>
      <c r="I151" s="391"/>
    </row>
    <row r="152" spans="2:9" ht="13.9" customHeight="1">
      <c r="D152" s="1263"/>
      <c r="E152" s="1263"/>
      <c r="F152" s="1263"/>
      <c r="I152" s="391"/>
    </row>
    <row r="153" spans="2:9" ht="13.9" customHeight="1">
      <c r="D153" s="1263"/>
      <c r="E153" s="1263"/>
      <c r="F153" s="1263"/>
      <c r="I153" s="391"/>
    </row>
    <row r="154" spans="2:9" ht="13.9" customHeight="1">
      <c r="D154" s="1263"/>
      <c r="E154" s="1263"/>
      <c r="F154" s="1263"/>
      <c r="I154" s="391"/>
    </row>
    <row r="155" spans="2:9" ht="13.9" customHeight="1">
      <c r="D155" s="1263"/>
      <c r="E155" s="1263"/>
      <c r="F155" s="1263"/>
      <c r="I155" s="391"/>
    </row>
    <row r="156" spans="2:9" ht="13.9" customHeight="1">
      <c r="D156" s="1263"/>
      <c r="E156" s="1263"/>
      <c r="F156" s="1263"/>
      <c r="I156" s="391"/>
    </row>
    <row r="157" spans="2:9" ht="13.9" customHeight="1">
      <c r="D157" s="1263"/>
      <c r="E157" s="1263"/>
      <c r="F157" s="1263"/>
      <c r="I157" s="391"/>
    </row>
    <row r="158" spans="2:9" ht="13.9" customHeight="1">
      <c r="D158" s="1263"/>
      <c r="E158" s="1263"/>
      <c r="F158" s="1263"/>
      <c r="I158" s="391"/>
    </row>
    <row r="159" spans="2:9" ht="13.9" customHeight="1">
      <c r="D159" s="1263"/>
      <c r="E159" s="1263"/>
      <c r="F159" s="1263"/>
      <c r="I159" s="391"/>
    </row>
    <row r="160" spans="2:9" ht="13.9" customHeight="1">
      <c r="D160" s="1263"/>
      <c r="E160" s="1263"/>
      <c r="F160" s="1263"/>
      <c r="I160" s="391"/>
    </row>
    <row r="161" spans="1:9" ht="13.9" customHeight="1">
      <c r="D161" s="1263"/>
      <c r="E161" s="1263"/>
      <c r="F161" s="1263"/>
      <c r="I161" s="391"/>
    </row>
    <row r="162" spans="1:9" ht="13.9" customHeight="1">
      <c r="D162" s="1263"/>
      <c r="E162" s="1263"/>
      <c r="F162" s="1263"/>
      <c r="I162" s="391"/>
    </row>
    <row r="163" spans="1:9" ht="13.9" customHeight="1">
      <c r="D163" s="1263"/>
      <c r="E163" s="1263"/>
      <c r="F163" s="1263"/>
      <c r="I163" s="391"/>
    </row>
    <row r="164" spans="1:9" ht="13.9" customHeight="1">
      <c r="D164" s="1263"/>
      <c r="E164" s="1263"/>
      <c r="F164" s="1263"/>
      <c r="I164" s="391"/>
    </row>
    <row r="165" spans="1:9" ht="13.9" customHeight="1">
      <c r="D165" s="1263"/>
      <c r="E165" s="1263"/>
      <c r="F165" s="1263"/>
      <c r="I165" s="391"/>
    </row>
    <row r="166" spans="1:9" ht="13.9" customHeight="1">
      <c r="D166" s="1263"/>
      <c r="E166" s="1263"/>
      <c r="F166" s="1263"/>
      <c r="I166" s="391"/>
    </row>
    <row r="167" spans="1:9" ht="13.9" customHeight="1">
      <c r="D167" s="1263"/>
      <c r="E167" s="1263"/>
      <c r="F167" s="1263"/>
      <c r="I167" s="391"/>
    </row>
    <row r="168" spans="1:9" ht="13.9" customHeight="1">
      <c r="D168" s="1263"/>
      <c r="E168" s="1263"/>
      <c r="F168" s="1263"/>
      <c r="I168" s="391"/>
    </row>
    <row r="169" spans="1:9" ht="13.9" customHeight="1">
      <c r="D169" s="1282" t="s">
        <v>342</v>
      </c>
      <c r="E169" s="1282"/>
      <c r="F169" s="1282"/>
      <c r="G169" s="408"/>
      <c r="I169" s="391"/>
    </row>
    <row r="170" spans="1:9" ht="13.9" customHeight="1">
      <c r="D170" s="1280"/>
      <c r="E170" s="1280"/>
      <c r="F170" s="1280"/>
      <c r="G170" s="1280"/>
      <c r="I170" s="391"/>
    </row>
    <row r="171" spans="1:9" ht="14.65" customHeight="1">
      <c r="A171" s="390"/>
      <c r="B171" s="386" t="s">
        <v>309</v>
      </c>
      <c r="C171" s="377"/>
      <c r="D171" s="1234" t="s">
        <v>343</v>
      </c>
      <c r="E171" s="1234"/>
      <c r="F171" s="1234"/>
      <c r="G171" s="377"/>
      <c r="I171" s="391"/>
    </row>
    <row r="172" spans="1:9" ht="14.65" customHeight="1">
      <c r="A172" s="390"/>
      <c r="B172" s="390"/>
      <c r="C172" s="377"/>
      <c r="D172" s="1234"/>
      <c r="E172" s="1234"/>
      <c r="F172" s="1234"/>
      <c r="G172" s="377"/>
      <c r="I172" s="391"/>
    </row>
    <row r="173" spans="1:9" ht="14.65" customHeight="1">
      <c r="A173" s="390"/>
      <c r="B173" s="390"/>
      <c r="C173" s="377"/>
      <c r="D173" s="1234"/>
      <c r="E173" s="1234"/>
      <c r="F173" s="1234"/>
      <c r="G173" s="377"/>
      <c r="I173" s="391"/>
    </row>
    <row r="174" spans="1:9" ht="14.65" customHeight="1">
      <c r="A174" s="390"/>
      <c r="B174" s="390"/>
      <c r="C174" s="377"/>
      <c r="D174" s="1234"/>
      <c r="E174" s="1234"/>
      <c r="F174" s="1234"/>
      <c r="G174" s="377"/>
      <c r="I174" s="391"/>
    </row>
    <row r="175" spans="1:9" ht="13.9" customHeight="1">
      <c r="A175" s="390"/>
      <c r="B175" s="390"/>
      <c r="C175" s="377"/>
      <c r="D175" s="1234"/>
      <c r="E175" s="1234"/>
      <c r="F175" s="1234"/>
      <c r="G175" s="377"/>
      <c r="I175" s="391"/>
    </row>
    <row r="176" spans="1:9" ht="13.9" customHeight="1">
      <c r="A176" s="390"/>
      <c r="B176" s="390"/>
      <c r="C176" s="377"/>
      <c r="D176" s="377"/>
      <c r="E176" s="377"/>
      <c r="F176" s="377"/>
      <c r="G176" s="377"/>
      <c r="I176" s="391"/>
    </row>
    <row r="177" spans="1:9" ht="13.9" customHeight="1">
      <c r="A177" s="390"/>
      <c r="B177" s="386" t="s">
        <v>309</v>
      </c>
      <c r="C177" s="377"/>
      <c r="D177" s="1234" t="s">
        <v>344</v>
      </c>
      <c r="E177" s="1234"/>
      <c r="F177" s="1234"/>
      <c r="G177" s="377"/>
      <c r="I177" s="391"/>
    </row>
    <row r="178" spans="1:9" ht="13.9" customHeight="1">
      <c r="A178" s="390"/>
      <c r="B178" s="390"/>
      <c r="C178" s="377"/>
      <c r="D178" s="1234"/>
      <c r="E178" s="1234"/>
      <c r="F178" s="1234"/>
      <c r="G178" s="377"/>
      <c r="I178" s="391"/>
    </row>
    <row r="179" spans="1:9" ht="13.9" customHeight="1">
      <c r="A179" s="390"/>
      <c r="B179" s="390"/>
      <c r="C179" s="377"/>
      <c r="D179" s="1234"/>
      <c r="E179" s="1234"/>
      <c r="F179" s="1234"/>
      <c r="G179" s="377"/>
      <c r="I179" s="391"/>
    </row>
    <row r="180" spans="1:9" ht="13.9" customHeight="1">
      <c r="A180" s="390"/>
      <c r="B180" s="390"/>
      <c r="C180" s="377"/>
      <c r="D180" s="1234"/>
      <c r="E180" s="1234"/>
      <c r="F180" s="1234"/>
      <c r="G180" s="377"/>
      <c r="I180" s="391"/>
    </row>
    <row r="181" spans="1:9" ht="13.9" customHeight="1">
      <c r="D181" s="348"/>
      <c r="E181" s="348"/>
      <c r="F181" s="348"/>
      <c r="I181" s="391"/>
    </row>
    <row r="182" spans="1:9" ht="13.9" customHeight="1">
      <c r="B182" s="386" t="s">
        <v>309</v>
      </c>
      <c r="D182" s="1275" t="s">
        <v>345</v>
      </c>
      <c r="E182" s="1275"/>
      <c r="F182" s="1275"/>
      <c r="I182" s="391"/>
    </row>
    <row r="183" spans="1:9" ht="13.9" customHeight="1">
      <c r="D183" s="1275"/>
      <c r="E183" s="1275"/>
      <c r="F183" s="1275"/>
      <c r="I183" s="391"/>
    </row>
    <row r="184" spans="1:9" ht="13.9" customHeight="1">
      <c r="D184" s="1275"/>
      <c r="E184" s="1275"/>
      <c r="F184" s="1275"/>
      <c r="I184" s="391"/>
    </row>
    <row r="185" spans="1:9" ht="13.9" customHeight="1">
      <c r="A185" s="391"/>
      <c r="B185" s="391"/>
      <c r="E185" s="348"/>
      <c r="F185" s="348"/>
      <c r="I185" s="391"/>
    </row>
    <row r="186" spans="1:9">
      <c r="A186" s="1270" t="s">
        <v>346</v>
      </c>
      <c r="B186" s="1270"/>
      <c r="C186" s="1270"/>
      <c r="D186" s="1270"/>
      <c r="E186" s="1270"/>
      <c r="F186" s="1270"/>
      <c r="G186" s="1270"/>
      <c r="H186" s="919"/>
      <c r="I186" s="1042"/>
    </row>
    <row r="187" spans="1:9" ht="12" customHeight="1">
      <c r="D187" s="348"/>
      <c r="E187" s="348"/>
      <c r="F187" s="348"/>
      <c r="I187" s="391"/>
    </row>
    <row r="188" spans="1:9">
      <c r="B188" s="1265" t="s">
        <v>347</v>
      </c>
      <c r="C188" s="1265"/>
      <c r="D188" s="1265"/>
      <c r="E188" s="1265"/>
      <c r="F188" s="1265"/>
      <c r="I188" s="391"/>
    </row>
    <row r="189" spans="1:9">
      <c r="B189" s="295" t="s">
        <v>348</v>
      </c>
      <c r="C189" s="295"/>
      <c r="D189" s="295"/>
      <c r="E189" s="295"/>
      <c r="F189" s="295"/>
      <c r="I189" s="391"/>
    </row>
    <row r="190" spans="1:9" ht="12" customHeight="1">
      <c r="A190" s="383"/>
      <c r="B190" s="383"/>
      <c r="C190" s="383"/>
      <c r="I190" s="391"/>
    </row>
    <row r="191" spans="1:9">
      <c r="A191" s="1270" t="s">
        <v>349</v>
      </c>
      <c r="B191" s="1270"/>
      <c r="C191" s="1270"/>
      <c r="D191" s="1270"/>
      <c r="E191" s="1270"/>
      <c r="F191" s="1270"/>
      <c r="G191" s="1270"/>
      <c r="H191" s="919"/>
      <c r="I191" s="1042"/>
    </row>
    <row r="192" spans="1:9" ht="12" customHeight="1">
      <c r="A192" s="307"/>
      <c r="B192" s="307"/>
      <c r="E192" s="307"/>
      <c r="I192" s="391"/>
    </row>
    <row r="193" spans="1:9" ht="13.9" customHeight="1">
      <c r="A193" s="307"/>
      <c r="B193" s="307"/>
      <c r="D193" s="1279" t="s">
        <v>350</v>
      </c>
      <c r="E193" s="1279"/>
      <c r="F193" s="1279"/>
      <c r="I193" s="391"/>
    </row>
    <row r="194" spans="1:9">
      <c r="A194" s="307"/>
      <c r="B194" s="307"/>
      <c r="D194" s="1279"/>
      <c r="E194" s="1279"/>
      <c r="F194" s="1279"/>
      <c r="I194" s="391"/>
    </row>
    <row r="195" spans="1:9">
      <c r="A195" s="307"/>
      <c r="B195" s="307"/>
      <c r="D195" s="1265" t="s">
        <v>351</v>
      </c>
      <c r="E195" s="1265"/>
      <c r="F195" s="1265"/>
      <c r="I195" s="391"/>
    </row>
    <row r="196" spans="1:9">
      <c r="A196" s="307"/>
      <c r="B196" s="307"/>
      <c r="D196" s="295"/>
      <c r="E196" s="295"/>
      <c r="F196" s="295"/>
      <c r="I196" s="391"/>
    </row>
    <row r="197" spans="1:9">
      <c r="A197" s="307"/>
      <c r="B197" s="386" t="s">
        <v>309</v>
      </c>
      <c r="D197" s="1250" t="s">
        <v>352</v>
      </c>
      <c r="E197" s="1250"/>
      <c r="F197" s="1250"/>
      <c r="I197" s="391"/>
    </row>
    <row r="198" spans="1:9">
      <c r="A198" s="307"/>
      <c r="B198" s="307"/>
      <c r="D198" s="1249" t="s">
        <v>353</v>
      </c>
      <c r="E198" s="1249"/>
      <c r="F198" s="1249"/>
      <c r="I198" s="391"/>
    </row>
    <row r="199" spans="1:9">
      <c r="A199" s="307"/>
      <c r="B199" s="307"/>
      <c r="D199" s="71" t="s">
        <v>354</v>
      </c>
      <c r="E199" s="1287" t="s">
        <v>355</v>
      </c>
      <c r="F199" s="1287"/>
      <c r="I199" s="391"/>
    </row>
    <row r="200" spans="1:9">
      <c r="A200" s="307"/>
      <c r="B200" s="307"/>
      <c r="D200" s="3"/>
      <c r="E200" s="3"/>
      <c r="F200" s="3"/>
      <c r="I200" s="391"/>
    </row>
    <row r="201" spans="1:9">
      <c r="A201" s="307"/>
      <c r="B201" s="386" t="s">
        <v>309</v>
      </c>
      <c r="D201" s="1249" t="s">
        <v>356</v>
      </c>
      <c r="E201" s="1249"/>
      <c r="F201" s="1249"/>
      <c r="I201" s="391"/>
    </row>
    <row r="202" spans="1:9">
      <c r="A202" s="307"/>
      <c r="B202" s="307"/>
      <c r="D202" s="1250" t="s">
        <v>353</v>
      </c>
      <c r="E202" s="1250"/>
      <c r="F202" s="1250"/>
      <c r="I202" s="391"/>
    </row>
    <row r="203" spans="1:9">
      <c r="A203" s="307"/>
      <c r="B203" s="307"/>
      <c r="D203" s="49" t="s">
        <v>357</v>
      </c>
      <c r="E203" s="1287" t="s">
        <v>358</v>
      </c>
      <c r="F203" s="1287"/>
      <c r="I203" s="391"/>
    </row>
    <row r="204" spans="1:9">
      <c r="A204" s="307"/>
      <c r="B204" s="307"/>
      <c r="D204" s="3"/>
      <c r="E204" s="3"/>
      <c r="F204" s="3"/>
      <c r="I204" s="391"/>
    </row>
    <row r="205" spans="1:9">
      <c r="A205" s="307"/>
      <c r="B205" s="386" t="s">
        <v>309</v>
      </c>
      <c r="D205" s="1249" t="s">
        <v>359</v>
      </c>
      <c r="E205" s="1249"/>
      <c r="F205" s="1249"/>
      <c r="I205" s="391"/>
    </row>
    <row r="206" spans="1:9">
      <c r="A206" s="307"/>
      <c r="B206" s="307"/>
      <c r="D206" s="1250" t="s">
        <v>353</v>
      </c>
      <c r="E206" s="1250"/>
      <c r="F206" s="1250"/>
      <c r="I206" s="391"/>
    </row>
    <row r="207" spans="1:9">
      <c r="A207" s="307"/>
      <c r="B207" s="307"/>
      <c r="D207" s="49" t="s">
        <v>354</v>
      </c>
      <c r="E207" s="1287" t="s">
        <v>360</v>
      </c>
      <c r="F207" s="1287"/>
      <c r="I207" s="391"/>
    </row>
    <row r="208" spans="1:9">
      <c r="A208" s="307"/>
      <c r="B208" s="307"/>
      <c r="D208" s="295"/>
      <c r="E208" s="295"/>
      <c r="F208" s="295"/>
      <c r="I208" s="391"/>
    </row>
    <row r="209" spans="1:9" ht="14.25" customHeight="1">
      <c r="A209" s="385"/>
      <c r="B209" s="386" t="s">
        <v>309</v>
      </c>
      <c r="D209" s="289" t="s">
        <v>361</v>
      </c>
      <c r="E209" s="288"/>
      <c r="F209" s="288"/>
      <c r="I209" s="391"/>
    </row>
    <row r="210" spans="1:9" ht="14.25">
      <c r="A210" s="385"/>
      <c r="B210" s="385"/>
      <c r="D210" s="1250" t="s">
        <v>353</v>
      </c>
      <c r="E210" s="1250"/>
      <c r="F210" s="1250"/>
      <c r="I210" s="391"/>
    </row>
    <row r="211" spans="1:9">
      <c r="D211" s="288"/>
      <c r="E211" s="1287" t="s">
        <v>362</v>
      </c>
      <c r="F211" s="1287"/>
      <c r="I211" s="391"/>
    </row>
    <row r="212" spans="1:9">
      <c r="D212" s="349"/>
      <c r="I212" s="391"/>
    </row>
    <row r="213" spans="1:9">
      <c r="B213" s="386" t="s">
        <v>309</v>
      </c>
      <c r="D213" s="1249" t="s">
        <v>363</v>
      </c>
      <c r="E213" s="1249"/>
      <c r="F213" s="1249"/>
      <c r="I213" s="391"/>
    </row>
    <row r="214" spans="1:9">
      <c r="D214" s="1250" t="s">
        <v>353</v>
      </c>
      <c r="E214" s="1250"/>
      <c r="F214" s="1250"/>
      <c r="I214" s="391"/>
    </row>
    <row r="215" spans="1:9">
      <c r="D215" s="49" t="s">
        <v>354</v>
      </c>
      <c r="E215" s="1287" t="s">
        <v>364</v>
      </c>
      <c r="F215" s="1287"/>
      <c r="I215" s="391"/>
    </row>
    <row r="216" spans="1:9">
      <c r="D216" s="353"/>
      <c r="E216" s="353"/>
      <c r="F216" s="353"/>
      <c r="I216" s="391"/>
    </row>
    <row r="217" spans="1:9" ht="14.25">
      <c r="A217" s="385"/>
      <c r="B217" s="386" t="s">
        <v>309</v>
      </c>
      <c r="D217" s="1263" t="s">
        <v>365</v>
      </c>
      <c r="E217" s="1263"/>
      <c r="F217" s="1263"/>
      <c r="I217" s="391"/>
    </row>
    <row r="218" spans="1:9" ht="14.65" customHeight="1">
      <c r="A218" s="385"/>
      <c r="B218" s="305"/>
      <c r="D218" s="1263"/>
      <c r="E218" s="1263"/>
      <c r="F218" s="1263"/>
      <c r="I218" s="391"/>
    </row>
    <row r="219" spans="1:9" ht="14.25">
      <c r="A219" s="385"/>
      <c r="D219" s="1263"/>
      <c r="E219" s="1263"/>
      <c r="F219" s="1263"/>
      <c r="I219" s="391"/>
    </row>
    <row r="220" spans="1:9" ht="14.25">
      <c r="A220" s="385"/>
      <c r="D220" s="1263"/>
      <c r="E220" s="1263"/>
      <c r="F220" s="1263"/>
      <c r="I220" s="391"/>
    </row>
    <row r="221" spans="1:9">
      <c r="D221" s="353"/>
      <c r="E221" s="353"/>
      <c r="F221" s="353"/>
      <c r="I221" s="391"/>
    </row>
    <row r="222" spans="1:9">
      <c r="A222" s="1270" t="s">
        <v>366</v>
      </c>
      <c r="B222" s="1270"/>
      <c r="C222" s="1270"/>
      <c r="D222" s="1270"/>
      <c r="E222" s="1270"/>
      <c r="F222" s="1270"/>
      <c r="G222" s="1270"/>
      <c r="H222" s="919"/>
      <c r="I222" s="1042"/>
    </row>
    <row r="223" spans="1:9" ht="12" customHeight="1">
      <c r="D223" s="348"/>
      <c r="E223" s="348"/>
      <c r="F223" s="348"/>
      <c r="I223" s="391"/>
    </row>
    <row r="224" spans="1:9">
      <c r="C224" s="387"/>
      <c r="D224" s="1271" t="s">
        <v>367</v>
      </c>
      <c r="E224" s="1271"/>
      <c r="F224" s="1271"/>
      <c r="I224" s="391"/>
    </row>
    <row r="225" spans="1:9">
      <c r="A225" s="383"/>
      <c r="B225" s="383"/>
      <c r="C225" s="383"/>
      <c r="D225" s="1261" t="s">
        <v>368</v>
      </c>
      <c r="E225" s="1261"/>
      <c r="F225" s="1261"/>
      <c r="I225" s="391"/>
    </row>
    <row r="226" spans="1:9" ht="12" customHeight="1">
      <c r="A226" s="391"/>
      <c r="B226" s="391"/>
      <c r="C226" s="391"/>
      <c r="I226" s="391"/>
    </row>
    <row r="227" spans="1:9" ht="13.9" customHeight="1">
      <c r="A227" s="391"/>
      <c r="C227" s="391"/>
      <c r="D227" s="1271" t="s">
        <v>369</v>
      </c>
      <c r="E227" s="1271"/>
      <c r="F227" s="1271"/>
      <c r="I227" s="391"/>
    </row>
    <row r="228" spans="1:9" ht="14.25">
      <c r="A228" s="385"/>
      <c r="B228" s="386" t="s">
        <v>309</v>
      </c>
      <c r="D228" s="1263" t="s">
        <v>370</v>
      </c>
      <c r="E228" s="1263"/>
      <c r="F228" s="1263"/>
      <c r="I228" s="391"/>
    </row>
    <row r="229" spans="1:9" ht="14.25" customHeight="1">
      <c r="A229" s="385"/>
      <c r="B229" s="385"/>
      <c r="D229" s="1263"/>
      <c r="E229" s="1263"/>
      <c r="F229" s="1263"/>
      <c r="I229" s="391"/>
    </row>
    <row r="230" spans="1:9" ht="14.25" customHeight="1">
      <c r="A230" s="385"/>
      <c r="B230" s="385"/>
      <c r="D230" s="1263"/>
      <c r="E230" s="1263"/>
      <c r="F230" s="1263"/>
      <c r="I230" s="391"/>
    </row>
    <row r="231" spans="1:9" ht="14.25">
      <c r="A231" s="385"/>
      <c r="B231" s="385"/>
      <c r="D231" s="1263"/>
      <c r="E231" s="1263"/>
      <c r="F231" s="1263"/>
      <c r="I231" s="391"/>
    </row>
    <row r="232" spans="1:9" ht="14.25">
      <c r="A232" s="385"/>
      <c r="B232" s="385"/>
      <c r="D232" s="347"/>
      <c r="E232" s="347"/>
      <c r="F232" s="347"/>
      <c r="I232" s="391"/>
    </row>
    <row r="233" spans="1:9" ht="14.25">
      <c r="A233" s="385"/>
      <c r="B233" s="386" t="s">
        <v>309</v>
      </c>
      <c r="D233" s="1263" t="s">
        <v>371</v>
      </c>
      <c r="E233" s="1263"/>
      <c r="F233" s="1263"/>
      <c r="I233" s="391"/>
    </row>
    <row r="234" spans="1:9" ht="14.25">
      <c r="A234" s="385"/>
      <c r="B234" s="385"/>
      <c r="D234" s="1263"/>
      <c r="E234" s="1263"/>
      <c r="F234" s="1263"/>
      <c r="I234" s="391"/>
    </row>
    <row r="235" spans="1:9" ht="14.25">
      <c r="A235" s="385"/>
      <c r="B235" s="385"/>
      <c r="D235" s="1263"/>
      <c r="E235" s="1263"/>
      <c r="F235" s="1263"/>
      <c r="I235" s="391"/>
    </row>
    <row r="236" spans="1:9" ht="14.25">
      <c r="A236" s="385"/>
      <c r="B236" s="385"/>
      <c r="D236" s="1263"/>
      <c r="E236" s="1263"/>
      <c r="F236" s="1263"/>
      <c r="I236" s="391"/>
    </row>
    <row r="237" spans="1:9" ht="14.25" customHeight="1">
      <c r="A237" s="385"/>
      <c r="B237" s="385"/>
      <c r="D237" s="1263"/>
      <c r="E237" s="1263"/>
      <c r="F237" s="1263"/>
      <c r="I237" s="391"/>
    </row>
    <row r="238" spans="1:9" ht="14.25" customHeight="1">
      <c r="A238" s="385"/>
      <c r="B238" s="385"/>
      <c r="D238" s="347"/>
      <c r="E238" s="347"/>
      <c r="F238" s="347"/>
      <c r="I238" s="391"/>
    </row>
    <row r="239" spans="1:9" ht="14.25">
      <c r="A239" s="385"/>
      <c r="B239" s="385"/>
      <c r="D239" s="1263" t="s">
        <v>372</v>
      </c>
      <c r="E239" s="1263"/>
      <c r="F239" s="1263"/>
      <c r="I239" s="391"/>
    </row>
    <row r="240" spans="1:9" ht="14.25">
      <c r="A240" s="385"/>
      <c r="B240" s="385"/>
      <c r="D240" s="1263"/>
      <c r="E240" s="1263"/>
      <c r="F240" s="1263"/>
      <c r="I240" s="391"/>
    </row>
    <row r="241" spans="1:9" ht="14.25">
      <c r="A241" s="385"/>
      <c r="B241" s="385"/>
      <c r="D241" s="1263"/>
      <c r="E241" s="1263"/>
      <c r="F241" s="1263"/>
      <c r="I241" s="391"/>
    </row>
    <row r="242" spans="1:9" ht="14.25">
      <c r="A242" s="385"/>
      <c r="B242" s="385"/>
      <c r="D242" s="1263"/>
      <c r="E242" s="1263"/>
      <c r="F242" s="1263"/>
      <c r="I242" s="391"/>
    </row>
    <row r="243" spans="1:9" ht="14.25">
      <c r="A243" s="385"/>
      <c r="B243" s="385"/>
      <c r="D243" s="1263"/>
      <c r="E243" s="1263"/>
      <c r="F243" s="1263"/>
      <c r="I243" s="391"/>
    </row>
    <row r="244" spans="1:9" ht="14.25">
      <c r="A244" s="385"/>
      <c r="B244" s="385"/>
      <c r="D244" s="348"/>
      <c r="E244" s="348"/>
      <c r="F244" s="348"/>
      <c r="I244" s="391"/>
    </row>
    <row r="245" spans="1:9" ht="14.25">
      <c r="A245" s="385"/>
      <c r="B245" s="386" t="s">
        <v>309</v>
      </c>
      <c r="D245" s="1263" t="s">
        <v>373</v>
      </c>
      <c r="E245" s="1263"/>
      <c r="F245" s="1263"/>
      <c r="I245" s="391"/>
    </row>
    <row r="246" spans="1:9" ht="14.25">
      <c r="A246" s="385"/>
      <c r="B246" s="385"/>
      <c r="D246" s="1263"/>
      <c r="E246" s="1263"/>
      <c r="F246" s="1263"/>
      <c r="I246" s="391"/>
    </row>
    <row r="247" spans="1:9" ht="14.25">
      <c r="A247" s="385"/>
      <c r="B247" s="385"/>
      <c r="D247" s="1263"/>
      <c r="E247" s="1263"/>
      <c r="F247" s="1263"/>
      <c r="I247" s="391"/>
    </row>
    <row r="248" spans="1:9" ht="14.25">
      <c r="A248" s="385"/>
      <c r="B248" s="385"/>
      <c r="E248" s="927" t="s">
        <v>374</v>
      </c>
      <c r="I248" s="391"/>
    </row>
    <row r="249" spans="1:9" ht="14.25">
      <c r="A249" s="385"/>
      <c r="B249" s="385"/>
      <c r="D249" s="348"/>
      <c r="E249" s="348"/>
      <c r="F249" s="348"/>
      <c r="I249" s="391"/>
    </row>
    <row r="250" spans="1:9" ht="14.65" customHeight="1">
      <c r="A250" s="385"/>
      <c r="B250" s="386" t="s">
        <v>309</v>
      </c>
      <c r="D250" s="1263" t="s">
        <v>375</v>
      </c>
      <c r="E250" s="1263"/>
      <c r="F250" s="1263"/>
      <c r="I250" s="391"/>
    </row>
    <row r="251" spans="1:9" ht="14.25">
      <c r="A251" s="385"/>
      <c r="B251" s="385"/>
      <c r="D251" s="1263"/>
      <c r="E251" s="1263"/>
      <c r="F251" s="1263"/>
      <c r="I251" s="391"/>
    </row>
    <row r="252" spans="1:9" ht="14.25">
      <c r="A252" s="385"/>
      <c r="B252" s="385"/>
      <c r="D252" s="1263"/>
      <c r="E252" s="1263"/>
      <c r="F252" s="1263"/>
      <c r="I252" s="391"/>
    </row>
    <row r="253" spans="1:9" ht="14.25">
      <c r="A253" s="385"/>
      <c r="B253" s="385"/>
      <c r="D253" s="1263"/>
      <c r="E253" s="1263"/>
      <c r="F253" s="1263"/>
      <c r="I253" s="391"/>
    </row>
    <row r="254" spans="1:9" ht="14.25">
      <c r="A254" s="385"/>
      <c r="B254" s="385"/>
      <c r="D254" s="1263"/>
      <c r="E254" s="1263"/>
      <c r="F254" s="1263"/>
      <c r="I254" s="391"/>
    </row>
    <row r="255" spans="1:9" ht="14.25">
      <c r="A255" s="385"/>
      <c r="B255" s="385"/>
      <c r="D255" s="347"/>
      <c r="E255" s="347"/>
      <c r="F255" s="347"/>
      <c r="I255" s="391"/>
    </row>
    <row r="256" spans="1:9" ht="14.25">
      <c r="A256" s="385"/>
      <c r="B256" s="386" t="s">
        <v>309</v>
      </c>
      <c r="D256" s="295" t="s">
        <v>376</v>
      </c>
      <c r="E256" s="347"/>
      <c r="F256" s="347"/>
      <c r="I256" s="391"/>
    </row>
    <row r="257" spans="1:9" ht="14.25">
      <c r="A257" s="385"/>
      <c r="B257" s="385"/>
      <c r="E257" s="927" t="s">
        <v>377</v>
      </c>
      <c r="I257" s="391"/>
    </row>
    <row r="258" spans="1:9">
      <c r="D258" s="348"/>
      <c r="E258" s="348"/>
      <c r="F258" s="348"/>
      <c r="I258" s="391"/>
    </row>
    <row r="259" spans="1:9" ht="14.25">
      <c r="A259" s="385"/>
      <c r="B259" s="386" t="s">
        <v>309</v>
      </c>
      <c r="D259" s="1263" t="s">
        <v>378</v>
      </c>
      <c r="E259" s="1263"/>
      <c r="F259" s="1263"/>
      <c r="I259" s="391"/>
    </row>
    <row r="260" spans="1:9" ht="14.25">
      <c r="A260" s="385"/>
      <c r="B260" s="385"/>
      <c r="D260" s="1263"/>
      <c r="E260" s="1263"/>
      <c r="F260" s="1263"/>
      <c r="I260" s="391"/>
    </row>
    <row r="261" spans="1:9">
      <c r="D261" s="392"/>
      <c r="I261" s="391"/>
    </row>
    <row r="262" spans="1:9">
      <c r="A262" s="1270" t="s">
        <v>379</v>
      </c>
      <c r="B262" s="1270"/>
      <c r="C262" s="1270"/>
      <c r="D262" s="1270"/>
      <c r="E262" s="1270"/>
      <c r="F262" s="1270"/>
      <c r="G262" s="1270"/>
      <c r="H262" s="919"/>
      <c r="I262" s="1042"/>
    </row>
    <row r="263" spans="1:9">
      <c r="D263" s="392"/>
      <c r="I263" s="391"/>
    </row>
    <row r="264" spans="1:9">
      <c r="C264" s="387"/>
      <c r="D264" s="1271" t="s">
        <v>380</v>
      </c>
      <c r="E264" s="1271"/>
      <c r="F264" s="1271"/>
      <c r="I264" s="391"/>
    </row>
    <row r="265" spans="1:9">
      <c r="A265" s="383"/>
      <c r="B265" s="383"/>
      <c r="C265" s="383"/>
      <c r="D265" s="348"/>
      <c r="E265" s="348"/>
      <c r="F265" s="348"/>
      <c r="I265" s="391"/>
    </row>
    <row r="266" spans="1:9">
      <c r="A266" s="384"/>
      <c r="B266" s="384"/>
      <c r="C266" s="384"/>
      <c r="D266" s="1271" t="s">
        <v>381</v>
      </c>
      <c r="E266" s="1271"/>
      <c r="F266" s="1271"/>
      <c r="I266" s="391"/>
    </row>
    <row r="267" spans="1:9" ht="14.65" customHeight="1">
      <c r="A267" s="385"/>
      <c r="B267" s="386" t="s">
        <v>309</v>
      </c>
      <c r="D267" s="1263" t="s">
        <v>382</v>
      </c>
      <c r="E267" s="1263"/>
      <c r="F267" s="1263"/>
      <c r="I267" s="391"/>
    </row>
    <row r="268" spans="1:9">
      <c r="D268" s="1263"/>
      <c r="E268" s="1263"/>
      <c r="F268" s="1263"/>
      <c r="I268" s="391"/>
    </row>
    <row r="269" spans="1:9">
      <c r="E269" s="927" t="s">
        <v>383</v>
      </c>
      <c r="I269" s="391"/>
    </row>
    <row r="270" spans="1:9">
      <c r="D270" s="348"/>
      <c r="E270" s="348"/>
      <c r="F270" s="348"/>
      <c r="I270" s="391"/>
    </row>
    <row r="271" spans="1:9" ht="14.65" customHeight="1">
      <c r="A271" s="385"/>
      <c r="B271" s="386" t="s">
        <v>309</v>
      </c>
      <c r="D271" s="1263" t="s">
        <v>384</v>
      </c>
      <c r="E271" s="1263"/>
      <c r="F271" s="1263"/>
      <c r="I271" s="391"/>
    </row>
    <row r="272" spans="1:9">
      <c r="D272" s="1263"/>
      <c r="E272" s="1263"/>
      <c r="F272" s="1263"/>
      <c r="I272" s="391"/>
    </row>
    <row r="273" spans="1:9">
      <c r="D273" s="1263"/>
      <c r="E273" s="1263"/>
      <c r="F273" s="1263"/>
      <c r="I273" s="391"/>
    </row>
    <row r="274" spans="1:9">
      <c r="D274" s="1263"/>
      <c r="E274" s="1263"/>
      <c r="F274" s="1263"/>
      <c r="I274" s="391"/>
    </row>
    <row r="275" spans="1:9">
      <c r="D275" s="1263"/>
      <c r="E275" s="1263"/>
      <c r="F275" s="1263"/>
      <c r="I275" s="391"/>
    </row>
    <row r="276" spans="1:9">
      <c r="D276" s="1263"/>
      <c r="E276" s="1263"/>
      <c r="F276" s="1263"/>
      <c r="I276" s="391"/>
    </row>
    <row r="277" spans="1:9">
      <c r="D277" s="348"/>
      <c r="E277" s="348"/>
      <c r="F277" s="348"/>
      <c r="I277" s="391"/>
    </row>
    <row r="278" spans="1:9" ht="14.25">
      <c r="A278" s="385"/>
      <c r="B278" s="386" t="s">
        <v>309</v>
      </c>
      <c r="D278" s="1263" t="s">
        <v>385</v>
      </c>
      <c r="E278" s="1263"/>
      <c r="F278" s="1263"/>
      <c r="I278" s="391"/>
    </row>
    <row r="279" spans="1:9">
      <c r="D279" s="1263"/>
      <c r="E279" s="1263"/>
      <c r="F279" s="1263"/>
      <c r="I279" s="391"/>
    </row>
    <row r="280" spans="1:9">
      <c r="D280" s="1263"/>
      <c r="E280" s="1263"/>
      <c r="F280" s="1263"/>
      <c r="I280" s="391"/>
    </row>
    <row r="281" spans="1:9">
      <c r="D281" s="393"/>
      <c r="E281" s="348"/>
      <c r="F281" s="348"/>
      <c r="I281" s="391"/>
    </row>
    <row r="282" spans="1:9">
      <c r="A282" s="1270" t="s">
        <v>386</v>
      </c>
      <c r="B282" s="1270"/>
      <c r="C282" s="1270"/>
      <c r="D282" s="1270"/>
      <c r="E282" s="1270"/>
      <c r="F282" s="1270"/>
      <c r="G282" s="1270"/>
      <c r="H282" s="919"/>
      <c r="I282" s="1042"/>
    </row>
    <row r="283" spans="1:9">
      <c r="D283" s="393"/>
      <c r="E283" s="348"/>
      <c r="F283" s="348"/>
      <c r="I283" s="391"/>
    </row>
    <row r="284" spans="1:9">
      <c r="C284" s="383"/>
      <c r="D284" s="1279" t="s">
        <v>387</v>
      </c>
      <c r="E284" s="1279"/>
      <c r="F284" s="1279"/>
      <c r="I284" s="391"/>
    </row>
    <row r="285" spans="1:9">
      <c r="C285" s="383"/>
      <c r="D285" s="1279"/>
      <c r="E285" s="1279"/>
      <c r="F285" s="1279"/>
      <c r="I285" s="391"/>
    </row>
    <row r="286" spans="1:9">
      <c r="A286" s="384"/>
      <c r="B286" s="384"/>
      <c r="C286" s="384"/>
      <c r="D286" s="307"/>
      <c r="I286" s="391"/>
    </row>
    <row r="287" spans="1:9">
      <c r="C287" s="384"/>
      <c r="D287" s="1271" t="s">
        <v>388</v>
      </c>
      <c r="E287" s="1271"/>
      <c r="F287" s="1271"/>
      <c r="I287" s="391"/>
    </row>
    <row r="288" spans="1:9" ht="15.75" customHeight="1">
      <c r="A288" s="385"/>
      <c r="B288" s="385"/>
      <c r="D288" s="1288" t="s">
        <v>389</v>
      </c>
      <c r="E288" s="1288"/>
      <c r="F288" s="1288"/>
      <c r="I288" s="391"/>
    </row>
    <row r="289" spans="1:9">
      <c r="E289" s="348"/>
      <c r="F289" s="348"/>
      <c r="I289" s="391"/>
    </row>
    <row r="290" spans="1:9" ht="14.25">
      <c r="A290" s="385"/>
      <c r="B290" s="386" t="s">
        <v>309</v>
      </c>
      <c r="D290" s="1263" t="s">
        <v>390</v>
      </c>
      <c r="E290" s="1263"/>
      <c r="F290" s="1263"/>
      <c r="I290" s="391"/>
    </row>
    <row r="291" spans="1:9" ht="14.25">
      <c r="A291" s="385"/>
      <c r="B291" s="385"/>
      <c r="D291" s="1263"/>
      <c r="E291" s="1263"/>
      <c r="F291" s="1263"/>
      <c r="I291" s="391"/>
    </row>
    <row r="292" spans="1:9">
      <c r="D292" s="348"/>
      <c r="E292" s="348"/>
      <c r="F292" s="348"/>
      <c r="I292" s="391"/>
    </row>
    <row r="293" spans="1:9" ht="14.25">
      <c r="A293" s="385"/>
      <c r="B293" s="386" t="s">
        <v>309</v>
      </c>
      <c r="D293" s="1263" t="s">
        <v>391</v>
      </c>
      <c r="E293" s="1263"/>
      <c r="F293" s="1263"/>
      <c r="I293" s="391"/>
    </row>
    <row r="294" spans="1:9" ht="14.25">
      <c r="A294" s="385"/>
      <c r="B294" s="385"/>
      <c r="D294" s="1263"/>
      <c r="E294" s="1263"/>
      <c r="F294" s="1263"/>
      <c r="I294" s="391"/>
    </row>
    <row r="295" spans="1:9" ht="14.25">
      <c r="A295" s="385"/>
      <c r="B295" s="385"/>
      <c r="D295" s="1263"/>
      <c r="E295" s="1263"/>
      <c r="F295" s="1263"/>
      <c r="I295" s="391"/>
    </row>
    <row r="296" spans="1:9">
      <c r="D296" s="348"/>
      <c r="E296" s="348"/>
      <c r="F296" s="348"/>
      <c r="I296" s="391"/>
    </row>
    <row r="297" spans="1:9" ht="14.25">
      <c r="A297" s="385"/>
      <c r="B297" s="386" t="s">
        <v>309</v>
      </c>
      <c r="D297" s="1263" t="s">
        <v>392</v>
      </c>
      <c r="E297" s="1263"/>
      <c r="F297" s="1263"/>
      <c r="I297" s="391"/>
    </row>
    <row r="298" spans="1:9" ht="14.25">
      <c r="A298" s="385"/>
      <c r="B298" s="385"/>
      <c r="D298" s="1263"/>
      <c r="E298" s="1263"/>
      <c r="F298" s="1263"/>
      <c r="I298" s="391"/>
    </row>
    <row r="299" spans="1:9">
      <c r="A299" s="391"/>
      <c r="B299" s="391"/>
      <c r="E299" s="348"/>
      <c r="F299" s="348"/>
      <c r="I299" s="391"/>
    </row>
    <row r="300" spans="1:9">
      <c r="A300" s="1270" t="s">
        <v>393</v>
      </c>
      <c r="B300" s="1270"/>
      <c r="C300" s="1270"/>
      <c r="D300" s="1270"/>
      <c r="E300" s="1270"/>
      <c r="F300" s="1270"/>
      <c r="G300" s="1270"/>
      <c r="H300" s="919"/>
      <c r="I300" s="1042"/>
    </row>
    <row r="301" spans="1:9">
      <c r="A301" s="391"/>
      <c r="B301" s="391"/>
      <c r="D301" s="348"/>
      <c r="E301" s="348"/>
      <c r="F301" s="348"/>
      <c r="I301" s="391"/>
    </row>
    <row r="302" spans="1:9">
      <c r="C302" s="391"/>
      <c r="D302" s="1271" t="s">
        <v>394</v>
      </c>
      <c r="E302" s="1271"/>
      <c r="F302" s="1271"/>
      <c r="I302" s="391"/>
    </row>
    <row r="303" spans="1:9">
      <c r="C303" s="391"/>
      <c r="D303" s="1261" t="s">
        <v>395</v>
      </c>
      <c r="E303" s="1261"/>
      <c r="F303" s="1261"/>
      <c r="I303" s="391"/>
    </row>
    <row r="304" spans="1:9">
      <c r="C304" s="391"/>
      <c r="D304" s="394"/>
      <c r="I304" s="391"/>
    </row>
    <row r="305" spans="1:9">
      <c r="B305" s="386" t="s">
        <v>309</v>
      </c>
      <c r="D305" s="1261" t="s">
        <v>396</v>
      </c>
      <c r="E305" s="1261"/>
      <c r="F305" s="1261"/>
      <c r="I305" s="391"/>
    </row>
    <row r="306" spans="1:9" ht="14.25">
      <c r="A306" s="385"/>
      <c r="B306" s="385"/>
      <c r="D306" s="395"/>
      <c r="E306" s="396"/>
      <c r="F306" s="396"/>
      <c r="I306" s="391"/>
    </row>
    <row r="307" spans="1:9" ht="13.9" customHeight="1">
      <c r="B307" s="386" t="s">
        <v>309</v>
      </c>
      <c r="D307" s="1272" t="s">
        <v>397</v>
      </c>
      <c r="E307" s="1272"/>
      <c r="F307" s="1272"/>
      <c r="I307" s="391"/>
    </row>
    <row r="308" spans="1:9" ht="14.25">
      <c r="A308" s="385"/>
      <c r="B308" s="385"/>
      <c r="D308" s="1272"/>
      <c r="E308" s="1272"/>
      <c r="F308" s="1272"/>
      <c r="I308" s="391"/>
    </row>
    <row r="309" spans="1:9" ht="14.25">
      <c r="A309" s="385"/>
      <c r="B309" s="385"/>
      <c r="D309" s="1272"/>
      <c r="E309" s="1272"/>
      <c r="F309" s="1272"/>
      <c r="I309" s="391"/>
    </row>
    <row r="310" spans="1:9" ht="14.25">
      <c r="A310" s="385"/>
      <c r="B310" s="385"/>
      <c r="D310" s="1272"/>
      <c r="E310" s="1272"/>
      <c r="F310" s="1272"/>
      <c r="I310" s="391"/>
    </row>
    <row r="311" spans="1:9" ht="14.25">
      <c r="A311" s="385"/>
      <c r="B311" s="385"/>
      <c r="D311" s="1272"/>
      <c r="E311" s="1272"/>
      <c r="F311" s="1272"/>
      <c r="I311" s="391"/>
    </row>
    <row r="312" spans="1:9" ht="14.25">
      <c r="A312" s="385"/>
      <c r="B312" s="385"/>
      <c r="D312" s="395"/>
      <c r="E312" s="396"/>
      <c r="F312" s="396"/>
      <c r="I312" s="391"/>
    </row>
    <row r="313" spans="1:9" ht="13.9" customHeight="1">
      <c r="B313" s="386" t="s">
        <v>309</v>
      </c>
      <c r="D313" s="1272" t="s">
        <v>398</v>
      </c>
      <c r="E313" s="1272"/>
      <c r="F313" s="1272"/>
      <c r="I313" s="391"/>
    </row>
    <row r="314" spans="1:9">
      <c r="D314" s="1272"/>
      <c r="E314" s="1272"/>
      <c r="F314" s="1272"/>
      <c r="I314" s="391"/>
    </row>
    <row r="315" spans="1:9" ht="14.25">
      <c r="A315" s="385"/>
      <c r="B315" s="385"/>
      <c r="D315" s="395"/>
      <c r="E315" s="396"/>
      <c r="F315" s="396"/>
      <c r="I315" s="391"/>
    </row>
    <row r="316" spans="1:9">
      <c r="B316" s="386" t="s">
        <v>309</v>
      </c>
      <c r="D316" s="1261" t="s">
        <v>399</v>
      </c>
      <c r="E316" s="1261"/>
      <c r="F316" s="1261"/>
      <c r="I316" s="391"/>
    </row>
    <row r="317" spans="1:9">
      <c r="E317" s="348"/>
      <c r="F317" s="348"/>
      <c r="I317" s="391"/>
    </row>
    <row r="318" spans="1:9" ht="14.25">
      <c r="A318" s="385"/>
      <c r="B318" s="386" t="s">
        <v>309</v>
      </c>
      <c r="D318" s="1263" t="s">
        <v>400</v>
      </c>
      <c r="E318" s="1263"/>
      <c r="F318" s="1263"/>
      <c r="I318" s="391"/>
    </row>
    <row r="319" spans="1:9" ht="14.25">
      <c r="A319" s="385"/>
      <c r="B319" s="385"/>
      <c r="D319" s="1263"/>
      <c r="E319" s="1263"/>
      <c r="F319" s="1263"/>
      <c r="I319" s="391"/>
    </row>
    <row r="320" spans="1:9" ht="14.25">
      <c r="A320" s="385"/>
      <c r="B320" s="385"/>
      <c r="D320" s="1263"/>
      <c r="E320" s="1263"/>
      <c r="F320" s="1263"/>
      <c r="I320" s="391"/>
    </row>
    <row r="321" spans="1:9" ht="14.25">
      <c r="A321" s="385"/>
      <c r="B321" s="385"/>
      <c r="D321" s="1263"/>
      <c r="E321" s="1263"/>
      <c r="F321" s="1263"/>
      <c r="I321" s="391"/>
    </row>
    <row r="322" spans="1:9" ht="14.25">
      <c r="A322" s="385"/>
      <c r="B322" s="385"/>
      <c r="D322" s="1263"/>
      <c r="E322" s="1263"/>
      <c r="F322" s="1263"/>
      <c r="I322" s="391"/>
    </row>
    <row r="323" spans="1:9" ht="14.25">
      <c r="A323" s="385"/>
      <c r="B323" s="385"/>
      <c r="D323" s="1263"/>
      <c r="E323" s="1263"/>
      <c r="F323" s="1263"/>
      <c r="I323" s="391"/>
    </row>
    <row r="324" spans="1:9" ht="14.25">
      <c r="A324" s="385"/>
      <c r="B324" s="385"/>
      <c r="D324" s="1263"/>
      <c r="E324" s="1263"/>
      <c r="F324" s="1263"/>
      <c r="I324" s="391"/>
    </row>
    <row r="325" spans="1:9" ht="14.25">
      <c r="A325" s="385"/>
      <c r="B325" s="385"/>
      <c r="D325" s="1263"/>
      <c r="E325" s="1263"/>
      <c r="F325" s="1263"/>
      <c r="I325" s="391"/>
    </row>
    <row r="326" spans="1:9" ht="14.25">
      <c r="A326" s="385"/>
      <c r="B326" s="385"/>
      <c r="D326" s="1263"/>
      <c r="E326" s="1263"/>
      <c r="F326" s="1263"/>
      <c r="I326" s="391"/>
    </row>
    <row r="327" spans="1:9" ht="14.25">
      <c r="A327" s="385"/>
      <c r="B327" s="385"/>
      <c r="D327" s="1263"/>
      <c r="E327" s="1263"/>
      <c r="F327" s="1263"/>
      <c r="I327" s="391"/>
    </row>
    <row r="328" spans="1:9" ht="14.25">
      <c r="A328" s="385"/>
      <c r="B328" s="385"/>
      <c r="D328" s="1263"/>
      <c r="E328" s="1263"/>
      <c r="F328" s="1263"/>
      <c r="I328" s="391"/>
    </row>
    <row r="329" spans="1:9" ht="14.25">
      <c r="A329" s="385"/>
      <c r="B329" s="385"/>
      <c r="D329" s="1263"/>
      <c r="E329" s="1263"/>
      <c r="F329" s="1263"/>
      <c r="I329" s="391"/>
    </row>
    <row r="330" spans="1:9" ht="14.25">
      <c r="A330" s="385"/>
      <c r="B330" s="385"/>
      <c r="D330" s="1263"/>
      <c r="E330" s="1263"/>
      <c r="F330" s="1263"/>
      <c r="I330" s="391"/>
    </row>
    <row r="331" spans="1:9" ht="14.25">
      <c r="A331" s="385"/>
      <c r="B331" s="385"/>
      <c r="D331" s="1263"/>
      <c r="E331" s="1263"/>
      <c r="F331" s="1263"/>
      <c r="I331" s="391"/>
    </row>
    <row r="332" spans="1:9" ht="14.25">
      <c r="A332" s="385"/>
      <c r="B332" s="385"/>
      <c r="D332" s="1263"/>
      <c r="E332" s="1263"/>
      <c r="F332" s="1263"/>
      <c r="I332" s="391"/>
    </row>
    <row r="333" spans="1:9">
      <c r="D333" s="348"/>
      <c r="E333" s="348"/>
      <c r="F333" s="348"/>
      <c r="I333" s="391"/>
    </row>
    <row r="334" spans="1:9" ht="14.25">
      <c r="A334" s="385"/>
      <c r="B334" s="386" t="s">
        <v>309</v>
      </c>
      <c r="D334" s="1263" t="s">
        <v>401</v>
      </c>
      <c r="E334" s="1263"/>
      <c r="F334" s="1263"/>
      <c r="I334" s="391"/>
    </row>
    <row r="335" spans="1:9">
      <c r="D335" s="1263"/>
      <c r="E335" s="1263"/>
      <c r="F335" s="1263"/>
      <c r="I335" s="391"/>
    </row>
    <row r="336" spans="1:9">
      <c r="D336" s="1263"/>
      <c r="E336" s="1263"/>
      <c r="F336" s="1263"/>
      <c r="I336" s="391"/>
    </row>
    <row r="337" spans="1:9">
      <c r="D337" s="1263"/>
      <c r="E337" s="1263"/>
      <c r="F337" s="1263"/>
      <c r="I337" s="391"/>
    </row>
    <row r="338" spans="1:9">
      <c r="D338" s="1263"/>
      <c r="E338" s="1263"/>
      <c r="F338" s="1263"/>
      <c r="I338" s="391"/>
    </row>
    <row r="339" spans="1:9">
      <c r="D339" s="1263"/>
      <c r="E339" s="1263"/>
      <c r="F339" s="1263"/>
      <c r="I339" s="391"/>
    </row>
    <row r="340" spans="1:9">
      <c r="D340" s="1263"/>
      <c r="E340" s="1263"/>
      <c r="F340" s="1263"/>
      <c r="I340" s="391"/>
    </row>
    <row r="341" spans="1:9">
      <c r="D341" s="1263"/>
      <c r="E341" s="1263"/>
      <c r="F341" s="1263"/>
      <c r="I341" s="391"/>
    </row>
    <row r="342" spans="1:9">
      <c r="D342" s="1263"/>
      <c r="E342" s="1263"/>
      <c r="F342" s="1263"/>
      <c r="I342" s="391"/>
    </row>
    <row r="343" spans="1:9">
      <c r="D343" s="348"/>
      <c r="E343" s="348"/>
      <c r="F343" s="348"/>
      <c r="I343" s="391"/>
    </row>
    <row r="344" spans="1:9" ht="14.25" customHeight="1">
      <c r="A344" s="385"/>
      <c r="B344" s="386" t="s">
        <v>309</v>
      </c>
      <c r="D344" s="1263" t="s">
        <v>402</v>
      </c>
      <c r="E344" s="1263"/>
      <c r="F344" s="1263"/>
      <c r="I344" s="391"/>
    </row>
    <row r="345" spans="1:9">
      <c r="D345" s="1263"/>
      <c r="E345" s="1263"/>
      <c r="F345" s="1263"/>
      <c r="I345" s="391"/>
    </row>
    <row r="346" spans="1:9">
      <c r="D346" s="1263"/>
      <c r="E346" s="1263"/>
      <c r="F346" s="1263"/>
      <c r="I346" s="391"/>
    </row>
    <row r="347" spans="1:9">
      <c r="D347" s="1263"/>
      <c r="E347" s="1263"/>
      <c r="F347" s="1263"/>
      <c r="I347" s="391"/>
    </row>
    <row r="348" spans="1:9">
      <c r="D348" s="289" t="s">
        <v>353</v>
      </c>
      <c r="E348" s="288"/>
      <c r="F348" s="288"/>
      <c r="I348" s="391"/>
    </row>
    <row r="349" spans="1:9">
      <c r="D349" s="288"/>
      <c r="E349" s="71" t="s">
        <v>403</v>
      </c>
      <c r="G349" s="71"/>
      <c r="I349" s="391"/>
    </row>
    <row r="350" spans="1:9">
      <c r="D350" s="347"/>
      <c r="E350" s="347"/>
      <c r="F350" s="347"/>
      <c r="I350" s="391"/>
    </row>
    <row r="351" spans="1:9" ht="13.5" thickBot="1">
      <c r="A351" s="913"/>
      <c r="B351" s="913"/>
      <c r="C351" s="913"/>
      <c r="D351" s="1291" t="s">
        <v>404</v>
      </c>
      <c r="E351" s="1291"/>
      <c r="F351" s="1291"/>
      <c r="G351" s="918"/>
      <c r="H351" s="918"/>
      <c r="I351" s="1045"/>
    </row>
    <row r="352" spans="1:9" ht="13.5" thickTop="1">
      <c r="D352" s="1290" t="s">
        <v>405</v>
      </c>
      <c r="E352" s="1290"/>
      <c r="F352" s="1290"/>
      <c r="I352" s="391"/>
    </row>
    <row r="353" spans="1:9">
      <c r="D353" s="348"/>
      <c r="E353" s="348"/>
      <c r="F353" s="348"/>
      <c r="I353" s="391"/>
    </row>
    <row r="354" spans="1:9">
      <c r="A354" s="377"/>
      <c r="B354" s="377"/>
      <c r="C354" s="377"/>
      <c r="D354" s="349"/>
      <c r="E354" s="349"/>
      <c r="F354" s="348"/>
      <c r="I354" s="391"/>
    </row>
    <row r="355" spans="1:9" ht="14.25">
      <c r="A355" s="385"/>
      <c r="B355" s="386" t="s">
        <v>309</v>
      </c>
      <c r="C355" s="388"/>
      <c r="D355" s="1261" t="s">
        <v>406</v>
      </c>
      <c r="E355" s="1261"/>
      <c r="F355" s="1261"/>
      <c r="I355" s="391"/>
    </row>
    <row r="356" spans="1:9" ht="12.75" customHeight="1">
      <c r="D356" s="928"/>
      <c r="E356" s="71" t="s">
        <v>407</v>
      </c>
      <c r="F356" s="928"/>
      <c r="I356" s="391"/>
    </row>
    <row r="357" spans="1:9">
      <c r="D357" s="1263" t="s">
        <v>408</v>
      </c>
      <c r="E357" s="1263"/>
      <c r="F357" s="1263"/>
      <c r="I357" s="391"/>
    </row>
    <row r="358" spans="1:9">
      <c r="D358" s="1263"/>
      <c r="E358" s="1263"/>
      <c r="F358" s="1263"/>
      <c r="I358" s="391"/>
    </row>
    <row r="359" spans="1:9">
      <c r="D359" s="1263"/>
      <c r="E359" s="1263"/>
      <c r="F359" s="1263"/>
      <c r="I359" s="391"/>
    </row>
    <row r="360" spans="1:9" ht="14.25">
      <c r="A360" s="385"/>
      <c r="B360" s="386" t="s">
        <v>309</v>
      </c>
      <c r="C360" s="377"/>
      <c r="D360" s="1280" t="s">
        <v>409</v>
      </c>
      <c r="E360" s="1280"/>
      <c r="F360" s="1280"/>
      <c r="I360" s="381"/>
    </row>
    <row r="361" spans="1:9">
      <c r="A361" s="377"/>
      <c r="B361" s="377"/>
      <c r="C361" s="377"/>
      <c r="D361" s="349"/>
      <c r="E361" s="349"/>
      <c r="F361" s="348"/>
      <c r="I361" s="391"/>
    </row>
    <row r="362" spans="1:9">
      <c r="A362" s="377"/>
      <c r="B362" s="386" t="s">
        <v>309</v>
      </c>
      <c r="C362" s="377"/>
      <c r="D362" s="1234" t="s">
        <v>410</v>
      </c>
      <c r="E362" s="1234"/>
      <c r="F362" s="1234"/>
      <c r="I362" s="391"/>
    </row>
    <row r="363" spans="1:9">
      <c r="A363" s="377"/>
      <c r="B363" s="377"/>
      <c r="C363" s="377"/>
      <c r="D363" s="1234"/>
      <c r="E363" s="1234"/>
      <c r="F363" s="1234"/>
      <c r="I363" s="391"/>
    </row>
    <row r="364" spans="1:9">
      <c r="A364" s="377"/>
      <c r="B364" s="377"/>
      <c r="C364" s="377"/>
      <c r="D364" s="1234"/>
      <c r="E364" s="1234"/>
      <c r="F364" s="1234"/>
      <c r="I364" s="391"/>
    </row>
    <row r="365" spans="1:9">
      <c r="A365" s="377"/>
      <c r="B365" s="377"/>
      <c r="C365" s="377"/>
      <c r="D365" s="1234"/>
      <c r="E365" s="1234"/>
      <c r="F365" s="1234"/>
      <c r="I365" s="391"/>
    </row>
    <row r="366" spans="1:9">
      <c r="A366" s="377"/>
      <c r="B366" s="377"/>
      <c r="C366" s="377"/>
      <c r="D366" s="1234"/>
      <c r="E366" s="1234"/>
      <c r="F366" s="1234"/>
      <c r="I366" s="391"/>
    </row>
    <row r="367" spans="1:9">
      <c r="A367" s="377"/>
      <c r="B367" s="377"/>
      <c r="C367" s="377"/>
      <c r="D367" s="1234"/>
      <c r="E367" s="1234"/>
      <c r="F367" s="1234"/>
      <c r="I367" s="391"/>
    </row>
    <row r="368" spans="1:9">
      <c r="A368" s="377"/>
      <c r="B368" s="377"/>
      <c r="C368" s="377"/>
      <c r="D368" s="1234"/>
      <c r="E368" s="1234"/>
      <c r="F368" s="1234"/>
      <c r="I368" s="391"/>
    </row>
    <row r="369" spans="1:9">
      <c r="A369" s="377"/>
      <c r="B369" s="377"/>
      <c r="C369" s="377"/>
      <c r="D369" s="1234"/>
      <c r="E369" s="1234"/>
      <c r="F369" s="1234"/>
      <c r="I369" s="391"/>
    </row>
    <row r="370" spans="1:9">
      <c r="A370" s="377"/>
      <c r="B370" s="377"/>
      <c r="C370" s="377"/>
      <c r="D370" s="1234"/>
      <c r="E370" s="1234"/>
      <c r="F370" s="1234"/>
      <c r="I370" s="391"/>
    </row>
    <row r="371" spans="1:9">
      <c r="A371" s="377"/>
      <c r="B371" s="377"/>
      <c r="C371" s="377"/>
      <c r="D371" s="1234"/>
      <c r="E371" s="1234"/>
      <c r="F371" s="1234"/>
      <c r="I371" s="391"/>
    </row>
    <row r="372" spans="1:9">
      <c r="A372" s="377"/>
      <c r="B372" s="377"/>
      <c r="C372" s="377"/>
      <c r="D372" s="1234"/>
      <c r="E372" s="1234"/>
      <c r="F372" s="1234"/>
      <c r="I372" s="391"/>
    </row>
    <row r="373" spans="1:9">
      <c r="A373" s="377"/>
      <c r="B373" s="377"/>
      <c r="C373" s="377"/>
      <c r="D373" s="1234"/>
      <c r="E373" s="1234"/>
      <c r="F373" s="1234"/>
      <c r="I373" s="391"/>
    </row>
    <row r="374" spans="1:9">
      <c r="A374" s="377"/>
      <c r="B374" s="377"/>
      <c r="C374" s="377"/>
      <c r="D374" s="353"/>
      <c r="E374" s="353"/>
      <c r="F374" s="353"/>
      <c r="I374" s="391"/>
    </row>
    <row r="375" spans="1:9" ht="12.4" customHeight="1">
      <c r="A375" s="377"/>
      <c r="B375" s="386" t="s">
        <v>309</v>
      </c>
      <c r="C375" s="377"/>
      <c r="D375" s="1242" t="s">
        <v>411</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309</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ht="14.25">
      <c r="A387" s="385"/>
      <c r="B387" s="386" t="s">
        <v>309</v>
      </c>
      <c r="C387" s="377"/>
      <c r="D387" s="1234" t="s">
        <v>418</v>
      </c>
      <c r="E387" s="1234"/>
      <c r="F387" s="1234"/>
      <c r="I387" s="391"/>
    </row>
    <row r="388" spans="1:9">
      <c r="A388" s="377"/>
      <c r="B388" s="377"/>
      <c r="C388" s="377"/>
      <c r="D388" s="1234"/>
      <c r="E388" s="1234"/>
      <c r="F388" s="1234"/>
      <c r="I388" s="391"/>
    </row>
    <row r="389" spans="1:9">
      <c r="A389" s="377"/>
      <c r="B389" s="377"/>
      <c r="C389" s="377"/>
      <c r="D389" s="1234"/>
      <c r="E389" s="1234"/>
      <c r="F389" s="1234"/>
      <c r="I389" s="391"/>
    </row>
    <row r="390" spans="1:9">
      <c r="A390" s="377"/>
      <c r="B390" s="377"/>
      <c r="C390" s="377"/>
      <c r="D390" s="1234"/>
      <c r="E390" s="1234"/>
      <c r="F390" s="1234"/>
      <c r="I390" s="391"/>
    </row>
    <row r="391" spans="1:9">
      <c r="A391" s="377"/>
      <c r="B391" s="377"/>
      <c r="C391" s="377"/>
      <c r="D391" s="349"/>
      <c r="E391" s="349"/>
      <c r="F391" s="348"/>
      <c r="I391" s="391"/>
    </row>
    <row r="392" spans="1:9">
      <c r="A392" s="377"/>
      <c r="B392" s="377"/>
      <c r="C392" s="377"/>
      <c r="D392" s="1234" t="s">
        <v>419</v>
      </c>
      <c r="E392" s="1234"/>
      <c r="F392" s="1234"/>
      <c r="I392" s="391"/>
    </row>
    <row r="393" spans="1:9">
      <c r="A393" s="377"/>
      <c r="B393" s="377"/>
      <c r="C393" s="377"/>
      <c r="D393" s="1234"/>
      <c r="E393" s="1234"/>
      <c r="F393" s="1234"/>
      <c r="I393" s="391"/>
    </row>
    <row r="394" spans="1:9">
      <c r="A394" s="377"/>
      <c r="B394" s="377"/>
      <c r="C394" s="377"/>
      <c r="D394" s="1234"/>
      <c r="E394" s="1234"/>
      <c r="F394" s="1234"/>
      <c r="I394" s="391"/>
    </row>
    <row r="395" spans="1:9">
      <c r="A395" s="377"/>
      <c r="B395" s="377"/>
      <c r="C395" s="377"/>
      <c r="D395" s="1234"/>
      <c r="E395" s="1234"/>
      <c r="F395" s="1234"/>
      <c r="I395" s="391"/>
    </row>
    <row r="396" spans="1:9" ht="18" customHeight="1">
      <c r="A396" s="377"/>
      <c r="B396" s="377"/>
      <c r="C396" s="377"/>
      <c r="D396" s="1234"/>
      <c r="E396" s="1234"/>
      <c r="F396" s="1234"/>
      <c r="I396" s="391"/>
    </row>
    <row r="397" spans="1:9">
      <c r="A397" s="377"/>
      <c r="B397" s="377"/>
      <c r="C397" s="377"/>
      <c r="D397" s="1234"/>
      <c r="E397" s="1234"/>
      <c r="F397" s="1234"/>
      <c r="I397" s="391"/>
    </row>
    <row r="398" spans="1:9">
      <c r="A398" s="377"/>
      <c r="B398" s="377"/>
      <c r="C398" s="377"/>
      <c r="D398" s="1234"/>
      <c r="E398" s="1234"/>
      <c r="F398" s="1234"/>
      <c r="I398" s="391"/>
    </row>
    <row r="399" spans="1:9">
      <c r="A399" s="377"/>
      <c r="B399" s="377"/>
      <c r="C399" s="377"/>
      <c r="D399" s="1234"/>
      <c r="E399" s="1234"/>
      <c r="F399" s="1234"/>
      <c r="I399" s="391"/>
    </row>
    <row r="400" spans="1:9" ht="8.25" customHeight="1">
      <c r="A400" s="377"/>
      <c r="B400" s="377"/>
      <c r="C400" s="377"/>
      <c r="D400" s="1234"/>
      <c r="E400" s="1234"/>
      <c r="F400" s="1234"/>
      <c r="I400" s="391"/>
    </row>
    <row r="401" spans="1:9" ht="13.9" customHeight="1">
      <c r="A401" s="377"/>
      <c r="B401" s="377"/>
      <c r="C401" s="377"/>
      <c r="D401" s="1234" t="s">
        <v>420</v>
      </c>
      <c r="E401" s="1234"/>
      <c r="F401" s="1234"/>
      <c r="I401" s="391"/>
    </row>
    <row r="402" spans="1:9">
      <c r="A402" s="377"/>
      <c r="B402" s="377"/>
      <c r="C402" s="377"/>
      <c r="D402" s="1234"/>
      <c r="E402" s="1234"/>
      <c r="F402" s="1234"/>
      <c r="I402" s="391"/>
    </row>
    <row r="403" spans="1:9">
      <c r="A403" s="377"/>
      <c r="B403" s="377"/>
      <c r="C403" s="377"/>
      <c r="D403" s="1234"/>
      <c r="E403" s="1234"/>
      <c r="F403" s="1234"/>
      <c r="I403" s="391"/>
    </row>
    <row r="404" spans="1:9">
      <c r="A404" s="377"/>
      <c r="B404" s="377"/>
      <c r="C404" s="377"/>
      <c r="D404" s="1234"/>
      <c r="E404" s="1234"/>
      <c r="F404" s="1234"/>
      <c r="I404" s="391"/>
    </row>
    <row r="405" spans="1:9">
      <c r="A405" s="377"/>
      <c r="B405" s="377"/>
      <c r="C405" s="377"/>
      <c r="D405" s="1234"/>
      <c r="E405" s="1234"/>
      <c r="F405" s="1234"/>
      <c r="I405" s="391"/>
    </row>
    <row r="406" spans="1:9">
      <c r="A406" s="377"/>
      <c r="B406" s="377"/>
      <c r="C406" s="377"/>
      <c r="D406" s="1234"/>
      <c r="E406" s="1234"/>
      <c r="F406" s="1234"/>
      <c r="I406" s="391"/>
    </row>
    <row r="407" spans="1:9">
      <c r="A407" s="377"/>
      <c r="B407" s="377"/>
      <c r="C407" s="377"/>
      <c r="D407" s="1234"/>
      <c r="E407" s="1234"/>
      <c r="F407" s="1234"/>
      <c r="I407" s="391"/>
    </row>
    <row r="408" spans="1:9">
      <c r="A408" s="377"/>
      <c r="B408" s="377"/>
      <c r="C408" s="377"/>
      <c r="D408" s="1234"/>
      <c r="E408" s="1234"/>
      <c r="F408" s="1234"/>
      <c r="I408" s="391"/>
    </row>
    <row r="409" spans="1:9">
      <c r="A409" s="377"/>
      <c r="B409" s="377"/>
      <c r="C409" s="377"/>
      <c r="D409" s="1234"/>
      <c r="E409" s="1234"/>
      <c r="F409" s="1234"/>
      <c r="I409" s="391"/>
    </row>
    <row r="410" spans="1:9">
      <c r="A410" s="377"/>
      <c r="B410" s="377"/>
      <c r="C410" s="377"/>
      <c r="D410" s="1234"/>
      <c r="E410" s="1234"/>
      <c r="F410" s="1234"/>
      <c r="I410" s="391"/>
    </row>
    <row r="411" spans="1:9">
      <c r="A411" s="377"/>
      <c r="B411" s="377"/>
      <c r="C411" s="377"/>
      <c r="D411" s="1234"/>
      <c r="E411" s="1234"/>
      <c r="F411" s="1234"/>
      <c r="I411" s="391"/>
    </row>
    <row r="412" spans="1:9">
      <c r="A412" s="377"/>
      <c r="B412" s="377"/>
      <c r="C412" s="377"/>
      <c r="D412" s="1234"/>
      <c r="E412" s="1234"/>
      <c r="F412" s="1234"/>
      <c r="I412" s="391"/>
    </row>
    <row r="413" spans="1:9">
      <c r="A413" s="377"/>
      <c r="B413" s="377"/>
      <c r="C413" s="397"/>
      <c r="D413" s="1234"/>
      <c r="E413" s="1234"/>
      <c r="F413" s="1234"/>
      <c r="I413" s="391"/>
    </row>
    <row r="414" spans="1:9">
      <c r="A414" s="377"/>
      <c r="B414" s="377"/>
      <c r="C414" s="397"/>
      <c r="D414" s="1234"/>
      <c r="E414" s="1234"/>
      <c r="F414" s="1234"/>
      <c r="I414" s="391"/>
    </row>
    <row r="415" spans="1:9">
      <c r="A415" s="377"/>
      <c r="B415" s="377"/>
      <c r="C415" s="377"/>
      <c r="D415" s="1234"/>
      <c r="E415" s="1234"/>
      <c r="F415" s="1234"/>
      <c r="I415" s="391"/>
    </row>
    <row r="416" spans="1:9">
      <c r="A416" s="377"/>
      <c r="B416" s="377"/>
      <c r="C416" s="397"/>
      <c r="D416" s="1234"/>
      <c r="E416" s="1234"/>
      <c r="F416" s="1234"/>
      <c r="I416" s="391"/>
    </row>
    <row r="417" spans="1:9">
      <c r="A417" s="377"/>
      <c r="B417" s="377"/>
      <c r="C417" s="397"/>
      <c r="D417" s="1234"/>
      <c r="E417" s="1234"/>
      <c r="F417" s="1234"/>
      <c r="I417" s="391"/>
    </row>
    <row r="418" spans="1:9">
      <c r="A418" s="377"/>
      <c r="B418" s="377"/>
      <c r="C418" s="397"/>
      <c r="D418" s="1234"/>
      <c r="E418" s="1234"/>
      <c r="F418" s="1234"/>
      <c r="I418" s="391"/>
    </row>
    <row r="419" spans="1:9">
      <c r="A419" s="377"/>
      <c r="B419" s="377"/>
      <c r="C419" s="377"/>
      <c r="D419" s="349"/>
      <c r="E419" s="349"/>
      <c r="F419" s="348"/>
      <c r="I419" s="391"/>
    </row>
    <row r="420" spans="1:9">
      <c r="A420" s="377"/>
      <c r="B420" s="386" t="s">
        <v>309</v>
      </c>
      <c r="C420" s="377"/>
      <c r="D420" s="1234" t="s">
        <v>421</v>
      </c>
      <c r="E420" s="1234"/>
      <c r="F420" s="1234"/>
      <c r="I420" s="391"/>
    </row>
    <row r="421" spans="1:9">
      <c r="A421" s="377"/>
      <c r="B421" s="377"/>
      <c r="C421" s="377"/>
      <c r="D421" s="1234"/>
      <c r="E421" s="1234"/>
      <c r="F421" s="1234"/>
      <c r="I421" s="391"/>
    </row>
    <row r="422" spans="1:9">
      <c r="A422" s="377"/>
      <c r="B422" s="377"/>
      <c r="C422" s="377"/>
      <c r="D422" s="353"/>
      <c r="E422" s="353"/>
      <c r="F422" s="353"/>
      <c r="I422" s="391"/>
    </row>
    <row r="423" spans="1:9" ht="14.65" customHeight="1">
      <c r="A423" s="385"/>
      <c r="B423" s="386" t="s">
        <v>309</v>
      </c>
      <c r="D423" s="1234" t="s">
        <v>422</v>
      </c>
      <c r="E423" s="1234"/>
      <c r="F423" s="1234"/>
      <c r="I423" s="391"/>
    </row>
    <row r="424" spans="1:9" ht="14.65" customHeight="1">
      <c r="A424" s="385"/>
      <c r="D424" s="1234"/>
      <c r="E424" s="1234"/>
      <c r="F424" s="1234"/>
      <c r="I424" s="391"/>
    </row>
    <row r="425" spans="1:9" ht="14.65" customHeight="1">
      <c r="A425" s="385"/>
      <c r="D425" s="1234"/>
      <c r="E425" s="1234"/>
      <c r="F425" s="1234"/>
      <c r="I425" s="391"/>
    </row>
    <row r="426" spans="1:9" ht="14.65" customHeight="1">
      <c r="A426" s="385"/>
      <c r="D426" s="1234"/>
      <c r="E426" s="1234"/>
      <c r="F426" s="1234"/>
      <c r="I426" s="391"/>
    </row>
    <row r="427" spans="1:9" ht="14.65" customHeight="1">
      <c r="A427" s="385"/>
      <c r="D427" s="1234"/>
      <c r="E427" s="1234"/>
      <c r="F427" s="1234"/>
      <c r="I427" s="391"/>
    </row>
    <row r="428" spans="1:9" ht="14.65" customHeight="1">
      <c r="A428" s="385"/>
      <c r="D428" s="288"/>
      <c r="E428" s="288"/>
      <c r="F428" s="288"/>
      <c r="I428" s="391"/>
    </row>
    <row r="429" spans="1:9" ht="13.9" customHeight="1">
      <c r="A429" s="385"/>
      <c r="B429" s="386" t="s">
        <v>309</v>
      </c>
      <c r="C429" s="377"/>
      <c r="D429" s="1234" t="s">
        <v>423</v>
      </c>
      <c r="E429" s="1234"/>
      <c r="F429" s="1234"/>
      <c r="I429" s="391"/>
    </row>
    <row r="430" spans="1:9" ht="14.25">
      <c r="A430" s="398"/>
      <c r="B430" s="398"/>
      <c r="C430" s="377"/>
      <c r="D430" s="1234"/>
      <c r="E430" s="1234"/>
      <c r="F430" s="1234"/>
      <c r="I430" s="391"/>
    </row>
    <row r="431" spans="1:9" ht="14.25">
      <c r="A431" s="398"/>
      <c r="B431" s="398"/>
      <c r="C431" s="377"/>
      <c r="D431" s="1234"/>
      <c r="E431" s="1234"/>
      <c r="F431" s="1234"/>
      <c r="I431" s="391"/>
    </row>
    <row r="432" spans="1:9" ht="14.25">
      <c r="A432" s="398"/>
      <c r="B432" s="398"/>
      <c r="C432" s="377"/>
      <c r="D432" s="1234"/>
      <c r="E432" s="1234"/>
      <c r="F432" s="1234"/>
      <c r="I432" s="391"/>
    </row>
    <row r="433" spans="1:9" ht="15.75" customHeight="1">
      <c r="A433" s="398"/>
      <c r="B433" s="398"/>
      <c r="C433" s="377"/>
      <c r="D433" s="1292" t="s">
        <v>424</v>
      </c>
      <c r="E433" s="1234"/>
      <c r="F433" s="1234"/>
      <c r="I433" s="391"/>
    </row>
    <row r="434" spans="1:9">
      <c r="D434" s="348"/>
      <c r="E434" s="348"/>
      <c r="F434" s="348"/>
      <c r="I434" s="391"/>
    </row>
    <row r="435" spans="1:9" ht="14.25">
      <c r="A435" s="385"/>
      <c r="B435" s="386" t="s">
        <v>309</v>
      </c>
      <c r="C435" s="388"/>
      <c r="D435" s="1263" t="s">
        <v>425</v>
      </c>
      <c r="E435" s="1263"/>
      <c r="F435" s="1263"/>
      <c r="I435" s="391"/>
    </row>
    <row r="436" spans="1:9" ht="14.25">
      <c r="A436" s="385"/>
      <c r="B436" s="385"/>
      <c r="D436" s="1263"/>
      <c r="E436" s="1263"/>
      <c r="F436" s="1263"/>
      <c r="I436" s="391"/>
    </row>
    <row r="437" spans="1:9">
      <c r="D437" s="1263"/>
      <c r="E437" s="1263"/>
      <c r="F437" s="1263"/>
      <c r="I437" s="391"/>
    </row>
    <row r="438" spans="1:9">
      <c r="D438" s="1263"/>
      <c r="E438" s="1263"/>
      <c r="F438" s="1263"/>
      <c r="I438" s="391"/>
    </row>
    <row r="439" spans="1:9">
      <c r="D439" s="1263"/>
      <c r="E439" s="1263"/>
      <c r="F439" s="1263"/>
      <c r="I439" s="391"/>
    </row>
    <row r="440" spans="1:9">
      <c r="D440" s="1263"/>
      <c r="E440" s="1263"/>
      <c r="F440" s="1263"/>
      <c r="I440" s="391"/>
    </row>
    <row r="441" spans="1:9">
      <c r="D441" s="1263"/>
      <c r="E441" s="1263"/>
      <c r="F441" s="1263"/>
      <c r="I441" s="391"/>
    </row>
    <row r="442" spans="1:9">
      <c r="D442" s="1263"/>
      <c r="E442" s="1263"/>
      <c r="F442" s="1263"/>
      <c r="I442" s="391"/>
    </row>
    <row r="443" spans="1:9">
      <c r="D443" s="1263"/>
      <c r="E443" s="1263"/>
      <c r="F443" s="1263"/>
      <c r="I443" s="391"/>
    </row>
    <row r="444" spans="1:9">
      <c r="D444" s="1263"/>
      <c r="E444" s="1263"/>
      <c r="F444" s="1263"/>
      <c r="I444" s="391"/>
    </row>
    <row r="445" spans="1:9">
      <c r="D445" s="1263"/>
      <c r="E445" s="1263"/>
      <c r="F445" s="1263"/>
      <c r="I445" s="391"/>
    </row>
    <row r="446" spans="1:9">
      <c r="D446" s="1263"/>
      <c r="E446" s="1263"/>
      <c r="F446" s="1263"/>
      <c r="I446" s="391"/>
    </row>
    <row r="447" spans="1:9">
      <c r="D447" s="1263"/>
      <c r="E447" s="1263"/>
      <c r="F447" s="1263"/>
      <c r="I447" s="391"/>
    </row>
    <row r="448" spans="1:9">
      <c r="A448" s="305"/>
      <c r="B448" s="305"/>
      <c r="C448" s="305"/>
      <c r="D448" s="1263"/>
      <c r="E448" s="1263"/>
      <c r="F448" s="1263"/>
      <c r="I448" s="391"/>
    </row>
    <row r="449" spans="1:9">
      <c r="A449" s="305"/>
      <c r="B449" s="305"/>
      <c r="C449" s="305"/>
      <c r="D449" s="1263"/>
      <c r="E449" s="1263"/>
      <c r="F449" s="1263"/>
      <c r="I449" s="391"/>
    </row>
    <row r="450" spans="1:9">
      <c r="A450" s="305"/>
      <c r="B450" s="305"/>
      <c r="C450" s="305"/>
      <c r="D450" s="1263"/>
      <c r="E450" s="1263"/>
      <c r="F450" s="1263"/>
      <c r="I450" s="391"/>
    </row>
    <row r="451" spans="1:9">
      <c r="A451" s="305"/>
      <c r="B451" s="305"/>
      <c r="C451" s="305"/>
      <c r="D451" s="1263"/>
      <c r="E451" s="1263"/>
      <c r="F451" s="1263"/>
      <c r="I451" s="391"/>
    </row>
    <row r="452" spans="1:9">
      <c r="A452" s="305"/>
      <c r="B452" s="305"/>
      <c r="C452" s="305"/>
      <c r="D452" s="1263"/>
      <c r="E452" s="1263"/>
      <c r="F452" s="1263"/>
      <c r="I452" s="391"/>
    </row>
    <row r="453" spans="1:9">
      <c r="A453" s="305"/>
      <c r="B453" s="305"/>
      <c r="C453" s="305"/>
      <c r="D453" s="1263"/>
      <c r="E453" s="1263"/>
      <c r="F453" s="1263"/>
      <c r="I453" s="391"/>
    </row>
    <row r="454" spans="1:9">
      <c r="A454" s="305"/>
      <c r="B454" s="305"/>
      <c r="C454" s="305"/>
      <c r="D454" s="1263"/>
      <c r="E454" s="1263"/>
      <c r="F454" s="1263"/>
      <c r="I454" s="391"/>
    </row>
    <row r="455" spans="1:9">
      <c r="A455" s="305"/>
      <c r="B455" s="305"/>
      <c r="C455" s="305"/>
      <c r="D455" s="1263"/>
      <c r="E455" s="1263"/>
      <c r="F455" s="1263"/>
      <c r="I455" s="391"/>
    </row>
    <row r="456" spans="1:9">
      <c r="A456" s="305"/>
      <c r="B456" s="305"/>
      <c r="C456" s="305"/>
      <c r="D456" s="1263"/>
      <c r="E456" s="1263"/>
      <c r="F456" s="1263"/>
      <c r="I456" s="391"/>
    </row>
    <row r="457" spans="1:9">
      <c r="A457" s="305"/>
      <c r="B457" s="305"/>
      <c r="C457" s="305"/>
      <c r="D457" s="1263"/>
      <c r="E457" s="1263"/>
      <c r="F457" s="1263"/>
      <c r="I457" s="391"/>
    </row>
    <row r="458" spans="1:9">
      <c r="A458" s="305"/>
      <c r="B458" s="305"/>
      <c r="C458" s="305"/>
      <c r="D458" s="1263"/>
      <c r="E458" s="1263"/>
      <c r="F458" s="1263"/>
      <c r="I458" s="391"/>
    </row>
    <row r="459" spans="1:9">
      <c r="A459" s="305"/>
      <c r="B459" s="305"/>
      <c r="C459" s="305"/>
      <c r="D459" s="1263"/>
      <c r="E459" s="1263"/>
      <c r="F459" s="1263"/>
      <c r="I459" s="391"/>
    </row>
    <row r="460" spans="1:9">
      <c r="A460" s="305"/>
      <c r="B460" s="305"/>
      <c r="C460" s="305"/>
      <c r="D460" s="1263"/>
      <c r="E460" s="1263"/>
      <c r="F460" s="1263"/>
      <c r="I460" s="391"/>
    </row>
    <row r="461" spans="1:9">
      <c r="A461" s="305"/>
      <c r="B461" s="305"/>
      <c r="C461" s="305"/>
      <c r="D461" s="1263"/>
      <c r="E461" s="1263"/>
      <c r="F461" s="1263"/>
      <c r="I461" s="391"/>
    </row>
    <row r="462" spans="1:9">
      <c r="A462" s="305"/>
      <c r="B462" s="305"/>
      <c r="C462" s="305"/>
      <c r="D462" s="1263"/>
      <c r="E462" s="1263"/>
      <c r="F462" s="1263"/>
      <c r="I462" s="391"/>
    </row>
    <row r="463" spans="1:9">
      <c r="A463" s="305"/>
      <c r="B463" s="305"/>
      <c r="C463" s="305"/>
      <c r="D463" s="1263"/>
      <c r="E463" s="1263"/>
      <c r="F463" s="1263"/>
      <c r="I463" s="391"/>
    </row>
    <row r="464" spans="1:9">
      <c r="D464" s="1263"/>
      <c r="E464" s="1263"/>
      <c r="F464" s="1263"/>
      <c r="I464" s="391"/>
    </row>
    <row r="465" spans="1:9" ht="40.9" customHeight="1">
      <c r="D465" s="1263"/>
      <c r="E465" s="1263"/>
      <c r="F465" s="1263"/>
      <c r="I465" s="391"/>
    </row>
    <row r="466" spans="1:9">
      <c r="D466" s="348"/>
      <c r="E466" s="348"/>
      <c r="F466" s="348"/>
      <c r="I466" s="391"/>
    </row>
    <row r="467" spans="1:9" ht="14.25">
      <c r="A467" s="385"/>
      <c r="B467" s="386" t="s">
        <v>309</v>
      </c>
      <c r="C467" s="388"/>
      <c r="D467" s="1263" t="s">
        <v>426</v>
      </c>
      <c r="E467" s="1263"/>
      <c r="F467" s="1263"/>
      <c r="I467" s="391"/>
    </row>
    <row r="468" spans="1:9">
      <c r="D468" s="1263"/>
      <c r="E468" s="1263"/>
      <c r="F468" s="1263"/>
      <c r="I468" s="391"/>
    </row>
    <row r="469" spans="1:9">
      <c r="D469" s="1263"/>
      <c r="E469" s="1263"/>
      <c r="F469" s="1263"/>
      <c r="I469" s="391"/>
    </row>
    <row r="470" spans="1:9">
      <c r="D470" s="347"/>
      <c r="E470" s="347"/>
      <c r="F470" s="347"/>
      <c r="I470" s="391"/>
    </row>
    <row r="471" spans="1:9" ht="14.25">
      <c r="B471" s="386" t="s">
        <v>309</v>
      </c>
      <c r="C471" s="385"/>
      <c r="D471" s="1263" t="s">
        <v>427</v>
      </c>
      <c r="E471" s="1263"/>
      <c r="F471" s="1263"/>
      <c r="I471" s="391"/>
    </row>
    <row r="472" spans="1:9">
      <c r="D472" s="1263"/>
      <c r="E472" s="1263"/>
      <c r="F472" s="1263"/>
      <c r="I472" s="391"/>
    </row>
    <row r="473" spans="1:9">
      <c r="D473" s="348"/>
      <c r="E473" s="348"/>
      <c r="F473" s="348"/>
      <c r="I473" s="391"/>
    </row>
    <row r="474" spans="1:9" ht="14.25">
      <c r="B474" s="386" t="s">
        <v>309</v>
      </c>
      <c r="C474" s="385"/>
      <c r="D474" s="1263" t="s">
        <v>428</v>
      </c>
      <c r="E474" s="1263"/>
      <c r="F474" s="1263"/>
      <c r="I474" s="391"/>
    </row>
    <row r="475" spans="1:9">
      <c r="D475" s="1263"/>
      <c r="E475" s="1263"/>
      <c r="F475" s="1263"/>
      <c r="I475" s="391"/>
    </row>
    <row r="476" spans="1:9">
      <c r="D476" s="1263"/>
      <c r="E476" s="1263"/>
      <c r="F476" s="1263"/>
      <c r="I476" s="391"/>
    </row>
    <row r="477" spans="1:9">
      <c r="D477" s="1263"/>
      <c r="E477" s="1263"/>
      <c r="F477" s="1263"/>
      <c r="I477" s="391"/>
    </row>
    <row r="478" spans="1:9">
      <c r="B478" s="386" t="s">
        <v>309</v>
      </c>
      <c r="D478" s="1263"/>
      <c r="E478" s="1263"/>
      <c r="F478" s="1263"/>
      <c r="I478" s="391"/>
    </row>
    <row r="479" spans="1:9">
      <c r="A479" s="305"/>
      <c r="B479" s="305"/>
      <c r="C479" s="305"/>
      <c r="D479" s="1263"/>
      <c r="E479" s="1263"/>
      <c r="F479" s="1263"/>
      <c r="I479" s="391"/>
    </row>
    <row r="480" spans="1:9">
      <c r="A480" s="305"/>
      <c r="C480" s="305"/>
      <c r="D480" s="1263"/>
      <c r="E480" s="1263"/>
      <c r="F480" s="1263"/>
      <c r="I480" s="391"/>
    </row>
    <row r="481" spans="1:9">
      <c r="A481" s="305"/>
      <c r="B481" s="386" t="s">
        <v>309</v>
      </c>
      <c r="C481" s="305"/>
      <c r="D481" s="1263"/>
      <c r="E481" s="1263"/>
      <c r="F481" s="1263"/>
      <c r="I481" s="391"/>
    </row>
    <row r="482" spans="1:9">
      <c r="A482" s="305"/>
      <c r="B482" s="305"/>
      <c r="C482" s="305"/>
      <c r="D482" s="1263"/>
      <c r="E482" s="1263"/>
      <c r="F482" s="1263"/>
      <c r="I482" s="391"/>
    </row>
    <row r="483" spans="1:9">
      <c r="A483" s="305"/>
      <c r="C483" s="305"/>
      <c r="D483" s="1263"/>
      <c r="E483" s="1263"/>
      <c r="F483" s="1263"/>
      <c r="I483" s="391"/>
    </row>
    <row r="484" spans="1:9">
      <c r="A484" s="305"/>
      <c r="C484" s="305"/>
      <c r="D484" s="1263"/>
      <c r="E484" s="1263"/>
      <c r="F484" s="1263"/>
      <c r="I484" s="391"/>
    </row>
    <row r="485" spans="1:9">
      <c r="A485" s="305"/>
      <c r="C485" s="305"/>
      <c r="D485" s="1263"/>
      <c r="E485" s="1263"/>
      <c r="F485" s="1263"/>
      <c r="I485" s="391"/>
    </row>
    <row r="486" spans="1:9">
      <c r="A486" s="305"/>
      <c r="B486" s="386" t="s">
        <v>309</v>
      </c>
      <c r="C486" s="305"/>
      <c r="D486" s="1263"/>
      <c r="E486" s="1263"/>
      <c r="F486" s="1263"/>
      <c r="I486" s="391"/>
    </row>
    <row r="487" spans="1:9">
      <c r="A487" s="305"/>
      <c r="C487" s="305"/>
      <c r="D487" s="1263"/>
      <c r="E487" s="1263"/>
      <c r="F487" s="1263"/>
      <c r="I487" s="391"/>
    </row>
    <row r="488" spans="1:9">
      <c r="A488" s="305"/>
      <c r="B488" s="386" t="s">
        <v>309</v>
      </c>
      <c r="C488" s="305"/>
      <c r="D488" s="1263" t="s">
        <v>429</v>
      </c>
      <c r="E488" s="1263"/>
      <c r="F488" s="1263"/>
      <c r="I488" s="391"/>
    </row>
    <row r="489" spans="1:9">
      <c r="A489" s="305"/>
      <c r="B489" s="305"/>
      <c r="C489" s="305"/>
      <c r="D489" s="1263"/>
      <c r="E489" s="1263"/>
      <c r="F489" s="1263"/>
      <c r="I489" s="391"/>
    </row>
    <row r="490" spans="1:9">
      <c r="A490" s="305"/>
      <c r="B490" s="305"/>
      <c r="C490" s="305"/>
      <c r="D490" s="1263"/>
      <c r="E490" s="1263"/>
      <c r="F490" s="1263"/>
      <c r="I490" s="391"/>
    </row>
    <row r="491" spans="1:9">
      <c r="A491" s="305"/>
      <c r="B491" s="305"/>
      <c r="C491" s="305"/>
      <c r="D491" s="1263"/>
      <c r="E491" s="1263"/>
      <c r="F491" s="1263"/>
      <c r="I491" s="391"/>
    </row>
    <row r="492" spans="1:9">
      <c r="D492" s="1263"/>
      <c r="E492" s="1263"/>
      <c r="F492" s="1263"/>
      <c r="I492" s="391"/>
    </row>
    <row r="493" spans="1:9">
      <c r="D493" s="348"/>
      <c r="E493" s="348"/>
      <c r="F493" s="348"/>
      <c r="I493" s="391"/>
    </row>
    <row r="494" spans="1:9">
      <c r="B494" s="386" t="s">
        <v>309</v>
      </c>
      <c r="D494" s="1261" t="s">
        <v>430</v>
      </c>
      <c r="E494" s="1261"/>
      <c r="F494" s="1261"/>
      <c r="I494" s="391"/>
    </row>
    <row r="495" spans="1:9">
      <c r="A495" s="348"/>
      <c r="B495" s="348"/>
      <c r="I495" s="391"/>
    </row>
    <row r="496" spans="1:9">
      <c r="A496" s="1270" t="s">
        <v>431</v>
      </c>
      <c r="B496" s="1270"/>
      <c r="C496" s="1270"/>
      <c r="D496" s="1270"/>
      <c r="E496" s="1270"/>
      <c r="F496" s="1270"/>
      <c r="G496" s="1270"/>
      <c r="H496" s="919"/>
      <c r="I496" s="1042"/>
    </row>
    <row r="497" spans="1:9">
      <c r="A497" s="348"/>
      <c r="B497" s="348"/>
      <c r="I497" s="391"/>
    </row>
    <row r="498" spans="1:9">
      <c r="D498" s="1289" t="s">
        <v>432</v>
      </c>
      <c r="E498" s="1289"/>
      <c r="F498" s="1289"/>
      <c r="I498" s="391"/>
    </row>
    <row r="499" spans="1:9" ht="14.25">
      <c r="A499" s="385"/>
      <c r="B499" s="385"/>
      <c r="D499" s="1280" t="s">
        <v>433</v>
      </c>
      <c r="E499" s="1280"/>
      <c r="F499" s="1280"/>
      <c r="I499" s="391"/>
    </row>
    <row r="500" spans="1:9" ht="14.25">
      <c r="A500" s="385"/>
      <c r="B500" s="385"/>
      <c r="D500" s="349"/>
      <c r="I500" s="391"/>
    </row>
    <row r="501" spans="1:9" ht="14.25">
      <c r="A501" s="385"/>
      <c r="B501" s="386" t="s">
        <v>309</v>
      </c>
      <c r="D501" s="1234" t="s">
        <v>434</v>
      </c>
      <c r="E501" s="1234"/>
      <c r="F501" s="1234"/>
      <c r="I501" s="391"/>
    </row>
    <row r="502" spans="1:9" ht="14.25">
      <c r="A502" s="385"/>
      <c r="B502" s="385"/>
      <c r="D502" s="1234"/>
      <c r="E502" s="1234"/>
      <c r="F502" s="1234"/>
      <c r="I502" s="391"/>
    </row>
    <row r="503" spans="1:9" ht="14.25">
      <c r="A503" s="385"/>
      <c r="B503" s="385"/>
      <c r="D503" s="348"/>
      <c r="I503" s="391"/>
    </row>
    <row r="504" spans="1:9" ht="12.75" customHeight="1">
      <c r="B504" s="386" t="s">
        <v>309</v>
      </c>
      <c r="D504" s="1275" t="s">
        <v>435</v>
      </c>
      <c r="E504" s="1275"/>
      <c r="F504" s="1275"/>
      <c r="I504" s="391"/>
    </row>
    <row r="505" spans="1:9" ht="14.25">
      <c r="A505" s="385"/>
      <c r="D505" s="1275"/>
      <c r="E505" s="1275"/>
      <c r="F505" s="1275"/>
      <c r="I505" s="391"/>
    </row>
    <row r="506" spans="1:9" ht="14.25">
      <c r="A506" s="385"/>
      <c r="B506" s="385"/>
      <c r="D506" s="1275"/>
      <c r="E506" s="1275"/>
      <c r="F506" s="1275"/>
      <c r="I506" s="391"/>
    </row>
    <row r="507" spans="1:9" ht="14.25">
      <c r="A507" s="385"/>
      <c r="B507" s="385"/>
      <c r="D507" s="1275"/>
      <c r="E507" s="1275"/>
      <c r="F507" s="1275"/>
      <c r="I507" s="391"/>
    </row>
    <row r="508" spans="1:9" ht="14.25">
      <c r="A508" s="385"/>
      <c r="D508" s="420"/>
      <c r="E508" s="420"/>
      <c r="F508" s="420"/>
      <c r="I508" s="391"/>
    </row>
    <row r="509" spans="1:9" ht="14.25">
      <c r="A509" s="385"/>
      <c r="B509" s="386" t="s">
        <v>309</v>
      </c>
      <c r="D509" s="1261" t="s">
        <v>436</v>
      </c>
      <c r="E509" s="1261"/>
      <c r="F509" s="1261"/>
      <c r="I509" s="391"/>
    </row>
    <row r="510" spans="1:9" ht="14.25">
      <c r="A510" s="385"/>
      <c r="B510" s="385"/>
      <c r="D510" s="348"/>
      <c r="I510" s="391"/>
    </row>
    <row r="511" spans="1:9" ht="14.25">
      <c r="A511" s="385"/>
      <c r="B511" s="386" t="s">
        <v>309</v>
      </c>
      <c r="D511" s="1263" t="s">
        <v>437</v>
      </c>
      <c r="E511" s="1263"/>
      <c r="F511" s="1263"/>
      <c r="I511" s="391"/>
    </row>
    <row r="512" spans="1:9" ht="14.25">
      <c r="A512" s="385"/>
      <c r="D512" s="1263"/>
      <c r="E512" s="1263"/>
      <c r="F512" s="1263"/>
      <c r="I512" s="391"/>
    </row>
    <row r="513" spans="1:9">
      <c r="A513" s="391"/>
      <c r="B513" s="391"/>
      <c r="D513" s="349"/>
      <c r="I513" s="391"/>
    </row>
    <row r="514" spans="1:9">
      <c r="A514" s="391"/>
      <c r="B514" s="386" t="s">
        <v>309</v>
      </c>
      <c r="D514" s="1261" t="s">
        <v>438</v>
      </c>
      <c r="E514" s="1261"/>
      <c r="F514" s="1261"/>
      <c r="I514" s="391"/>
    </row>
    <row r="515" spans="1:9">
      <c r="D515" s="348"/>
      <c r="E515" s="348"/>
      <c r="F515" s="348"/>
      <c r="I515" s="391"/>
    </row>
    <row r="516" spans="1:9">
      <c r="B516" s="386" t="s">
        <v>309</v>
      </c>
      <c r="D516" s="1263" t="s">
        <v>439</v>
      </c>
      <c r="E516" s="1263"/>
      <c r="F516" s="1263"/>
      <c r="I516" s="391"/>
    </row>
    <row r="517" spans="1:9">
      <c r="D517" s="1263"/>
      <c r="E517" s="1263"/>
      <c r="F517" s="1263"/>
      <c r="I517" s="391"/>
    </row>
    <row r="518" spans="1:9">
      <c r="D518" s="1263"/>
      <c r="E518" s="1263"/>
      <c r="F518" s="1263"/>
      <c r="I518" s="391"/>
    </row>
    <row r="519" spans="1:9">
      <c r="D519" s="348"/>
      <c r="E519" s="348"/>
      <c r="F519" s="348"/>
      <c r="I519" s="391"/>
    </row>
    <row r="520" spans="1:9" ht="14.25">
      <c r="A520" s="385"/>
      <c r="B520" s="385"/>
      <c r="D520" s="348"/>
      <c r="I520" s="391"/>
    </row>
    <row r="521" spans="1:9">
      <c r="A521" s="1270" t="s">
        <v>440</v>
      </c>
      <c r="B521" s="1270"/>
      <c r="C521" s="1270"/>
      <c r="D521" s="1270"/>
      <c r="E521" s="1270"/>
      <c r="F521" s="1270"/>
      <c r="G521" s="1270"/>
      <c r="H521" s="919"/>
      <c r="I521" s="1042"/>
    </row>
    <row r="522" spans="1:9" ht="12" customHeight="1">
      <c r="A522" s="385"/>
      <c r="B522" s="385"/>
      <c r="D522" s="348"/>
      <c r="I522" s="391"/>
    </row>
    <row r="523" spans="1:9">
      <c r="C523" s="383"/>
      <c r="D523" s="1271" t="s">
        <v>441</v>
      </c>
      <c r="E523" s="1271"/>
      <c r="F523" s="1271"/>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3.9" customHeight="1">
      <c r="A527" s="384"/>
      <c r="B527" s="386" t="s">
        <v>309</v>
      </c>
      <c r="C527" s="384"/>
      <c r="D527" s="1234" t="s">
        <v>444</v>
      </c>
      <c r="E527" s="1234"/>
      <c r="F527" s="1234"/>
      <c r="I527" s="391"/>
    </row>
    <row r="528" spans="1:9">
      <c r="A528" s="384"/>
      <c r="B528" s="384"/>
      <c r="C528" s="384"/>
      <c r="D528" s="1234"/>
      <c r="E528" s="1234"/>
      <c r="F528" s="1234"/>
      <c r="I528" s="391"/>
    </row>
    <row r="529" spans="1:9">
      <c r="A529" s="384"/>
      <c r="B529" s="384"/>
      <c r="C529" s="384"/>
      <c r="D529" s="353"/>
      <c r="E529" s="353"/>
      <c r="F529" s="353"/>
      <c r="I529" s="381"/>
    </row>
    <row r="530" spans="1:9" ht="12.75" customHeight="1">
      <c r="A530" s="384"/>
      <c r="B530" s="386" t="s">
        <v>309</v>
      </c>
      <c r="D530" s="289" t="s">
        <v>445</v>
      </c>
      <c r="E530" s="288"/>
      <c r="F530" s="288"/>
      <c r="I530" s="391"/>
    </row>
    <row r="531" spans="1:9">
      <c r="A531" s="384"/>
      <c r="B531" s="384"/>
      <c r="C531" s="384"/>
      <c r="D531" s="288"/>
      <c r="E531" s="71" t="s">
        <v>446</v>
      </c>
      <c r="I531" s="391"/>
    </row>
    <row r="532" spans="1:9">
      <c r="A532" s="384"/>
      <c r="B532" s="384"/>
      <c r="D532" s="1242" t="s">
        <v>447</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15" customHeight="1">
      <c r="A536" s="384"/>
      <c r="B536" s="386" t="s">
        <v>309</v>
      </c>
      <c r="C536" s="384"/>
      <c r="D536" s="1263" t="s">
        <v>448</v>
      </c>
      <c r="E536" s="1263"/>
      <c r="F536" s="1263"/>
      <c r="I536" s="391"/>
    </row>
    <row r="537" spans="1:9">
      <c r="A537" s="384"/>
      <c r="B537" s="384"/>
      <c r="C537" s="384"/>
      <c r="D537" s="1263"/>
      <c r="E537" s="1263"/>
      <c r="F537" s="1263"/>
      <c r="I537" s="391"/>
    </row>
    <row r="538" spans="1:9" ht="12" customHeight="1">
      <c r="A538" s="348"/>
      <c r="B538" s="348"/>
      <c r="C538" s="388"/>
      <c r="D538" s="348"/>
      <c r="F538" s="350"/>
      <c r="I538" s="391"/>
    </row>
    <row r="539" spans="1:9">
      <c r="A539" s="1270" t="s">
        <v>449</v>
      </c>
      <c r="B539" s="1270"/>
      <c r="C539" s="1270"/>
      <c r="D539" s="1270"/>
      <c r="E539" s="1270"/>
      <c r="F539" s="1270"/>
      <c r="G539" s="1270"/>
      <c r="H539" s="919"/>
      <c r="I539" s="1042"/>
    </row>
    <row r="540" spans="1:9">
      <c r="A540" s="348"/>
      <c r="B540" s="348"/>
      <c r="C540" s="388"/>
      <c r="F540" s="350"/>
      <c r="I540" s="391"/>
    </row>
    <row r="541" spans="1:9">
      <c r="B541" s="1265" t="s">
        <v>347</v>
      </c>
      <c r="C541" s="1265"/>
      <c r="D541" s="1265"/>
      <c r="E541" s="1265"/>
      <c r="F541" s="1265"/>
      <c r="I541" s="391"/>
    </row>
    <row r="542" spans="1:9">
      <c r="A542" s="348"/>
      <c r="B542" s="348"/>
      <c r="C542" s="388"/>
      <c r="D542" s="348"/>
      <c r="F542" s="348"/>
      <c r="I542" s="391"/>
    </row>
    <row r="543" spans="1:9">
      <c r="A543" s="1262" t="s">
        <v>450</v>
      </c>
      <c r="B543" s="1262"/>
      <c r="C543" s="1262"/>
      <c r="D543" s="1262"/>
      <c r="E543" s="1262"/>
      <c r="F543" s="1262"/>
      <c r="G543" s="1262"/>
      <c r="H543" s="919"/>
      <c r="I543" s="1042"/>
    </row>
    <row r="544" spans="1:9">
      <c r="A544" s="348"/>
      <c r="B544" s="348"/>
      <c r="C544" s="388"/>
      <c r="D544" s="348"/>
      <c r="F544" s="348"/>
      <c r="I544" s="391"/>
    </row>
    <row r="545" spans="1:9">
      <c r="C545" s="388"/>
      <c r="D545" s="1271" t="s">
        <v>451</v>
      </c>
      <c r="E545" s="1271"/>
      <c r="F545" s="1271"/>
      <c r="I545" s="391"/>
    </row>
    <row r="546" spans="1:9">
      <c r="C546" s="388"/>
      <c r="D546" s="1261" t="s">
        <v>452</v>
      </c>
      <c r="E546" s="1261"/>
      <c r="F546" s="1261"/>
      <c r="I546" s="391"/>
    </row>
    <row r="547" spans="1:9">
      <c r="C547" s="388"/>
      <c r="D547" s="348"/>
      <c r="E547" s="348"/>
      <c r="F547" s="348"/>
      <c r="I547" s="391"/>
    </row>
    <row r="548" spans="1:9" ht="13.9" customHeight="1">
      <c r="A548" s="385"/>
      <c r="B548" s="386" t="s">
        <v>309</v>
      </c>
      <c r="C548" s="388"/>
      <c r="D548" s="1261" t="s">
        <v>453</v>
      </c>
      <c r="E548" s="1261"/>
      <c r="F548" s="1261"/>
      <c r="I548" s="391"/>
    </row>
    <row r="549" spans="1:9" ht="13.9" customHeight="1">
      <c r="A549" s="388"/>
      <c r="B549" s="388"/>
      <c r="C549" s="388"/>
      <c r="D549" s="348"/>
      <c r="I549" s="391"/>
    </row>
    <row r="550" spans="1:9" ht="14.25">
      <c r="A550" s="385"/>
      <c r="B550" s="386" t="s">
        <v>309</v>
      </c>
      <c r="C550" s="388"/>
      <c r="D550" s="1263" t="s">
        <v>454</v>
      </c>
      <c r="E550" s="1263"/>
      <c r="F550" s="1263"/>
      <c r="I550" s="391"/>
    </row>
    <row r="551" spans="1:9">
      <c r="A551" s="388"/>
      <c r="B551" s="388"/>
      <c r="C551" s="388"/>
      <c r="D551" s="1263"/>
      <c r="E551" s="1263"/>
      <c r="F551" s="1263"/>
      <c r="I551" s="391"/>
    </row>
    <row r="552" spans="1:9">
      <c r="A552" s="388"/>
      <c r="B552" s="388"/>
      <c r="C552" s="388"/>
      <c r="D552" s="348"/>
      <c r="E552" s="348"/>
      <c r="F552" s="348"/>
      <c r="I552" s="391"/>
    </row>
    <row r="553" spans="1:9" ht="14.25">
      <c r="A553" s="385"/>
      <c r="B553" s="386" t="s">
        <v>309</v>
      </c>
      <c r="C553" s="388"/>
      <c r="D553" s="1263" t="s">
        <v>455</v>
      </c>
      <c r="E553" s="1263"/>
      <c r="F553" s="1263"/>
      <c r="I553" s="391"/>
    </row>
    <row r="554" spans="1:9">
      <c r="A554" s="388"/>
      <c r="B554" s="388"/>
      <c r="C554" s="388"/>
      <c r="D554" s="1263"/>
      <c r="E554" s="1263"/>
      <c r="F554" s="1263"/>
      <c r="I554" s="391"/>
    </row>
    <row r="555" spans="1:9">
      <c r="A555" s="388"/>
      <c r="B555" s="388"/>
      <c r="C555" s="388"/>
      <c r="D555" s="348"/>
      <c r="E555" s="348"/>
      <c r="F555" s="348"/>
      <c r="I555" s="391"/>
    </row>
    <row r="556" spans="1:9" ht="14.25">
      <c r="A556" s="385"/>
      <c r="B556" s="386" t="s">
        <v>309</v>
      </c>
      <c r="C556" s="388"/>
      <c r="D556" s="1263" t="s">
        <v>456</v>
      </c>
      <c r="E556" s="1263"/>
      <c r="F556" s="1263"/>
      <c r="I556" s="391"/>
    </row>
    <row r="557" spans="1:9">
      <c r="A557" s="388"/>
      <c r="B557" s="388"/>
      <c r="C557" s="388"/>
      <c r="D557" s="1263"/>
      <c r="E557" s="1263"/>
      <c r="F557" s="1263"/>
      <c r="I557" s="391"/>
    </row>
    <row r="558" spans="1:9">
      <c r="A558" s="388"/>
      <c r="B558" s="388"/>
      <c r="C558" s="388"/>
      <c r="D558" s="348"/>
      <c r="E558" s="348"/>
      <c r="F558" s="348"/>
      <c r="I558" s="391"/>
    </row>
    <row r="559" spans="1:9" ht="14.25">
      <c r="A559" s="385"/>
      <c r="B559" s="386" t="s">
        <v>309</v>
      </c>
      <c r="C559" s="388"/>
      <c r="D559" s="1263" t="s">
        <v>457</v>
      </c>
      <c r="E559" s="1263"/>
      <c r="F559" s="1263"/>
      <c r="I559" s="391"/>
    </row>
    <row r="560" spans="1:9">
      <c r="A560" s="388"/>
      <c r="B560" s="388"/>
      <c r="C560" s="388"/>
      <c r="D560" s="1263"/>
      <c r="E560" s="1263"/>
      <c r="F560" s="1263"/>
      <c r="I560" s="391"/>
    </row>
    <row r="561" spans="1:9">
      <c r="A561" s="388"/>
      <c r="B561" s="388"/>
      <c r="C561" s="388"/>
      <c r="D561" s="1263"/>
      <c r="E561" s="1263"/>
      <c r="F561" s="1263"/>
      <c r="I561" s="391"/>
    </row>
    <row r="562" spans="1:9">
      <c r="A562" s="388"/>
      <c r="B562" s="388"/>
      <c r="C562" s="388"/>
      <c r="D562" s="348"/>
      <c r="E562" s="348"/>
      <c r="F562" s="348"/>
      <c r="I562" s="391"/>
    </row>
    <row r="563" spans="1:9" ht="14.25">
      <c r="A563" s="385"/>
      <c r="B563" s="386" t="s">
        <v>309</v>
      </c>
      <c r="C563" s="388"/>
      <c r="D563" s="1263" t="s">
        <v>458</v>
      </c>
      <c r="E563" s="1263"/>
      <c r="F563" s="1263"/>
      <c r="I563" s="391"/>
    </row>
    <row r="564" spans="1:9">
      <c r="A564" s="388"/>
      <c r="B564" s="388"/>
      <c r="C564" s="388"/>
      <c r="D564" s="1263"/>
      <c r="E564" s="1263"/>
      <c r="F564" s="1263"/>
      <c r="I564" s="391"/>
    </row>
    <row r="565" spans="1:9">
      <c r="A565" s="388"/>
      <c r="B565" s="388"/>
      <c r="C565" s="388"/>
      <c r="D565" s="348"/>
      <c r="E565" s="348"/>
      <c r="F565" s="348"/>
      <c r="I565" s="391"/>
    </row>
    <row r="566" spans="1:9" ht="14.25">
      <c r="A566" s="385"/>
      <c r="B566" s="386" t="s">
        <v>309</v>
      </c>
      <c r="C566" s="388"/>
      <c r="D566" s="1263" t="s">
        <v>459</v>
      </c>
      <c r="E566" s="1263"/>
      <c r="F566" s="1263"/>
      <c r="I566" s="391"/>
    </row>
    <row r="567" spans="1:9">
      <c r="A567" s="388"/>
      <c r="B567" s="388"/>
      <c r="C567" s="388"/>
      <c r="D567" s="1263"/>
      <c r="E567" s="1263"/>
      <c r="F567" s="1263"/>
      <c r="I567" s="391"/>
    </row>
    <row r="568" spans="1:9">
      <c r="A568" s="388"/>
      <c r="B568" s="388"/>
      <c r="C568" s="388"/>
      <c r="D568" s="348"/>
      <c r="E568" s="348"/>
      <c r="F568" s="348"/>
      <c r="I568" s="391"/>
    </row>
    <row r="569" spans="1:9" ht="14.25">
      <c r="A569" s="385"/>
      <c r="B569" s="386" t="s">
        <v>309</v>
      </c>
      <c r="C569" s="388"/>
      <c r="D569" s="1261" t="s">
        <v>460</v>
      </c>
      <c r="E569" s="1261"/>
      <c r="F569" s="1261"/>
      <c r="I569" s="391"/>
    </row>
    <row r="570" spans="1:9">
      <c r="A570" s="391"/>
      <c r="B570" s="391"/>
      <c r="C570" s="388"/>
      <c r="D570" s="1261" t="s">
        <v>461</v>
      </c>
      <c r="E570" s="1261"/>
      <c r="F570" s="1261"/>
      <c r="I570" s="391"/>
    </row>
    <row r="571" spans="1:9">
      <c r="A571" s="391"/>
      <c r="B571" s="391"/>
      <c r="C571" s="388"/>
      <c r="E571" s="71" t="s">
        <v>462</v>
      </c>
      <c r="F571" s="307"/>
      <c r="I571" s="391"/>
    </row>
    <row r="572" spans="1:9" ht="14.25">
      <c r="A572" s="385"/>
      <c r="B572" s="385"/>
      <c r="C572" s="388"/>
      <c r="E572" s="348"/>
      <c r="F572" s="348"/>
      <c r="I572" s="391"/>
    </row>
    <row r="573" spans="1:9" ht="14.25">
      <c r="A573" s="385"/>
      <c r="B573" s="386" t="s">
        <v>309</v>
      </c>
      <c r="C573" s="388"/>
      <c r="D573" s="1261" t="s">
        <v>463</v>
      </c>
      <c r="E573" s="1261"/>
      <c r="F573" s="1261"/>
      <c r="I573" s="391"/>
    </row>
    <row r="574" spans="1:9">
      <c r="C574" s="388"/>
      <c r="D574" s="1263" t="s">
        <v>464</v>
      </c>
      <c r="E574" s="1263"/>
      <c r="F574" s="1263"/>
      <c r="I574" s="391"/>
    </row>
    <row r="575" spans="1:9">
      <c r="A575" s="388"/>
      <c r="B575" s="388"/>
      <c r="C575" s="388"/>
      <c r="D575" s="1263"/>
      <c r="E575" s="1263"/>
      <c r="F575" s="1263"/>
      <c r="I575" s="391"/>
    </row>
    <row r="576" spans="1:9">
      <c r="A576" s="388"/>
      <c r="B576" s="388"/>
      <c r="C576" s="388"/>
      <c r="D576" s="1263"/>
      <c r="E576" s="1263"/>
      <c r="F576" s="1263"/>
      <c r="I576" s="391"/>
    </row>
    <row r="577" spans="1:9">
      <c r="A577" s="388"/>
      <c r="B577" s="388"/>
      <c r="C577" s="388"/>
      <c r="D577" s="348"/>
      <c r="E577" s="348"/>
      <c r="F577" s="348"/>
      <c r="I577" s="391"/>
    </row>
    <row r="578" spans="1:9" ht="14.25">
      <c r="A578" s="385"/>
      <c r="B578" s="386" t="s">
        <v>309</v>
      </c>
      <c r="C578" s="388"/>
      <c r="D578" s="1263" t="s">
        <v>465</v>
      </c>
      <c r="E578" s="1263"/>
      <c r="F578" s="1263"/>
      <c r="I578" s="391"/>
    </row>
    <row r="579" spans="1:9" ht="14.25">
      <c r="A579" s="385"/>
      <c r="B579" s="385"/>
      <c r="C579" s="388"/>
      <c r="D579" s="1263"/>
      <c r="E579" s="1263"/>
      <c r="F579" s="1263"/>
      <c r="I579" s="391"/>
    </row>
    <row r="580" spans="1:9" ht="14.25">
      <c r="A580" s="385"/>
      <c r="B580" s="385"/>
      <c r="C580" s="388"/>
      <c r="D580" s="1263"/>
      <c r="E580" s="1263"/>
      <c r="F580" s="1263"/>
      <c r="I580" s="391"/>
    </row>
    <row r="581" spans="1:9" ht="14.25">
      <c r="A581" s="385"/>
      <c r="B581" s="385"/>
      <c r="C581" s="388"/>
      <c r="D581" s="1263"/>
      <c r="E581" s="1263"/>
      <c r="F581" s="1263"/>
      <c r="I581" s="391"/>
    </row>
    <row r="582" spans="1:9" ht="14.25">
      <c r="A582" s="385"/>
      <c r="B582" s="385"/>
      <c r="C582" s="388"/>
      <c r="D582" s="348"/>
      <c r="E582" s="348"/>
      <c r="F582" s="348"/>
      <c r="I582" s="391"/>
    </row>
    <row r="583" spans="1:9">
      <c r="A583" s="1270" t="s">
        <v>466</v>
      </c>
      <c r="B583" s="1270"/>
      <c r="C583" s="1270"/>
      <c r="D583" s="1270"/>
      <c r="E583" s="1270"/>
      <c r="F583" s="1270"/>
      <c r="G583" s="1270"/>
      <c r="H583" s="919"/>
      <c r="I583" s="1042"/>
    </row>
    <row r="584" spans="1:9">
      <c r="A584" s="388"/>
      <c r="B584" s="388"/>
      <c r="C584" s="388"/>
      <c r="E584" s="348"/>
      <c r="F584" s="348"/>
      <c r="I584" s="391"/>
    </row>
    <row r="585" spans="1:9" ht="12.75" customHeight="1">
      <c r="C585" s="383"/>
      <c r="D585" s="1279" t="s">
        <v>467</v>
      </c>
      <c r="E585" s="1279"/>
      <c r="F585" s="1279"/>
      <c r="I585" s="391"/>
    </row>
    <row r="586" spans="1:9">
      <c r="A586" s="384"/>
      <c r="B586" s="384"/>
      <c r="C586" s="384"/>
      <c r="D586" s="1275" t="s">
        <v>468</v>
      </c>
      <c r="E586" s="1275"/>
      <c r="F586" s="1275"/>
      <c r="I586" s="391"/>
    </row>
    <row r="587" spans="1:9">
      <c r="A587" s="305"/>
      <c r="B587" s="305"/>
      <c r="C587" s="384"/>
      <c r="D587" s="400"/>
      <c r="I587" s="391"/>
    </row>
    <row r="588" spans="1:9">
      <c r="A588" s="384"/>
      <c r="B588" s="386" t="s">
        <v>309</v>
      </c>
      <c r="D588" s="1275" t="s">
        <v>469</v>
      </c>
      <c r="E588" s="1275"/>
      <c r="F588" s="1275"/>
      <c r="I588" s="391"/>
    </row>
    <row r="589" spans="1:9">
      <c r="A589" s="391"/>
      <c r="B589" s="391"/>
      <c r="D589" s="377"/>
      <c r="I589" s="391"/>
    </row>
    <row r="590" spans="1:9">
      <c r="A590" s="391"/>
      <c r="B590" s="386" t="s">
        <v>309</v>
      </c>
      <c r="D590" s="1275" t="s">
        <v>470</v>
      </c>
      <c r="E590" s="1275"/>
      <c r="F590" s="1275"/>
      <c r="I590" s="391"/>
    </row>
    <row r="591" spans="1:9">
      <c r="A591" s="391"/>
      <c r="B591" s="391"/>
      <c r="D591" s="1275"/>
      <c r="E591" s="1275"/>
      <c r="F591" s="1275"/>
      <c r="I591" s="391"/>
    </row>
    <row r="592" spans="1:9">
      <c r="A592" s="391"/>
      <c r="B592" s="391"/>
      <c r="D592" s="1275"/>
      <c r="E592" s="1275"/>
      <c r="F592" s="1275"/>
      <c r="I592" s="391"/>
    </row>
    <row r="593" spans="1:9">
      <c r="A593" s="391"/>
      <c r="B593" s="391"/>
      <c r="D593" s="1275"/>
      <c r="E593" s="1275"/>
      <c r="F593" s="1275"/>
      <c r="I593" s="391"/>
    </row>
    <row r="594" spans="1:9">
      <c r="A594" s="391"/>
      <c r="B594" s="386" t="s">
        <v>309</v>
      </c>
      <c r="D594" s="1275" t="s">
        <v>471</v>
      </c>
      <c r="E594" s="1275"/>
      <c r="F594" s="1275"/>
      <c r="I594" s="391"/>
    </row>
    <row r="595" spans="1:9">
      <c r="A595" s="391"/>
      <c r="B595" s="391"/>
      <c r="D595" s="1275"/>
      <c r="E595" s="1275"/>
      <c r="F595" s="1275"/>
      <c r="I595" s="391"/>
    </row>
    <row r="596" spans="1:9">
      <c r="A596" s="391"/>
      <c r="B596" s="391"/>
      <c r="D596" s="1275"/>
      <c r="E596" s="1275"/>
      <c r="F596" s="1275"/>
      <c r="I596" s="391"/>
    </row>
    <row r="597" spans="1:9">
      <c r="A597" s="391"/>
      <c r="B597" s="391"/>
      <c r="D597" s="1275"/>
      <c r="E597" s="1275"/>
      <c r="F597" s="1275"/>
      <c r="I597" s="391"/>
    </row>
    <row r="598" spans="1:9">
      <c r="A598" s="391"/>
      <c r="B598" s="391"/>
      <c r="D598" s="343"/>
      <c r="E598" s="343"/>
      <c r="F598" s="343"/>
      <c r="I598" s="391"/>
    </row>
    <row r="599" spans="1:9">
      <c r="A599" s="391"/>
      <c r="B599" s="386" t="s">
        <v>309</v>
      </c>
      <c r="D599" s="1275" t="s">
        <v>472</v>
      </c>
      <c r="E599" s="1275"/>
      <c r="F599" s="1275"/>
      <c r="I599" s="391"/>
    </row>
    <row r="600" spans="1:9">
      <c r="A600" s="391"/>
      <c r="B600" s="391"/>
      <c r="D600" s="1275"/>
      <c r="E600" s="1275"/>
      <c r="F600" s="1275"/>
      <c r="I600" s="391"/>
    </row>
    <row r="601" spans="1:9">
      <c r="A601" s="391"/>
      <c r="B601" s="391"/>
      <c r="D601" s="400"/>
      <c r="I601" s="391"/>
    </row>
    <row r="602" spans="1:9">
      <c r="A602" s="391"/>
      <c r="B602" s="386" t="s">
        <v>309</v>
      </c>
      <c r="D602" s="1275" t="s">
        <v>473</v>
      </c>
      <c r="E602" s="1275"/>
      <c r="F602" s="1275"/>
      <c r="I602" s="391"/>
    </row>
    <row r="603" spans="1:9">
      <c r="A603" s="391"/>
      <c r="B603" s="391"/>
      <c r="D603" s="1275"/>
      <c r="E603" s="1275"/>
      <c r="F603" s="1275"/>
      <c r="I603" s="391"/>
    </row>
    <row r="604" spans="1:9" ht="14.25">
      <c r="A604" s="385"/>
      <c r="B604" s="385"/>
      <c r="D604" s="400"/>
      <c r="I604" s="391"/>
    </row>
    <row r="605" spans="1:9">
      <c r="A605" s="1270" t="s">
        <v>474</v>
      </c>
      <c r="B605" s="1270"/>
      <c r="C605" s="1270"/>
      <c r="D605" s="1270"/>
      <c r="E605" s="1270"/>
      <c r="F605" s="1270"/>
      <c r="G605" s="1270"/>
      <c r="H605" s="919"/>
      <c r="I605" s="1042"/>
    </row>
    <row r="606" spans="1:9">
      <c r="I606" s="391"/>
    </row>
    <row r="607" spans="1:9">
      <c r="D607" s="1271" t="s">
        <v>475</v>
      </c>
      <c r="E607" s="1271"/>
      <c r="F607" s="1271"/>
      <c r="I607" s="391"/>
    </row>
    <row r="608" spans="1:9">
      <c r="D608" s="1243" t="s">
        <v>476</v>
      </c>
      <c r="E608" s="1243"/>
      <c r="F608" s="1243"/>
      <c r="I608" s="391"/>
    </row>
    <row r="609" spans="1:9">
      <c r="D609" s="346"/>
      <c r="I609" s="391"/>
    </row>
    <row r="610" spans="1:9" ht="14.25" customHeight="1">
      <c r="A610" s="385"/>
      <c r="B610" s="386" t="s">
        <v>309</v>
      </c>
      <c r="D610" s="1276" t="s">
        <v>477</v>
      </c>
      <c r="E610" s="1276"/>
      <c r="F610" s="1276"/>
      <c r="I610" s="391"/>
    </row>
    <row r="611" spans="1:9">
      <c r="D611" s="1276"/>
      <c r="E611" s="1276"/>
      <c r="F611" s="1276"/>
      <c r="I611" s="391"/>
    </row>
    <row r="612" spans="1:9">
      <c r="D612" s="288"/>
      <c r="E612" s="927" t="s">
        <v>478</v>
      </c>
      <c r="F612" s="288"/>
      <c r="I612" s="391"/>
    </row>
    <row r="613" spans="1:9">
      <c r="I613" s="391"/>
    </row>
    <row r="614" spans="1:9">
      <c r="A614" s="1270" t="s">
        <v>479</v>
      </c>
      <c r="B614" s="1270"/>
      <c r="C614" s="1270"/>
      <c r="D614" s="1270"/>
      <c r="E614" s="1270"/>
      <c r="F614" s="1270"/>
      <c r="G614" s="1270"/>
      <c r="H614" s="919"/>
      <c r="I614" s="1042"/>
    </row>
    <row r="615" spans="1:9">
      <c r="A615" s="348"/>
      <c r="B615" s="348"/>
      <c r="I615" s="391"/>
    </row>
    <row r="616" spans="1:9">
      <c r="A616" s="383"/>
      <c r="B616" s="383"/>
      <c r="C616" s="383"/>
      <c r="D616" s="1260" t="s">
        <v>480</v>
      </c>
      <c r="E616" s="1260"/>
      <c r="F616" s="1260"/>
      <c r="I616" s="391"/>
    </row>
    <row r="617" spans="1:9">
      <c r="A617" s="383"/>
      <c r="B617" s="383"/>
      <c r="C617" s="383"/>
      <c r="D617" s="1260"/>
      <c r="E617" s="1260"/>
      <c r="F617" s="1260"/>
      <c r="I617" s="391"/>
    </row>
    <row r="618" spans="1:9">
      <c r="C618" s="384"/>
      <c r="D618" s="1243" t="s">
        <v>481</v>
      </c>
      <c r="E618" s="1243"/>
      <c r="F618" s="1243"/>
      <c r="I618" s="391"/>
    </row>
    <row r="619" spans="1:9">
      <c r="C619" s="384"/>
      <c r="D619" s="346"/>
      <c r="E619" s="346"/>
      <c r="F619" s="346"/>
      <c r="I619" s="391"/>
    </row>
    <row r="620" spans="1:9" ht="12.75" customHeight="1">
      <c r="A620" s="391"/>
      <c r="B620" s="386" t="s">
        <v>309</v>
      </c>
      <c r="D620" s="1269" t="s">
        <v>482</v>
      </c>
      <c r="E620" s="1269"/>
      <c r="F620" s="1269"/>
      <c r="I620" s="391"/>
    </row>
    <row r="621" spans="1:9">
      <c r="D621" s="1269"/>
      <c r="E621" s="1269"/>
      <c r="F621" s="1269"/>
      <c r="I621" s="391"/>
    </row>
    <row r="622" spans="1:9">
      <c r="I622" s="391"/>
    </row>
    <row r="623" spans="1:9">
      <c r="B623" s="386" t="s">
        <v>309</v>
      </c>
      <c r="D623" s="1269" t="s">
        <v>483</v>
      </c>
      <c r="E623" s="1269"/>
      <c r="F623" s="1269"/>
      <c r="I623" s="391"/>
    </row>
    <row r="624" spans="1:9">
      <c r="C624" s="401"/>
      <c r="D624" s="1269"/>
      <c r="E624" s="1269"/>
      <c r="F624" s="1269"/>
      <c r="I624" s="391"/>
    </row>
    <row r="625" spans="1:9">
      <c r="C625" s="401"/>
      <c r="I625" s="391"/>
    </row>
    <row r="626" spans="1:9">
      <c r="B626" s="386" t="s">
        <v>309</v>
      </c>
      <c r="C626" s="401"/>
      <c r="D626" s="1269" t="s">
        <v>484</v>
      </c>
      <c r="E626" s="1269"/>
      <c r="F626" s="1269"/>
      <c r="I626" s="391"/>
    </row>
    <row r="627" spans="1:9">
      <c r="C627" s="401"/>
      <c r="D627" s="1269"/>
      <c r="E627" s="1269"/>
      <c r="F627" s="1269"/>
      <c r="I627" s="401"/>
    </row>
    <row r="628" spans="1:9">
      <c r="C628" s="401"/>
      <c r="I628" s="391"/>
    </row>
    <row r="629" spans="1:9">
      <c r="A629" s="1270" t="s">
        <v>485</v>
      </c>
      <c r="B629" s="1270"/>
      <c r="C629" s="1270"/>
      <c r="D629" s="1270"/>
      <c r="E629" s="1270"/>
      <c r="F629" s="1270"/>
      <c r="G629" s="1270"/>
      <c r="H629" s="919"/>
      <c r="I629" s="1042"/>
    </row>
    <row r="630" spans="1:9">
      <c r="A630" s="383"/>
      <c r="B630" s="383"/>
      <c r="C630" s="383"/>
      <c r="I630" s="391"/>
    </row>
    <row r="631" spans="1:9">
      <c r="C631" s="391"/>
      <c r="D631" s="1271" t="s">
        <v>486</v>
      </c>
      <c r="E631" s="1271"/>
      <c r="F631" s="1271"/>
      <c r="I631" s="391"/>
    </row>
    <row r="632" spans="1:9">
      <c r="A632" s="391"/>
      <c r="B632" s="391"/>
      <c r="D632" s="307"/>
      <c r="I632" s="391"/>
    </row>
    <row r="633" spans="1:9" ht="14.25" customHeight="1">
      <c r="A633" s="385"/>
      <c r="B633" s="386" t="s">
        <v>309</v>
      </c>
      <c r="D633" s="1276" t="s">
        <v>487</v>
      </c>
      <c r="E633" s="1276"/>
      <c r="F633" s="1276"/>
      <c r="I633" s="391"/>
    </row>
    <row r="634" spans="1:9">
      <c r="D634" s="1276"/>
      <c r="E634" s="1276"/>
      <c r="F634" s="1276"/>
      <c r="I634" s="391"/>
    </row>
    <row r="635" spans="1:9">
      <c r="D635" s="288"/>
      <c r="E635" s="927" t="s">
        <v>488</v>
      </c>
      <c r="F635" s="288"/>
      <c r="I635" s="391"/>
    </row>
    <row r="636" spans="1:9">
      <c r="D636" s="1263" t="s">
        <v>489</v>
      </c>
      <c r="E636" s="1263"/>
      <c r="F636" s="1263"/>
      <c r="I636" s="391"/>
    </row>
    <row r="637" spans="1:9">
      <c r="D637" s="1263"/>
      <c r="E637" s="1263"/>
      <c r="F637" s="1263"/>
      <c r="I637" s="391"/>
    </row>
    <row r="638" spans="1:9">
      <c r="D638" s="1263"/>
      <c r="E638" s="1263"/>
      <c r="F638" s="1263"/>
      <c r="I638" s="391"/>
    </row>
    <row r="639" spans="1:9">
      <c r="D639" s="347"/>
      <c r="E639" s="347"/>
      <c r="F639" s="347"/>
      <c r="I639" s="391"/>
    </row>
    <row r="640" spans="1:9" ht="14.25">
      <c r="A640" s="385"/>
      <c r="B640" s="386" t="s">
        <v>309</v>
      </c>
      <c r="D640" s="1263" t="s">
        <v>490</v>
      </c>
      <c r="E640" s="1263"/>
      <c r="F640" s="1263"/>
      <c r="I640" s="391"/>
    </row>
    <row r="641" spans="1:9">
      <c r="A641" s="388"/>
      <c r="B641" s="388"/>
      <c r="C641" s="388"/>
      <c r="D641" s="1263"/>
      <c r="E641" s="1263"/>
      <c r="F641" s="1263"/>
      <c r="I641" s="391"/>
    </row>
    <row r="642" spans="1:9">
      <c r="A642" s="388"/>
      <c r="B642" s="388"/>
      <c r="C642" s="388"/>
      <c r="D642" s="348"/>
      <c r="E642" s="348"/>
      <c r="F642" s="348"/>
      <c r="I642" s="391"/>
    </row>
    <row r="643" spans="1:9" ht="14.25">
      <c r="A643" s="385"/>
      <c r="B643" s="386" t="s">
        <v>309</v>
      </c>
      <c r="C643" s="388"/>
      <c r="D643" s="1263" t="s">
        <v>491</v>
      </c>
      <c r="E643" s="1263"/>
      <c r="F643" s="1263"/>
      <c r="I643" s="391"/>
    </row>
    <row r="644" spans="1:9" ht="14.25">
      <c r="A644" s="385"/>
      <c r="B644" s="385"/>
      <c r="C644" s="388"/>
      <c r="D644" s="1263"/>
      <c r="E644" s="1263"/>
      <c r="F644" s="1263"/>
      <c r="I644" s="391"/>
    </row>
    <row r="645" spans="1:9" ht="14.25">
      <c r="A645" s="385"/>
      <c r="B645" s="385"/>
      <c r="C645" s="388"/>
      <c r="D645" s="1263"/>
      <c r="E645" s="1263"/>
      <c r="F645" s="1263"/>
      <c r="I645" s="391"/>
    </row>
    <row r="646" spans="1:9">
      <c r="A646" s="388"/>
      <c r="B646" s="386" t="s">
        <v>309</v>
      </c>
      <c r="C646" s="388"/>
      <c r="D646" s="1261" t="s">
        <v>492</v>
      </c>
      <c r="E646" s="1261"/>
      <c r="F646" s="1261"/>
      <c r="I646" s="391"/>
    </row>
    <row r="647" spans="1:9">
      <c r="A647" s="388"/>
      <c r="B647" s="388"/>
      <c r="C647" s="388"/>
      <c r="D647" s="348"/>
      <c r="E647" s="348"/>
      <c r="F647" s="348"/>
      <c r="I647" s="391"/>
    </row>
    <row r="648" spans="1:9">
      <c r="A648" s="1270" t="s">
        <v>493</v>
      </c>
      <c r="B648" s="1270"/>
      <c r="C648" s="1270"/>
      <c r="D648" s="1270"/>
      <c r="E648" s="1270"/>
      <c r="F648" s="1270"/>
      <c r="G648" s="1270"/>
      <c r="H648" s="919"/>
      <c r="I648" s="1042"/>
    </row>
    <row r="649" spans="1:9">
      <c r="A649" s="348"/>
      <c r="B649" s="348"/>
      <c r="C649" s="388"/>
      <c r="D649" s="348"/>
      <c r="E649" s="348"/>
      <c r="F649" s="348"/>
      <c r="I649" s="391"/>
    </row>
    <row r="650" spans="1:9">
      <c r="C650" s="383"/>
      <c r="D650" s="1271" t="s">
        <v>494</v>
      </c>
      <c r="E650" s="1271"/>
      <c r="F650" s="1271"/>
      <c r="I650" s="391"/>
    </row>
    <row r="651" spans="1:9">
      <c r="A651" s="384"/>
      <c r="B651" s="384"/>
      <c r="C651" s="384"/>
      <c r="D651" s="1261" t="s">
        <v>495</v>
      </c>
      <c r="E651" s="1261"/>
      <c r="F651" s="1261"/>
      <c r="I651" s="391"/>
    </row>
    <row r="652" spans="1:9">
      <c r="A652" s="384"/>
      <c r="B652" s="384"/>
      <c r="C652" s="384"/>
      <c r="D652" s="348"/>
      <c r="E652" s="348"/>
      <c r="F652" s="348"/>
      <c r="I652" s="391"/>
    </row>
    <row r="653" spans="1:9" ht="12.75" customHeight="1">
      <c r="B653" s="386" t="s">
        <v>309</v>
      </c>
      <c r="C653" s="388"/>
      <c r="D653" s="1263" t="s">
        <v>496</v>
      </c>
      <c r="E653" s="1263"/>
      <c r="F653" s="1263"/>
      <c r="I653" s="391"/>
    </row>
    <row r="654" spans="1:9">
      <c r="D654" s="1263"/>
      <c r="E654" s="1263"/>
      <c r="F654" s="1263"/>
      <c r="I654" s="391"/>
    </row>
    <row r="655" spans="1:9">
      <c r="D655" s="1263"/>
      <c r="E655" s="1263"/>
      <c r="F655" s="1263"/>
      <c r="I655" s="391"/>
    </row>
    <row r="656" spans="1:9">
      <c r="D656" s="1263"/>
      <c r="E656" s="1263"/>
      <c r="F656" s="1263"/>
      <c r="I656" s="391"/>
    </row>
    <row r="657" spans="1:9" ht="14.65" customHeight="1">
      <c r="A657" s="385"/>
      <c r="B657" s="385"/>
      <c r="C657" s="388"/>
      <c r="D657" s="288"/>
      <c r="E657" s="288"/>
      <c r="F657" s="288"/>
      <c r="I657" s="391"/>
    </row>
    <row r="658" spans="1:9" ht="12.75" customHeight="1">
      <c r="A658" s="384"/>
      <c r="B658" s="386" t="s">
        <v>309</v>
      </c>
      <c r="C658" s="388"/>
      <c r="D658" s="1263" t="s">
        <v>497</v>
      </c>
      <c r="E658" s="1263"/>
      <c r="F658" s="1263"/>
      <c r="I658" s="391"/>
    </row>
    <row r="659" spans="1:9" ht="14.25">
      <c r="A659" s="384"/>
      <c r="B659" s="385"/>
      <c r="C659" s="388"/>
      <c r="D659" s="1263"/>
      <c r="E659" s="1263"/>
      <c r="F659" s="1263"/>
      <c r="I659" s="391"/>
    </row>
    <row r="660" spans="1:9" ht="14.25">
      <c r="A660" s="384"/>
      <c r="B660" s="385"/>
      <c r="C660" s="388"/>
      <c r="D660" s="1263"/>
      <c r="E660" s="1263"/>
      <c r="F660" s="1263"/>
      <c r="I660" s="391"/>
    </row>
    <row r="661" spans="1:9" ht="14.25">
      <c r="A661" s="384"/>
      <c r="B661" s="385"/>
      <c r="C661" s="388"/>
      <c r="D661" s="1263"/>
      <c r="E661" s="1263"/>
      <c r="F661" s="1263"/>
      <c r="I661" s="391"/>
    </row>
    <row r="662" spans="1:9" ht="14.25">
      <c r="A662" s="384"/>
      <c r="B662" s="385"/>
      <c r="C662" s="388"/>
      <c r="D662" s="1263"/>
      <c r="E662" s="1263"/>
      <c r="F662" s="1263"/>
      <c r="I662" s="391"/>
    </row>
    <row r="663" spans="1:9" ht="14.25" customHeight="1">
      <c r="A663" s="384"/>
      <c r="B663" s="385"/>
      <c r="C663" s="388"/>
      <c r="F663" s="289"/>
      <c r="I663" s="391"/>
    </row>
    <row r="664" spans="1:9" ht="12.75" customHeight="1">
      <c r="A664" s="384"/>
      <c r="B664" s="386" t="s">
        <v>309</v>
      </c>
      <c r="C664" s="388"/>
      <c r="D664" s="1263" t="s">
        <v>498</v>
      </c>
      <c r="E664" s="1263"/>
      <c r="F664" s="1263"/>
      <c r="I664" s="391"/>
    </row>
    <row r="665" spans="1:9" ht="14.25">
      <c r="A665" s="384"/>
      <c r="B665" s="385"/>
      <c r="C665" s="388"/>
      <c r="D665" s="1263"/>
      <c r="E665" s="1263"/>
      <c r="F665" s="1263"/>
      <c r="I665" s="391"/>
    </row>
    <row r="666" spans="1:9" ht="14.25">
      <c r="A666" s="385"/>
      <c r="B666" s="385"/>
      <c r="C666" s="388"/>
      <c r="D666" s="1263"/>
      <c r="E666" s="1263"/>
      <c r="F666" s="1263"/>
      <c r="I666" s="391"/>
    </row>
    <row r="667" spans="1:9" ht="14.25">
      <c r="A667" s="385"/>
      <c r="B667" s="385"/>
      <c r="C667" s="388"/>
      <c r="D667" s="1263"/>
      <c r="E667" s="1263"/>
      <c r="F667" s="1263"/>
      <c r="I667" s="391"/>
    </row>
    <row r="668" spans="1:9" ht="14.25">
      <c r="A668" s="385"/>
      <c r="B668" s="385"/>
      <c r="C668" s="388"/>
      <c r="D668" s="347"/>
      <c r="E668" s="347"/>
      <c r="F668" s="347"/>
      <c r="I668" s="391"/>
    </row>
    <row r="669" spans="1:9" ht="12.75" customHeight="1">
      <c r="A669" s="384"/>
      <c r="B669" s="386" t="s">
        <v>309</v>
      </c>
      <c r="C669" s="388"/>
      <c r="D669" s="1263" t="s">
        <v>499</v>
      </c>
      <c r="E669" s="1263"/>
      <c r="F669" s="1263"/>
      <c r="I669" s="391"/>
    </row>
    <row r="670" spans="1:9" ht="12.75" customHeight="1">
      <c r="A670" s="384"/>
      <c r="B670" s="385"/>
      <c r="C670" s="388"/>
      <c r="D670" s="1263"/>
      <c r="E670" s="1263"/>
      <c r="F670" s="1263"/>
      <c r="I670" s="391"/>
    </row>
    <row r="671" spans="1:9" ht="12.75" customHeight="1">
      <c r="A671" s="384"/>
      <c r="B671" s="385"/>
      <c r="C671" s="388"/>
      <c r="D671" s="1263"/>
      <c r="E671" s="1263"/>
      <c r="F671" s="1263"/>
      <c r="I671" s="391"/>
    </row>
    <row r="672" spans="1:9" ht="12.75" customHeight="1">
      <c r="A672" s="384"/>
      <c r="B672" s="385"/>
      <c r="C672" s="388"/>
      <c r="D672" s="1263"/>
      <c r="E672" s="1263"/>
      <c r="F672" s="1263"/>
      <c r="I672" s="391"/>
    </row>
    <row r="673" spans="1:11" ht="12.75" customHeight="1">
      <c r="A673" s="384"/>
      <c r="B673" s="385"/>
      <c r="C673" s="388"/>
      <c r="D673" s="1263"/>
      <c r="E673" s="1263"/>
      <c r="F673" s="1263"/>
      <c r="I673" s="391"/>
    </row>
    <row r="674" spans="1:11" ht="12.75" customHeight="1">
      <c r="A674" s="384"/>
      <c r="B674" s="385"/>
      <c r="C674" s="388"/>
      <c r="D674" s="1263"/>
      <c r="E674" s="1263"/>
      <c r="F674" s="1263"/>
      <c r="I674" s="391"/>
    </row>
    <row r="675" spans="1:11" ht="12.75" customHeight="1">
      <c r="A675" s="384"/>
      <c r="B675" s="385"/>
      <c r="C675" s="388"/>
      <c r="D675" s="1263"/>
      <c r="E675" s="1263"/>
      <c r="F675" s="1263"/>
      <c r="I675" s="391"/>
    </row>
    <row r="676" spans="1:11" ht="12.75" customHeight="1">
      <c r="A676" s="384"/>
      <c r="B676" s="385"/>
      <c r="C676" s="388"/>
      <c r="D676" s="1263"/>
      <c r="E676" s="1263"/>
      <c r="F676" s="1263"/>
      <c r="I676" s="391"/>
    </row>
    <row r="677" spans="1:11" ht="12.75" customHeight="1">
      <c r="A677" s="384"/>
      <c r="B677" s="385"/>
      <c r="C677" s="388"/>
      <c r="D677" s="1263"/>
      <c r="E677" s="1263"/>
      <c r="F677" s="1263"/>
      <c r="I677" s="391"/>
    </row>
    <row r="678" spans="1:11">
      <c r="A678" s="388"/>
      <c r="B678" s="388"/>
      <c r="C678" s="388"/>
      <c r="D678" s="348"/>
      <c r="E678" s="348"/>
      <c r="F678" s="348"/>
      <c r="I678" s="391"/>
    </row>
    <row r="679" spans="1:11">
      <c r="A679" s="1270" t="s">
        <v>500</v>
      </c>
      <c r="B679" s="1270"/>
      <c r="C679" s="1270"/>
      <c r="D679" s="1270"/>
      <c r="E679" s="1270"/>
      <c r="F679" s="1270"/>
      <c r="G679" s="1270"/>
      <c r="H679" s="921"/>
      <c r="I679" s="1046"/>
      <c r="J679" s="402"/>
      <c r="K679" s="402"/>
    </row>
    <row r="680" spans="1:11">
      <c r="A680" s="350"/>
      <c r="B680" s="350"/>
      <c r="C680" s="350"/>
      <c r="D680" s="350"/>
      <c r="E680" s="350"/>
      <c r="F680" s="350"/>
      <c r="G680" s="350"/>
      <c r="H680" s="402"/>
      <c r="I680" s="384"/>
      <c r="J680" s="402"/>
      <c r="K680" s="402"/>
    </row>
    <row r="681" spans="1:11">
      <c r="C681" s="383"/>
      <c r="D681" s="1271" t="s">
        <v>501</v>
      </c>
      <c r="E681" s="1271"/>
      <c r="F681" s="1271"/>
      <c r="H681" s="402"/>
      <c r="I681" s="384"/>
      <c r="J681" s="402"/>
      <c r="K681" s="402"/>
    </row>
    <row r="682" spans="1:11">
      <c r="A682" s="383"/>
      <c r="B682" s="383"/>
      <c r="C682" s="383"/>
      <c r="D682" s="1271" t="s">
        <v>502</v>
      </c>
      <c r="E682" s="1271"/>
      <c r="F682" s="1271"/>
      <c r="H682" s="402"/>
      <c r="I682" s="384"/>
      <c r="J682" s="402"/>
      <c r="K682" s="402"/>
    </row>
    <row r="683" spans="1:11">
      <c r="A683" s="384"/>
      <c r="B683" s="384"/>
      <c r="C683" s="384"/>
      <c r="D683" s="1261" t="s">
        <v>503</v>
      </c>
      <c r="E683" s="1261"/>
      <c r="F683" s="1261"/>
      <c r="H683" s="402"/>
      <c r="I683" s="384"/>
      <c r="J683" s="402"/>
      <c r="K683" s="402"/>
    </row>
    <row r="684" spans="1:11">
      <c r="A684" s="384"/>
      <c r="B684" s="384"/>
      <c r="C684" s="384"/>
      <c r="H684" s="402"/>
      <c r="I684" s="384"/>
      <c r="J684" s="402"/>
      <c r="K684" s="402"/>
    </row>
    <row r="685" spans="1:11" ht="14.25">
      <c r="A685" s="385"/>
      <c r="B685" s="386" t="s">
        <v>309</v>
      </c>
      <c r="C685" s="384"/>
      <c r="D685" s="1261" t="s">
        <v>504</v>
      </c>
      <c r="E685" s="1261"/>
      <c r="F685" s="1261"/>
      <c r="H685" s="402"/>
      <c r="I685" s="384"/>
      <c r="J685" s="402"/>
      <c r="K685" s="402"/>
    </row>
    <row r="686" spans="1:11">
      <c r="A686" s="384"/>
      <c r="B686" s="384"/>
      <c r="C686" s="384"/>
      <c r="D686" s="1261" t="s">
        <v>505</v>
      </c>
      <c r="E686" s="1261"/>
      <c r="F686" s="1261"/>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ht="14.25">
      <c r="A690" s="385"/>
      <c r="B690" s="386" t="s">
        <v>309</v>
      </c>
      <c r="C690" s="384"/>
      <c r="D690" s="1263" t="s">
        <v>508</v>
      </c>
      <c r="E690" s="1263"/>
      <c r="F690" s="1263"/>
      <c r="H690" s="402"/>
      <c r="I690" s="384"/>
      <c r="J690" s="402"/>
      <c r="K690" s="402"/>
    </row>
    <row r="691" spans="1:11">
      <c r="A691" s="391"/>
      <c r="B691" s="391"/>
      <c r="C691" s="384"/>
      <c r="D691" s="1263"/>
      <c r="E691" s="1263"/>
      <c r="F691" s="1263"/>
      <c r="H691" s="402"/>
      <c r="I691" s="384"/>
      <c r="J691" s="402"/>
      <c r="K691" s="402"/>
    </row>
    <row r="692" spans="1:11">
      <c r="A692" s="384"/>
      <c r="B692" s="384"/>
      <c r="C692" s="384"/>
      <c r="D692" s="1263"/>
      <c r="E692" s="1263"/>
      <c r="F692" s="1263"/>
      <c r="H692" s="402"/>
      <c r="I692" s="384"/>
      <c r="J692" s="402"/>
      <c r="K692" s="402"/>
    </row>
    <row r="693" spans="1:11">
      <c r="A693" s="384"/>
      <c r="B693" s="384"/>
      <c r="C693" s="384"/>
      <c r="H693" s="402"/>
      <c r="J693" s="402"/>
      <c r="K693" s="402"/>
    </row>
    <row r="694" spans="1:11" ht="14.25">
      <c r="A694" s="385"/>
      <c r="B694" s="386" t="s">
        <v>309</v>
      </c>
      <c r="C694" s="384"/>
      <c r="D694" s="1261" t="s">
        <v>509</v>
      </c>
      <c r="E694" s="1261"/>
      <c r="F694" s="1261"/>
      <c r="H694" s="402"/>
      <c r="I694" s="384"/>
      <c r="J694" s="402"/>
      <c r="K694" s="402"/>
    </row>
    <row r="695" spans="1:11" ht="14.25">
      <c r="A695" s="385"/>
      <c r="B695" s="385"/>
      <c r="C695" s="384"/>
      <c r="D695" s="1261" t="s">
        <v>505</v>
      </c>
      <c r="E695" s="1261"/>
      <c r="F695" s="1261"/>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ht="14.25">
      <c r="A698" s="385"/>
      <c r="B698" s="386" t="s">
        <v>309</v>
      </c>
      <c r="C698" s="384"/>
      <c r="D698" s="1261" t="s">
        <v>511</v>
      </c>
      <c r="E698" s="1261"/>
      <c r="F698" s="1261"/>
      <c r="H698" s="402"/>
      <c r="I698" s="384"/>
      <c r="J698" s="402"/>
      <c r="K698" s="402"/>
    </row>
    <row r="699" spans="1:11" ht="14.25">
      <c r="A699" s="385"/>
      <c r="B699" s="385"/>
      <c r="C699" s="384"/>
      <c r="D699" s="1261" t="s">
        <v>505</v>
      </c>
      <c r="E699" s="1261"/>
      <c r="F699" s="1261"/>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ht="14.25">
      <c r="A702" s="385"/>
      <c r="B702" s="386" t="s">
        <v>309</v>
      </c>
      <c r="C702" s="384"/>
      <c r="D702" s="1263" t="s">
        <v>513</v>
      </c>
      <c r="E702" s="1263"/>
      <c r="F702" s="1263"/>
      <c r="H702" s="402"/>
      <c r="I702" s="384"/>
      <c r="J702" s="402"/>
      <c r="K702" s="402"/>
    </row>
    <row r="703" spans="1:11">
      <c r="A703" s="384"/>
      <c r="B703" s="384"/>
      <c r="C703" s="384"/>
      <c r="D703" s="1263"/>
      <c r="E703" s="1263"/>
      <c r="F703" s="1263"/>
      <c r="H703" s="402"/>
      <c r="I703" s="384"/>
      <c r="J703" s="402"/>
      <c r="K703" s="402"/>
    </row>
    <row r="704" spans="1:11">
      <c r="A704" s="384"/>
      <c r="B704" s="384"/>
      <c r="C704" s="384"/>
      <c r="D704" s="1263"/>
      <c r="E704" s="1263"/>
      <c r="F704" s="1263"/>
      <c r="H704" s="402"/>
      <c r="I704" s="384"/>
      <c r="J704" s="402"/>
      <c r="K704" s="402"/>
    </row>
    <row r="705" spans="1:11">
      <c r="A705" s="384"/>
      <c r="B705" s="384"/>
      <c r="C705" s="384"/>
      <c r="D705" s="1263"/>
      <c r="E705" s="1263"/>
      <c r="F705" s="1263"/>
      <c r="H705" s="402"/>
      <c r="I705" s="384"/>
      <c r="J705" s="402"/>
      <c r="K705" s="402"/>
    </row>
    <row r="706" spans="1:11">
      <c r="A706" s="384"/>
      <c r="B706" s="384"/>
      <c r="C706" s="384"/>
      <c r="D706" s="1263"/>
      <c r="E706" s="1263"/>
      <c r="F706" s="1263"/>
      <c r="H706" s="402"/>
      <c r="I706" s="384"/>
      <c r="J706" s="402"/>
      <c r="K706" s="402"/>
    </row>
    <row r="707" spans="1:11">
      <c r="A707" s="384"/>
      <c r="B707" s="384"/>
      <c r="C707" s="384"/>
      <c r="D707" s="1263"/>
      <c r="E707" s="1263"/>
      <c r="F707" s="1263"/>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63" t="s">
        <v>514</v>
      </c>
      <c r="E709" s="1263"/>
      <c r="F709" s="1263"/>
      <c r="H709" s="402"/>
      <c r="I709" s="384"/>
      <c r="J709" s="402"/>
      <c r="K709" s="402"/>
    </row>
    <row r="710" spans="1:11">
      <c r="A710" s="384"/>
      <c r="B710" s="384"/>
      <c r="C710" s="384"/>
      <c r="D710" s="1263"/>
      <c r="E710" s="1263"/>
      <c r="F710" s="1263"/>
      <c r="H710" s="402"/>
      <c r="I710" s="384"/>
      <c r="J710" s="402"/>
      <c r="K710" s="402"/>
    </row>
    <row r="711" spans="1:11">
      <c r="A711" s="384"/>
      <c r="B711" s="384"/>
      <c r="C711" s="384"/>
      <c r="D711" s="347"/>
      <c r="E711" s="347"/>
      <c r="F711" s="347"/>
      <c r="H711" s="402"/>
      <c r="I711" s="384"/>
      <c r="J711" s="402"/>
      <c r="K711" s="402"/>
    </row>
    <row r="712" spans="1:11" ht="14.25">
      <c r="A712" s="385"/>
      <c r="B712" s="386" t="s">
        <v>309</v>
      </c>
      <c r="C712" s="384"/>
      <c r="D712" s="1263" t="s">
        <v>515</v>
      </c>
      <c r="E712" s="1263"/>
      <c r="F712" s="1263"/>
      <c r="H712" s="402"/>
      <c r="I712" s="384"/>
      <c r="J712" s="402"/>
      <c r="K712" s="402"/>
    </row>
    <row r="713" spans="1:11">
      <c r="A713" s="384"/>
      <c r="B713" s="384"/>
      <c r="C713" s="384"/>
      <c r="D713" s="1263"/>
      <c r="E713" s="1263"/>
      <c r="F713" s="1263"/>
      <c r="H713" s="402"/>
      <c r="I713" s="384"/>
      <c r="J713" s="402"/>
      <c r="K713" s="402"/>
    </row>
    <row r="714" spans="1:11">
      <c r="A714" s="384"/>
      <c r="B714" s="384"/>
      <c r="C714" s="384"/>
      <c r="D714" s="1263"/>
      <c r="E714" s="1263"/>
      <c r="F714" s="1263"/>
      <c r="H714" s="402"/>
      <c r="I714" s="384"/>
      <c r="J714" s="402"/>
      <c r="K714" s="402"/>
    </row>
    <row r="715" spans="1:11" ht="15" customHeight="1">
      <c r="A715" s="384"/>
      <c r="B715" s="384"/>
      <c r="C715" s="384"/>
      <c r="D715" s="1263"/>
      <c r="E715" s="1263"/>
      <c r="F715" s="1263"/>
      <c r="H715" s="402"/>
      <c r="I715" s="384"/>
      <c r="J715" s="402"/>
      <c r="K715" s="402"/>
    </row>
    <row r="716" spans="1:11" ht="15" customHeight="1">
      <c r="A716" s="384"/>
      <c r="B716" s="384"/>
      <c r="C716" s="384"/>
      <c r="D716" s="1263"/>
      <c r="E716" s="1263"/>
      <c r="F716" s="1263"/>
      <c r="H716" s="402"/>
      <c r="I716" s="384"/>
      <c r="J716" s="402"/>
      <c r="K716" s="402"/>
    </row>
    <row r="717" spans="1:11">
      <c r="A717" s="384"/>
      <c r="B717" s="384"/>
      <c r="C717" s="384"/>
      <c r="D717" s="1263"/>
      <c r="E717" s="1263"/>
      <c r="F717" s="1263"/>
      <c r="H717" s="402"/>
      <c r="I717" s="384"/>
      <c r="J717" s="402"/>
      <c r="K717" s="402"/>
    </row>
    <row r="718" spans="1:11">
      <c r="A718" s="384"/>
      <c r="B718" s="384"/>
      <c r="C718" s="384"/>
      <c r="D718" s="1263"/>
      <c r="E718" s="1263"/>
      <c r="F718" s="1263"/>
      <c r="H718" s="402"/>
      <c r="I718" s="384"/>
      <c r="J718" s="402"/>
      <c r="K718" s="402"/>
    </row>
    <row r="719" spans="1:11">
      <c r="A719" s="384"/>
      <c r="B719" s="384"/>
      <c r="C719" s="384"/>
      <c r="D719" s="1263"/>
      <c r="E719" s="1263"/>
      <c r="F719" s="1263"/>
      <c r="H719" s="402"/>
      <c r="I719" s="384"/>
      <c r="J719" s="402"/>
      <c r="K719" s="402"/>
    </row>
    <row r="720" spans="1:11" ht="15" customHeight="1">
      <c r="A720" s="384"/>
      <c r="B720" s="384"/>
      <c r="C720" s="384"/>
      <c r="D720" s="1263"/>
      <c r="E720" s="1263"/>
      <c r="F720" s="1263"/>
      <c r="H720" s="402"/>
      <c r="I720" s="384"/>
      <c r="J720" s="402"/>
      <c r="K720" s="402"/>
    </row>
    <row r="721" spans="1:11">
      <c r="A721" s="384"/>
      <c r="B721" s="384"/>
      <c r="C721" s="384"/>
      <c r="D721" s="1263"/>
      <c r="E721" s="1263"/>
      <c r="F721" s="1263"/>
      <c r="H721" s="402"/>
      <c r="I721" s="384"/>
      <c r="J721" s="402"/>
      <c r="K721" s="402"/>
    </row>
    <row r="722" spans="1:11">
      <c r="A722" s="384"/>
      <c r="B722" s="384"/>
      <c r="C722" s="384"/>
      <c r="D722" s="1263"/>
      <c r="E722" s="1263"/>
      <c r="F722" s="1263"/>
      <c r="H722" s="402"/>
      <c r="I722" s="384"/>
      <c r="J722" s="402"/>
      <c r="K722" s="402"/>
    </row>
    <row r="723" spans="1:11">
      <c r="A723" s="384"/>
      <c r="B723" s="384"/>
      <c r="C723" s="384"/>
      <c r="D723" s="1263"/>
      <c r="E723" s="1263"/>
      <c r="F723" s="1263"/>
      <c r="H723" s="402"/>
      <c r="I723" s="384"/>
      <c r="J723" s="402"/>
      <c r="K723" s="402"/>
    </row>
    <row r="724" spans="1:11">
      <c r="A724" s="384"/>
      <c r="B724" s="384"/>
      <c r="C724" s="384"/>
      <c r="D724" s="1263"/>
      <c r="E724" s="1263"/>
      <c r="F724" s="1263"/>
      <c r="H724" s="402"/>
      <c r="I724" s="384"/>
      <c r="J724" s="402"/>
      <c r="K724" s="402"/>
    </row>
    <row r="725" spans="1:11">
      <c r="A725" s="384"/>
      <c r="B725" s="386" t="s">
        <v>309</v>
      </c>
      <c r="C725" s="384"/>
      <c r="D725" s="1263" t="s">
        <v>516</v>
      </c>
      <c r="E725" s="1263"/>
      <c r="F725" s="1263"/>
      <c r="H725" s="402"/>
      <c r="I725" s="384"/>
      <c r="J725" s="402"/>
      <c r="K725" s="402"/>
    </row>
    <row r="726" spans="1:11">
      <c r="A726" s="384"/>
      <c r="B726" s="384"/>
      <c r="C726" s="384"/>
      <c r="D726" s="1263"/>
      <c r="E726" s="1263"/>
      <c r="F726" s="1263"/>
      <c r="H726" s="402"/>
      <c r="I726" s="384"/>
      <c r="J726" s="402"/>
      <c r="K726" s="402"/>
    </row>
    <row r="727" spans="1:11">
      <c r="A727" s="384"/>
      <c r="B727" s="384"/>
      <c r="C727" s="384"/>
      <c r="D727" s="1263"/>
      <c r="E727" s="1263"/>
      <c r="F727" s="1263"/>
      <c r="H727" s="402"/>
      <c r="I727" s="384"/>
      <c r="J727" s="402"/>
      <c r="K727" s="402"/>
    </row>
    <row r="728" spans="1:11">
      <c r="A728" s="384"/>
      <c r="B728" s="384"/>
      <c r="C728" s="384"/>
      <c r="D728" s="347"/>
      <c r="E728" s="347"/>
      <c r="F728" s="347"/>
      <c r="H728" s="402"/>
      <c r="I728" s="384"/>
      <c r="J728" s="402"/>
      <c r="K728" s="402"/>
    </row>
    <row r="729" spans="1:11">
      <c r="A729" s="384"/>
      <c r="B729" s="386" t="s">
        <v>309</v>
      </c>
      <c r="C729" s="384"/>
      <c r="D729" s="1263" t="s">
        <v>517</v>
      </c>
      <c r="E729" s="1263"/>
      <c r="F729" s="1263"/>
      <c r="H729" s="402"/>
      <c r="I729" s="384"/>
      <c r="J729" s="402"/>
      <c r="K729" s="402"/>
    </row>
    <row r="730" spans="1:11">
      <c r="A730" s="384"/>
      <c r="B730" s="384"/>
      <c r="C730" s="384"/>
      <c r="D730" s="1263"/>
      <c r="E730" s="1263"/>
      <c r="F730" s="1263"/>
      <c r="H730" s="402"/>
      <c r="I730" s="384"/>
      <c r="J730" s="402"/>
      <c r="K730" s="402"/>
    </row>
    <row r="731" spans="1:11">
      <c r="A731" s="384"/>
      <c r="B731" s="384"/>
      <c r="C731" s="384"/>
      <c r="D731" s="1263"/>
      <c r="E731" s="1263"/>
      <c r="F731" s="1263"/>
      <c r="H731" s="402"/>
      <c r="I731" s="384"/>
      <c r="J731" s="402"/>
      <c r="K731" s="402"/>
    </row>
    <row r="732" spans="1:11">
      <c r="A732" s="384"/>
      <c r="B732" s="384"/>
      <c r="C732" s="384"/>
      <c r="H732" s="402"/>
      <c r="I732" s="384"/>
      <c r="J732" s="402"/>
      <c r="K732" s="402"/>
    </row>
    <row r="733" spans="1:11">
      <c r="A733" s="384"/>
      <c r="B733" s="386" t="s">
        <v>309</v>
      </c>
      <c r="C733" s="384"/>
      <c r="D733" s="1263" t="s">
        <v>518</v>
      </c>
      <c r="E733" s="1263"/>
      <c r="F733" s="1263"/>
      <c r="H733" s="402"/>
      <c r="I733" s="384"/>
      <c r="J733" s="402"/>
      <c r="K733" s="402"/>
    </row>
    <row r="734" spans="1:11">
      <c r="A734" s="384"/>
      <c r="B734" s="384"/>
      <c r="C734" s="384"/>
      <c r="D734" s="1263"/>
      <c r="E734" s="1263"/>
      <c r="F734" s="1263"/>
      <c r="H734" s="402"/>
      <c r="I734" s="384"/>
      <c r="J734" s="402"/>
      <c r="K734" s="402"/>
    </row>
    <row r="735" spans="1:11">
      <c r="A735" s="384"/>
      <c r="B735" s="384"/>
      <c r="C735" s="384"/>
      <c r="D735" s="1263"/>
      <c r="E735" s="1263"/>
      <c r="F735" s="1263"/>
      <c r="H735" s="402"/>
      <c r="I735" s="384"/>
      <c r="J735" s="402"/>
      <c r="K735" s="402"/>
    </row>
    <row r="736" spans="1:11">
      <c r="A736" s="384"/>
      <c r="B736" s="384"/>
      <c r="C736" s="384"/>
      <c r="D736" s="1263"/>
      <c r="E736" s="1263"/>
      <c r="F736" s="1263"/>
      <c r="H736" s="402"/>
      <c r="I736" s="384"/>
      <c r="J736" s="402"/>
      <c r="K736" s="402"/>
    </row>
    <row r="737" spans="1:11">
      <c r="A737" s="384"/>
      <c r="B737" s="384"/>
      <c r="C737" s="384"/>
      <c r="H737" s="402"/>
      <c r="I737" s="384"/>
      <c r="J737" s="402"/>
      <c r="K737" s="402"/>
    </row>
    <row r="738" spans="1:11" ht="14.25">
      <c r="A738" s="385"/>
      <c r="B738" s="386" t="s">
        <v>309</v>
      </c>
      <c r="C738" s="384"/>
      <c r="D738" s="1263" t="s">
        <v>519</v>
      </c>
      <c r="E738" s="1263"/>
      <c r="F738" s="1263"/>
      <c r="H738" s="402"/>
      <c r="I738" s="384"/>
      <c r="J738" s="402"/>
      <c r="K738" s="402"/>
    </row>
    <row r="739" spans="1:11">
      <c r="A739" s="384"/>
      <c r="B739" s="384"/>
      <c r="C739" s="384"/>
      <c r="D739" s="1263"/>
      <c r="E739" s="1263"/>
      <c r="F739" s="1263"/>
      <c r="H739" s="402"/>
      <c r="I739" s="384"/>
      <c r="J739" s="402"/>
      <c r="K739" s="402"/>
    </row>
    <row r="740" spans="1:11">
      <c r="A740" s="384"/>
      <c r="B740" s="384"/>
      <c r="C740" s="384"/>
      <c r="D740" s="1263"/>
      <c r="E740" s="1263"/>
      <c r="F740" s="1263"/>
      <c r="H740" s="402"/>
      <c r="I740" s="384"/>
      <c r="J740" s="402"/>
      <c r="K740" s="402"/>
    </row>
    <row r="741" spans="1:11">
      <c r="A741" s="384"/>
      <c r="B741" s="384"/>
      <c r="C741" s="384"/>
      <c r="D741" s="1263"/>
      <c r="E741" s="1263"/>
      <c r="F741" s="1263"/>
      <c r="H741" s="402"/>
      <c r="I741" s="384"/>
      <c r="J741" s="402"/>
      <c r="K741" s="402"/>
    </row>
    <row r="742" spans="1:11">
      <c r="A742" s="384"/>
      <c r="B742" s="384"/>
      <c r="C742" s="384"/>
      <c r="D742" s="1263"/>
      <c r="E742" s="1263"/>
      <c r="F742" s="1263"/>
      <c r="H742" s="402"/>
      <c r="I742" s="384"/>
      <c r="J742" s="402"/>
      <c r="K742" s="402"/>
    </row>
    <row r="743" spans="1:11">
      <c r="A743" s="384"/>
      <c r="B743" s="384"/>
      <c r="C743" s="384"/>
      <c r="D743" s="393"/>
      <c r="H743" s="402"/>
      <c r="I743" s="384"/>
      <c r="J743" s="402"/>
      <c r="K743" s="402"/>
    </row>
    <row r="744" spans="1:11" ht="14.25">
      <c r="A744" s="385"/>
      <c r="B744" s="386" t="s">
        <v>309</v>
      </c>
      <c r="C744" s="384"/>
      <c r="D744" s="1263" t="s">
        <v>520</v>
      </c>
      <c r="E744" s="1263"/>
      <c r="F744" s="1263"/>
      <c r="H744" s="402"/>
      <c r="I744" s="384"/>
      <c r="J744" s="402"/>
      <c r="K744" s="402"/>
    </row>
    <row r="745" spans="1:11">
      <c r="A745" s="384"/>
      <c r="B745" s="384"/>
      <c r="C745" s="384"/>
      <c r="D745" s="1263"/>
      <c r="E745" s="1263"/>
      <c r="F745" s="1263"/>
      <c r="H745" s="402"/>
      <c r="I745" s="384"/>
      <c r="J745" s="402"/>
      <c r="K745" s="402"/>
    </row>
    <row r="746" spans="1:11">
      <c r="A746" s="384"/>
      <c r="B746" s="384"/>
      <c r="C746" s="384"/>
      <c r="D746" s="1263"/>
      <c r="E746" s="1263"/>
      <c r="F746" s="1263"/>
      <c r="H746" s="402"/>
      <c r="I746" s="384"/>
      <c r="J746" s="402"/>
      <c r="K746" s="402"/>
    </row>
    <row r="747" spans="1:11">
      <c r="A747" s="384"/>
      <c r="B747" s="384"/>
      <c r="C747" s="384"/>
      <c r="D747" s="1263"/>
      <c r="E747" s="1263"/>
      <c r="F747" s="1263"/>
      <c r="H747" s="402"/>
      <c r="I747" s="384"/>
      <c r="J747" s="402"/>
      <c r="K747" s="402"/>
    </row>
    <row r="748" spans="1:11">
      <c r="A748" s="384"/>
      <c r="B748" s="384"/>
      <c r="C748" s="384"/>
      <c r="D748" s="1263"/>
      <c r="E748" s="1263"/>
      <c r="F748" s="1263"/>
      <c r="H748" s="402"/>
      <c r="I748" s="384"/>
      <c r="J748" s="402"/>
      <c r="K748" s="402"/>
    </row>
    <row r="749" spans="1:11">
      <c r="A749" s="384"/>
      <c r="B749" s="384"/>
      <c r="C749" s="384"/>
      <c r="D749" s="1263"/>
      <c r="E749" s="1263"/>
      <c r="F749" s="1263"/>
      <c r="H749" s="402"/>
      <c r="I749" s="384"/>
      <c r="J749" s="402"/>
      <c r="K749" s="402"/>
    </row>
    <row r="750" spans="1:11">
      <c r="A750" s="384"/>
      <c r="B750" s="384"/>
      <c r="C750" s="384"/>
      <c r="D750" s="1263"/>
      <c r="E750" s="1263"/>
      <c r="F750" s="1263"/>
      <c r="H750" s="402"/>
      <c r="I750" s="384"/>
      <c r="J750" s="402"/>
      <c r="K750" s="402"/>
    </row>
    <row r="751" spans="1:11">
      <c r="A751" s="384"/>
      <c r="B751" s="384"/>
      <c r="C751" s="384"/>
      <c r="D751" s="1264" t="s">
        <v>521</v>
      </c>
      <c r="E751" s="1264"/>
      <c r="F751" s="1264"/>
      <c r="H751" s="402"/>
      <c r="I751" s="384"/>
      <c r="J751" s="402"/>
      <c r="K751" s="402"/>
    </row>
    <row r="752" spans="1:11">
      <c r="A752" s="384"/>
      <c r="B752" s="384"/>
      <c r="C752" s="384"/>
      <c r="D752" s="244"/>
      <c r="H752" s="402"/>
      <c r="I752" s="384"/>
      <c r="J752" s="402"/>
      <c r="K752" s="402"/>
    </row>
    <row r="753" spans="1:11">
      <c r="A753" s="1262" t="s">
        <v>522</v>
      </c>
      <c r="B753" s="1262"/>
      <c r="C753" s="1262"/>
      <c r="D753" s="1262"/>
      <c r="E753" s="1262"/>
      <c r="F753" s="1262"/>
      <c r="G753" s="1262"/>
      <c r="H753" s="921"/>
      <c r="I753" s="1046"/>
      <c r="J753" s="402"/>
      <c r="K753" s="402"/>
    </row>
    <row r="754" spans="1:11">
      <c r="A754" s="384"/>
      <c r="B754" s="384"/>
      <c r="C754" s="384"/>
      <c r="D754" s="393"/>
      <c r="G754" s="402"/>
      <c r="H754" s="402"/>
      <c r="I754" s="384"/>
      <c r="J754" s="402"/>
      <c r="K754" s="402"/>
    </row>
    <row r="755" spans="1:11" ht="13.9" customHeight="1">
      <c r="C755" s="384"/>
      <c r="D755" s="1279" t="s">
        <v>523</v>
      </c>
      <c r="E755" s="1279"/>
      <c r="F755" s="1279"/>
      <c r="G755" s="402"/>
      <c r="H755" s="402"/>
      <c r="I755" s="384"/>
      <c r="J755" s="402"/>
      <c r="K755" s="402"/>
    </row>
    <row r="756" spans="1:11">
      <c r="A756" s="384"/>
      <c r="B756" s="384"/>
      <c r="C756" s="384"/>
      <c r="D756" s="1265" t="s">
        <v>524</v>
      </c>
      <c r="E756" s="1265"/>
      <c r="F756" s="1265"/>
      <c r="G756" s="402"/>
      <c r="H756" s="402"/>
      <c r="I756" s="384"/>
      <c r="J756" s="402"/>
      <c r="K756" s="402"/>
    </row>
    <row r="757" spans="1:11">
      <c r="A757" s="384"/>
      <c r="B757" s="384"/>
      <c r="C757" s="384"/>
      <c r="G757" s="402"/>
      <c r="H757" s="402"/>
      <c r="I757" s="384"/>
      <c r="J757" s="402"/>
      <c r="K757" s="402"/>
    </row>
    <row r="758" spans="1:11" ht="14.25">
      <c r="A758" s="385"/>
      <c r="B758" s="386" t="s">
        <v>309</v>
      </c>
      <c r="D758" s="1263" t="s">
        <v>525</v>
      </c>
      <c r="E758" s="1263"/>
      <c r="F758" s="1263"/>
      <c r="G758" s="402"/>
      <c r="H758" s="402"/>
      <c r="I758" s="384"/>
      <c r="J758" s="402"/>
      <c r="K758" s="402"/>
    </row>
    <row r="759" spans="1:11" ht="10.5" customHeight="1">
      <c r="D759" s="1263"/>
      <c r="E759" s="1263"/>
      <c r="F759" s="1263"/>
      <c r="G759" s="402"/>
      <c r="H759" s="402"/>
      <c r="I759" s="384"/>
      <c r="J759" s="402"/>
      <c r="K759" s="402"/>
    </row>
    <row r="760" spans="1:11">
      <c r="D760" s="1263"/>
      <c r="E760" s="1263"/>
      <c r="F760" s="1263"/>
      <c r="G760" s="402"/>
      <c r="H760" s="402"/>
      <c r="I760" s="384"/>
      <c r="J760" s="402"/>
      <c r="K760" s="402"/>
    </row>
    <row r="761" spans="1:11">
      <c r="D761" s="1263"/>
      <c r="E761" s="1263"/>
      <c r="F761" s="1263"/>
      <c r="G761" s="402"/>
      <c r="H761" s="402"/>
      <c r="I761" s="384"/>
      <c r="J761" s="402"/>
      <c r="K761" s="402"/>
    </row>
    <row r="762" spans="1:11">
      <c r="D762" s="1263"/>
      <c r="E762" s="1263"/>
      <c r="F762" s="1263"/>
      <c r="G762" s="402"/>
      <c r="H762" s="402"/>
      <c r="I762" s="384"/>
      <c r="J762" s="402"/>
      <c r="K762" s="402"/>
    </row>
    <row r="763" spans="1:11" ht="15.75" customHeight="1">
      <c r="D763" s="1263"/>
      <c r="E763" s="1263"/>
      <c r="F763" s="1263"/>
      <c r="G763" s="402"/>
      <c r="H763" s="402"/>
      <c r="I763" s="384"/>
      <c r="J763" s="402"/>
      <c r="K763" s="402"/>
    </row>
    <row r="764" spans="1:11">
      <c r="D764" s="400"/>
      <c r="E764" s="348"/>
      <c r="F764" s="348"/>
      <c r="G764" s="402"/>
      <c r="H764" s="402"/>
      <c r="I764" s="384"/>
      <c r="J764" s="402"/>
      <c r="K764" s="402"/>
    </row>
    <row r="765" spans="1:11" s="406" customFormat="1" ht="14.25">
      <c r="A765" s="404"/>
      <c r="B765" s="386" t="s">
        <v>309</v>
      </c>
      <c r="C765" s="405"/>
      <c r="D765" s="1263" t="s">
        <v>526</v>
      </c>
      <c r="E765" s="1263"/>
      <c r="F765" s="1263"/>
      <c r="I765" s="1047"/>
    </row>
    <row r="766" spans="1:11" s="406" customFormat="1">
      <c r="A766" s="405"/>
      <c r="B766" s="405"/>
      <c r="C766" s="405"/>
      <c r="D766" s="1263"/>
      <c r="E766" s="1263"/>
      <c r="F766" s="1263"/>
      <c r="I766" s="1047"/>
    </row>
    <row r="767" spans="1:11" s="406" customFormat="1">
      <c r="A767" s="405"/>
      <c r="B767" s="405"/>
      <c r="C767" s="405"/>
      <c r="D767" s="1263"/>
      <c r="E767" s="1263"/>
      <c r="F767" s="1263"/>
      <c r="I767" s="1047"/>
    </row>
    <row r="768" spans="1:11" s="406" customFormat="1">
      <c r="A768" s="405"/>
      <c r="B768" s="405"/>
      <c r="C768" s="405"/>
      <c r="D768" s="1263"/>
      <c r="E768" s="1263"/>
      <c r="F768" s="1263"/>
      <c r="I768" s="1047"/>
    </row>
    <row r="769" spans="1:11" s="406" customFormat="1">
      <c r="A769" s="405"/>
      <c r="B769" s="405"/>
      <c r="C769" s="405"/>
      <c r="D769" s="400"/>
      <c r="I769" s="1047"/>
    </row>
    <row r="770" spans="1:11" s="406" customFormat="1" ht="14.25">
      <c r="A770" s="385"/>
      <c r="B770" s="386" t="s">
        <v>309</v>
      </c>
      <c r="C770" s="405"/>
      <c r="D770" s="1269" t="s">
        <v>527</v>
      </c>
      <c r="E770" s="1269"/>
      <c r="F770" s="1269"/>
      <c r="I770" s="1047"/>
    </row>
    <row r="771" spans="1:11" s="406" customFormat="1">
      <c r="A771" s="405"/>
      <c r="B771" s="405"/>
      <c r="C771" s="405"/>
      <c r="D771" s="1269"/>
      <c r="E771" s="1269"/>
      <c r="F771" s="1269"/>
      <c r="I771" s="1047"/>
    </row>
    <row r="772" spans="1:11" s="406" customFormat="1">
      <c r="A772" s="405"/>
      <c r="B772" s="405"/>
      <c r="C772" s="405"/>
      <c r="D772" s="1269"/>
      <c r="E772" s="1269"/>
      <c r="F772" s="1269"/>
      <c r="I772" s="1047"/>
    </row>
    <row r="773" spans="1:11">
      <c r="D773" s="400"/>
      <c r="E773" s="348"/>
      <c r="F773" s="348"/>
      <c r="G773" s="402"/>
      <c r="H773" s="402"/>
      <c r="I773" s="384"/>
      <c r="J773" s="402"/>
      <c r="K773" s="402"/>
    </row>
    <row r="774" spans="1:11" ht="14.25">
      <c r="A774" s="385"/>
      <c r="B774" s="386" t="s">
        <v>309</v>
      </c>
      <c r="D774" s="1263" t="s">
        <v>528</v>
      </c>
      <c r="E774" s="1263"/>
      <c r="F774" s="1263"/>
      <c r="G774" s="402"/>
      <c r="H774" s="402"/>
      <c r="I774" s="384"/>
      <c r="J774" s="402"/>
      <c r="K774" s="402"/>
    </row>
    <row r="775" spans="1:11">
      <c r="D775" s="1263"/>
      <c r="E775" s="1263"/>
      <c r="F775" s="1263"/>
      <c r="G775" s="402"/>
      <c r="H775" s="402"/>
      <c r="I775" s="384"/>
      <c r="J775" s="402"/>
      <c r="K775" s="402"/>
    </row>
    <row r="776" spans="1:11">
      <c r="D776" s="347"/>
      <c r="E776" s="347"/>
      <c r="F776" s="347"/>
      <c r="G776" s="402"/>
      <c r="H776" s="402"/>
      <c r="I776" s="384"/>
      <c r="J776" s="402"/>
      <c r="K776" s="402"/>
    </row>
    <row r="777" spans="1:11">
      <c r="B777" s="386" t="s">
        <v>309</v>
      </c>
      <c r="D777" s="1263" t="s">
        <v>529</v>
      </c>
      <c r="E777" s="1263"/>
      <c r="F777" s="1263"/>
      <c r="G777" s="402"/>
      <c r="H777" s="402"/>
      <c r="I777" s="384"/>
      <c r="J777" s="402"/>
      <c r="K777" s="402"/>
    </row>
    <row r="778" spans="1:11">
      <c r="D778" s="1263"/>
      <c r="E778" s="1263"/>
      <c r="F778" s="1263"/>
      <c r="G778" s="402"/>
      <c r="H778" s="402"/>
      <c r="I778" s="384"/>
      <c r="J778" s="402"/>
      <c r="K778" s="402"/>
    </row>
    <row r="779" spans="1:11">
      <c r="D779" s="1263"/>
      <c r="E779" s="1263"/>
      <c r="F779" s="1263"/>
      <c r="G779" s="402"/>
      <c r="H779" s="402"/>
      <c r="I779" s="384"/>
      <c r="J779" s="402"/>
      <c r="K779" s="402"/>
    </row>
    <row r="780" spans="1:11">
      <c r="D780" s="347"/>
      <c r="E780" s="347"/>
      <c r="F780" s="347"/>
      <c r="G780" s="402"/>
      <c r="H780" s="402"/>
      <c r="I780" s="384"/>
      <c r="J780" s="402"/>
      <c r="K780" s="402"/>
    </row>
    <row r="781" spans="1:11">
      <c r="A781" s="1278" t="s">
        <v>530</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531</v>
      </c>
      <c r="E783" s="1277"/>
      <c r="F783" s="1277"/>
      <c r="G783" s="3"/>
      <c r="I783" s="391"/>
    </row>
    <row r="784" spans="1:11">
      <c r="A784" s="49"/>
      <c r="B784" s="49"/>
      <c r="C784" s="257"/>
      <c r="D784" s="1280" t="s">
        <v>532</v>
      </c>
      <c r="E784" s="1280"/>
      <c r="F784" s="1280"/>
      <c r="G784" s="3"/>
      <c r="I784" s="391"/>
    </row>
    <row r="785" spans="1:9">
      <c r="A785" s="49"/>
      <c r="B785" s="49"/>
      <c r="C785" s="257"/>
      <c r="D785" s="349"/>
      <c r="E785" s="349"/>
      <c r="F785" s="349"/>
      <c r="G785" s="3"/>
      <c r="I785" s="391"/>
    </row>
    <row r="786" spans="1:9">
      <c r="A786" s="49"/>
      <c r="B786" s="386" t="s">
        <v>309</v>
      </c>
      <c r="C786" s="257"/>
      <c r="D786" s="1256" t="s">
        <v>533</v>
      </c>
      <c r="E786" s="1256"/>
      <c r="F786" s="1256"/>
      <c r="G786" s="3"/>
      <c r="I786" s="384"/>
    </row>
    <row r="787" spans="1:9">
      <c r="A787" s="49"/>
      <c r="B787" s="49"/>
      <c r="C787" s="257"/>
      <c r="D787" s="1256"/>
      <c r="E787" s="1256"/>
      <c r="F787" s="1256"/>
      <c r="G787" s="3"/>
      <c r="I787" s="391"/>
    </row>
    <row r="788" spans="1:9">
      <c r="A788" s="121"/>
      <c r="B788" s="121"/>
      <c r="C788" s="121"/>
      <c r="D788" s="1256"/>
      <c r="E788" s="1256"/>
      <c r="F788" s="1256"/>
      <c r="G788" s="84"/>
      <c r="I788" s="391"/>
    </row>
    <row r="789" spans="1:9">
      <c r="A789" s="257"/>
      <c r="B789" s="257"/>
      <c r="C789" s="257"/>
      <c r="D789" s="120"/>
      <c r="E789" s="3"/>
      <c r="F789" s="3"/>
      <c r="G789" s="3"/>
      <c r="I789" s="391"/>
    </row>
    <row r="790" spans="1:9">
      <c r="A790" s="119"/>
      <c r="B790" s="386" t="s">
        <v>309</v>
      </c>
      <c r="C790" s="119"/>
      <c r="D790" s="1256" t="s">
        <v>534</v>
      </c>
      <c r="E790" s="1256"/>
      <c r="F790" s="1256"/>
      <c r="G790" s="3"/>
      <c r="I790" s="384"/>
    </row>
    <row r="791" spans="1:9">
      <c r="A791" s="119"/>
      <c r="B791" s="119"/>
      <c r="C791" s="119"/>
      <c r="D791" s="1256"/>
      <c r="E791" s="1256"/>
      <c r="F791" s="1256"/>
      <c r="G791" s="3"/>
      <c r="I791" s="391"/>
    </row>
    <row r="792" spans="1:9">
      <c r="A792" s="119"/>
      <c r="B792" s="119"/>
      <c r="C792" s="119"/>
      <c r="D792" s="1256"/>
      <c r="E792" s="1256"/>
      <c r="F792" s="1256"/>
      <c r="G792" s="3"/>
      <c r="I792" s="391"/>
    </row>
    <row r="793" spans="1:9">
      <c r="A793" s="121"/>
      <c r="B793" s="121"/>
      <c r="C793" s="121"/>
      <c r="D793" s="3"/>
      <c r="E793" s="882"/>
      <c r="F793" s="882"/>
      <c r="G793" s="882"/>
      <c r="I793" s="391"/>
    </row>
    <row r="794" spans="1:9" ht="14.25">
      <c r="A794" s="122"/>
      <c r="B794" s="386" t="s">
        <v>309</v>
      </c>
      <c r="C794" s="883"/>
      <c r="D794" s="1256" t="s">
        <v>535</v>
      </c>
      <c r="E794" s="1256"/>
      <c r="F794" s="1256"/>
      <c r="G794" s="882"/>
      <c r="I794" s="384"/>
    </row>
    <row r="795" spans="1:9" ht="14.25">
      <c r="A795" s="122"/>
      <c r="B795" s="122"/>
      <c r="C795" s="883"/>
      <c r="D795" s="1256"/>
      <c r="E795" s="1256"/>
      <c r="F795" s="1256"/>
      <c r="G795" s="882"/>
      <c r="I795" s="391"/>
    </row>
    <row r="796" spans="1:9" ht="14.25">
      <c r="A796" s="122"/>
      <c r="B796" s="122"/>
      <c r="C796" s="883"/>
      <c r="D796" s="1256"/>
      <c r="E796" s="1256"/>
      <c r="F796" s="1256"/>
      <c r="G796" s="882"/>
      <c r="I796" s="391"/>
    </row>
    <row r="797" spans="1:9" ht="14.25">
      <c r="A797" s="122"/>
      <c r="B797" s="122"/>
      <c r="C797" s="883"/>
      <c r="D797" s="84"/>
      <c r="E797" s="3"/>
      <c r="F797" s="3"/>
      <c r="G797" s="882"/>
      <c r="I797" s="391"/>
    </row>
    <row r="798" spans="1:9" ht="14.25">
      <c r="A798" s="122"/>
      <c r="B798" s="386" t="s">
        <v>309</v>
      </c>
      <c r="C798" s="883"/>
      <c r="D798" s="1256" t="s">
        <v>536</v>
      </c>
      <c r="E798" s="1256"/>
      <c r="F798" s="1256"/>
      <c r="G798" s="882"/>
      <c r="I798" s="384"/>
    </row>
    <row r="799" spans="1:9" ht="14.25">
      <c r="A799" s="122"/>
      <c r="B799" s="122"/>
      <c r="C799" s="883"/>
      <c r="D799" s="1256"/>
      <c r="E799" s="1256"/>
      <c r="F799" s="1256"/>
      <c r="G799" s="882"/>
      <c r="I799" s="391"/>
    </row>
    <row r="800" spans="1:9" ht="14.25">
      <c r="A800" s="122"/>
      <c r="B800" s="122"/>
      <c r="C800" s="883"/>
      <c r="D800" s="1256"/>
      <c r="E800" s="1256"/>
      <c r="F800" s="1256"/>
      <c r="G800" s="882"/>
      <c r="I800" s="391"/>
    </row>
    <row r="801" spans="1:9" ht="14.25">
      <c r="A801" s="122"/>
      <c r="B801" s="122"/>
      <c r="C801" s="883"/>
      <c r="D801" s="1256"/>
      <c r="E801" s="1256"/>
      <c r="F801" s="1256"/>
      <c r="G801" s="882"/>
      <c r="I801" s="391"/>
    </row>
    <row r="802" spans="1:9" ht="14.25">
      <c r="A802" s="122"/>
      <c r="B802" s="122"/>
      <c r="C802" s="883"/>
      <c r="D802" s="1256"/>
      <c r="E802" s="1256"/>
      <c r="F802" s="1256"/>
      <c r="G802" s="882"/>
      <c r="I802" s="391"/>
    </row>
    <row r="803" spans="1:9" ht="14.25">
      <c r="A803" s="122"/>
      <c r="B803" s="122"/>
      <c r="C803" s="883"/>
      <c r="D803" s="1256"/>
      <c r="E803" s="1256"/>
      <c r="F803" s="1256"/>
      <c r="G803" s="882"/>
      <c r="I803" s="391"/>
    </row>
    <row r="804" spans="1:9" ht="14.25">
      <c r="A804" s="122"/>
      <c r="B804" s="122"/>
      <c r="C804" s="883"/>
      <c r="D804" s="1256" t="s">
        <v>537</v>
      </c>
      <c r="E804" s="1256"/>
      <c r="F804" s="1256"/>
      <c r="G804" s="882"/>
      <c r="I804" s="391"/>
    </row>
    <row r="805" spans="1:9" ht="14.25">
      <c r="A805" s="122"/>
      <c r="B805" s="122"/>
      <c r="C805" s="883"/>
      <c r="D805" s="1256"/>
      <c r="E805" s="1256"/>
      <c r="F805" s="1256"/>
      <c r="G805" s="882"/>
      <c r="I805" s="391"/>
    </row>
    <row r="806" spans="1:9" ht="14.25">
      <c r="A806" s="122"/>
      <c r="B806" s="122"/>
      <c r="C806" s="883"/>
      <c r="D806" s="1256"/>
      <c r="E806" s="1256"/>
      <c r="F806" s="1256"/>
      <c r="G806" s="882"/>
      <c r="I806" s="391"/>
    </row>
    <row r="807" spans="1:9" ht="14.25">
      <c r="A807" s="122"/>
      <c r="B807" s="257"/>
      <c r="C807" s="883"/>
      <c r="D807" s="884"/>
      <c r="E807" s="884"/>
      <c r="F807" s="884"/>
      <c r="G807" s="882"/>
      <c r="I807" s="391"/>
    </row>
    <row r="808" spans="1:9" ht="14.25">
      <c r="A808" s="122"/>
      <c r="B808" s="386" t="s">
        <v>309</v>
      </c>
      <c r="C808" s="883"/>
      <c r="D808" s="1256" t="s">
        <v>538</v>
      </c>
      <c r="E808" s="1256"/>
      <c r="F808" s="1256"/>
      <c r="G808" s="882"/>
      <c r="I808" s="384"/>
    </row>
    <row r="809" spans="1:9" ht="14.25">
      <c r="A809" s="122"/>
      <c r="B809" s="122"/>
      <c r="C809" s="883"/>
      <c r="D809" s="1256"/>
      <c r="E809" s="1256"/>
      <c r="F809" s="1256"/>
      <c r="G809" s="882"/>
      <c r="I809" s="391"/>
    </row>
    <row r="810" spans="1:9" ht="14.25">
      <c r="A810" s="122"/>
      <c r="B810" s="122"/>
      <c r="C810" s="883"/>
      <c r="D810" s="1256"/>
      <c r="E810" s="1256"/>
      <c r="F810" s="1256"/>
      <c r="G810" s="882"/>
      <c r="I810" s="391"/>
    </row>
    <row r="811" spans="1:9" ht="14.25">
      <c r="A811" s="122"/>
      <c r="B811" s="122"/>
      <c r="C811" s="883"/>
      <c r="D811" s="1256"/>
      <c r="E811" s="1256"/>
      <c r="F811" s="1256"/>
      <c r="G811" s="882"/>
      <c r="I811" s="391"/>
    </row>
    <row r="812" spans="1:9" ht="14.25">
      <c r="A812" s="122"/>
      <c r="B812" s="122"/>
      <c r="C812" s="883"/>
      <c r="D812" s="1256"/>
      <c r="E812" s="1256"/>
      <c r="F812" s="1256"/>
      <c r="G812" s="882"/>
      <c r="I812" s="391"/>
    </row>
    <row r="813" spans="1:9" ht="14.25">
      <c r="A813" s="122"/>
      <c r="B813" s="122"/>
      <c r="C813" s="883"/>
      <c r="D813" s="1256"/>
      <c r="E813" s="1256"/>
      <c r="F813" s="1256"/>
      <c r="G813" s="882"/>
      <c r="I813" s="391"/>
    </row>
    <row r="814" spans="1:9" ht="14.25">
      <c r="A814" s="122"/>
      <c r="B814" s="122"/>
      <c r="C814" s="883"/>
      <c r="D814" s="876"/>
      <c r="E814" s="876"/>
      <c r="F814" s="876"/>
      <c r="G814" s="882"/>
      <c r="I814" s="391"/>
    </row>
    <row r="815" spans="1:9" ht="14.25">
      <c r="A815" s="122"/>
      <c r="B815" s="386" t="s">
        <v>309</v>
      </c>
      <c r="C815" s="883"/>
      <c r="D815" s="1256" t="s">
        <v>539</v>
      </c>
      <c r="E815" s="1256"/>
      <c r="F815" s="1256"/>
      <c r="G815" s="882"/>
      <c r="I815" s="384"/>
    </row>
    <row r="816" spans="1:9" ht="14.25">
      <c r="A816" s="122"/>
      <c r="B816" s="122"/>
      <c r="C816" s="883"/>
      <c r="D816" s="1256"/>
      <c r="E816" s="1256"/>
      <c r="F816" s="1256"/>
      <c r="G816" s="882"/>
      <c r="I816" s="391"/>
    </row>
    <row r="817" spans="1:9" ht="14.25">
      <c r="A817" s="122"/>
      <c r="B817" s="122"/>
      <c r="C817" s="883"/>
      <c r="D817" s="1256"/>
      <c r="E817" s="1256"/>
      <c r="F817" s="1256"/>
      <c r="G817" s="882"/>
      <c r="I817" s="391"/>
    </row>
    <row r="818" spans="1:9" ht="14.25">
      <c r="A818" s="122"/>
      <c r="B818" s="122"/>
      <c r="C818" s="883"/>
      <c r="D818" s="1256"/>
      <c r="E818" s="1256"/>
      <c r="F818" s="1256"/>
      <c r="G818" s="882"/>
      <c r="I818" s="391"/>
    </row>
    <row r="819" spans="1:9" ht="14.25">
      <c r="A819" s="122"/>
      <c r="B819" s="122"/>
      <c r="C819" s="883"/>
      <c r="D819" s="1256"/>
      <c r="E819" s="1256"/>
      <c r="F819" s="1256"/>
      <c r="G819" s="882"/>
      <c r="I819" s="391"/>
    </row>
    <row r="820" spans="1:9" ht="14.25">
      <c r="A820" s="122"/>
      <c r="B820" s="122"/>
      <c r="C820" s="883"/>
      <c r="D820" s="1256"/>
      <c r="E820" s="1256"/>
      <c r="F820" s="1256"/>
      <c r="G820" s="882"/>
      <c r="I820" s="391"/>
    </row>
    <row r="821" spans="1:9" ht="14.25">
      <c r="A821" s="122"/>
      <c r="B821" s="122"/>
      <c r="C821" s="883"/>
      <c r="D821" s="876"/>
      <c r="E821" s="876"/>
      <c r="F821" s="876"/>
      <c r="G821" s="882"/>
      <c r="I821" s="391"/>
    </row>
    <row r="822" spans="1:9" ht="14.25">
      <c r="A822" s="122"/>
      <c r="B822" s="386" t="s">
        <v>309</v>
      </c>
      <c r="C822" s="883"/>
      <c r="D822" s="1251" t="s">
        <v>540</v>
      </c>
      <c r="E822" s="1251"/>
      <c r="F822" s="1251"/>
      <c r="G822" s="882"/>
      <c r="I822" s="384"/>
    </row>
    <row r="823" spans="1:9" ht="14.25">
      <c r="A823" s="122"/>
      <c r="B823" s="122"/>
      <c r="C823" s="883"/>
      <c r="D823" s="1251"/>
      <c r="E823" s="1251"/>
      <c r="F823" s="1251"/>
      <c r="G823" s="882"/>
      <c r="I823" s="391"/>
    </row>
    <row r="824" spans="1:9">
      <c r="A824" s="12"/>
      <c r="B824" s="12"/>
      <c r="C824" s="883"/>
      <c r="D824" s="1251"/>
      <c r="E824" s="1251"/>
      <c r="F824" s="1251"/>
      <c r="G824" s="882"/>
      <c r="I824" s="391"/>
    </row>
    <row r="825" spans="1:9" ht="14.25">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47" t="s">
        <v>541</v>
      </c>
      <c r="B829" s="1247"/>
      <c r="C829" s="1247"/>
      <c r="D829" s="1247"/>
      <c r="E829" s="1247"/>
      <c r="F829" s="1247"/>
      <c r="G829" s="1247"/>
      <c r="H829" s="919"/>
      <c r="I829" s="1042"/>
    </row>
    <row r="830" spans="1:9" ht="12.75" customHeight="1">
      <c r="A830" s="119"/>
      <c r="B830" s="119"/>
      <c r="C830" s="883"/>
      <c r="D830" s="882"/>
      <c r="E830" s="882"/>
      <c r="F830" s="882"/>
      <c r="G830" s="882"/>
      <c r="I830" s="391"/>
    </row>
    <row r="831" spans="1:9" ht="12.75" customHeight="1">
      <c r="A831" s="122"/>
      <c r="B831" s="122"/>
      <c r="C831" s="257"/>
      <c r="D831" s="1267" t="s">
        <v>542</v>
      </c>
      <c r="E831" s="1267"/>
      <c r="F831" s="1267"/>
      <c r="G831" s="3"/>
      <c r="I831" s="391"/>
    </row>
    <row r="832" spans="1:9" ht="14.25" customHeight="1">
      <c r="A832" s="122"/>
      <c r="B832" s="122"/>
      <c r="C832" s="257"/>
      <c r="D832" s="1224" t="s">
        <v>543</v>
      </c>
      <c r="E832" s="1224"/>
      <c r="F832" s="1224"/>
      <c r="G832" s="3"/>
      <c r="I832" s="391"/>
    </row>
    <row r="833" spans="1:9" ht="12.75" customHeight="1">
      <c r="A833" s="122"/>
      <c r="B833" s="122"/>
      <c r="C833" s="257"/>
      <c r="D833" s="344"/>
      <c r="E833" s="344"/>
      <c r="F833" s="344"/>
      <c r="G833" s="3"/>
      <c r="I833" s="391"/>
    </row>
    <row r="834" spans="1:9" ht="12.75" customHeight="1">
      <c r="A834" s="257"/>
      <c r="B834" s="386" t="s">
        <v>309</v>
      </c>
      <c r="C834" s="883"/>
      <c r="D834" s="1224" t="s">
        <v>544</v>
      </c>
      <c r="E834" s="1224"/>
      <c r="F834" s="1224"/>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68" t="s">
        <v>546</v>
      </c>
      <c r="E837" s="1268"/>
      <c r="F837" s="1268"/>
      <c r="G837" s="3"/>
      <c r="I837" s="391"/>
    </row>
    <row r="838" spans="1:9" ht="12.75" hidden="1" customHeight="1">
      <c r="A838" s="12"/>
      <c r="B838" s="12"/>
      <c r="C838" s="883"/>
      <c r="D838" s="1268"/>
      <c r="E838" s="1268"/>
      <c r="F838" s="1268"/>
      <c r="G838" s="3"/>
      <c r="I838" s="391"/>
    </row>
    <row r="839" spans="1:9" ht="12.75" hidden="1" customHeight="1">
      <c r="A839" s="12"/>
      <c r="B839" s="12"/>
      <c r="C839" s="883"/>
      <c r="D839" s="1268"/>
      <c r="E839" s="1268"/>
      <c r="F839" s="1268"/>
      <c r="G839" s="3"/>
      <c r="I839" s="391"/>
    </row>
    <row r="840" spans="1:9" ht="12.75" hidden="1" customHeight="1">
      <c r="A840" s="12"/>
      <c r="B840" s="12"/>
      <c r="C840" s="883"/>
      <c r="D840" s="1268"/>
      <c r="E840" s="1268"/>
      <c r="F840" s="1268"/>
      <c r="G840" s="3"/>
      <c r="I840" s="391"/>
    </row>
    <row r="841" spans="1:9" ht="12.75" hidden="1" customHeight="1">
      <c r="A841" s="12"/>
      <c r="B841" s="12"/>
      <c r="C841" s="883"/>
      <c r="D841" s="1268"/>
      <c r="E841" s="1268"/>
      <c r="F841" s="1268"/>
      <c r="G841" s="3"/>
      <c r="I841" s="391"/>
    </row>
    <row r="842" spans="1:9" ht="12.75" hidden="1" customHeight="1">
      <c r="A842" s="12"/>
      <c r="B842" s="12"/>
      <c r="C842" s="883"/>
      <c r="D842" s="1268"/>
      <c r="E842" s="1268"/>
      <c r="F842" s="1268"/>
      <c r="G842" s="3"/>
      <c r="I842" s="391"/>
    </row>
    <row r="843" spans="1:9" ht="12.75" hidden="1" customHeight="1">
      <c r="A843" s="12"/>
      <c r="B843" s="12"/>
      <c r="C843" s="883"/>
      <c r="D843" s="1268"/>
      <c r="E843" s="1268"/>
      <c r="F843" s="1268"/>
      <c r="G843" s="3"/>
      <c r="I843" s="391"/>
    </row>
    <row r="844" spans="1:9" ht="12.75" hidden="1" customHeight="1">
      <c r="A844" s="12"/>
      <c r="B844" s="12"/>
      <c r="C844" s="883"/>
      <c r="D844" s="1268"/>
      <c r="E844" s="1268"/>
      <c r="F844" s="1268"/>
      <c r="G844" s="3"/>
      <c r="I844" s="391"/>
    </row>
    <row r="845" spans="1:9" ht="12.75" hidden="1" customHeight="1">
      <c r="A845" s="12"/>
      <c r="B845" s="12"/>
      <c r="C845" s="883"/>
      <c r="D845" s="1268"/>
      <c r="E845" s="1268"/>
      <c r="F845" s="1268"/>
      <c r="G845" s="3"/>
      <c r="I845" s="391"/>
    </row>
    <row r="846" spans="1:9" ht="12.75" hidden="1" customHeight="1">
      <c r="A846" s="12"/>
      <c r="B846" s="12"/>
      <c r="C846" s="883"/>
      <c r="D846" s="1268"/>
      <c r="E846" s="1268"/>
      <c r="F846" s="1268"/>
      <c r="G846" s="3"/>
      <c r="I846" s="391"/>
    </row>
    <row r="847" spans="1:9" ht="12.75" hidden="1" customHeight="1">
      <c r="A847" s="12"/>
      <c r="B847" s="12"/>
      <c r="C847" s="883"/>
      <c r="D847" s="885"/>
      <c r="E847" s="3"/>
      <c r="F847" s="3"/>
      <c r="G847" s="3"/>
      <c r="I847" s="391"/>
    </row>
    <row r="848" spans="1:9" ht="12.75" customHeight="1">
      <c r="A848" s="122"/>
      <c r="B848" s="386" t="s">
        <v>309</v>
      </c>
      <c r="C848" s="883"/>
      <c r="D848" s="1224" t="s">
        <v>547</v>
      </c>
      <c r="E848" s="1224"/>
      <c r="F848" s="1224"/>
      <c r="G848" s="3"/>
      <c r="I848" s="391" t="s">
        <v>548</v>
      </c>
    </row>
    <row r="849" spans="1:9" ht="12.75" customHeight="1">
      <c r="A849" s="122"/>
      <c r="B849" s="122"/>
      <c r="C849" s="883"/>
      <c r="D849" s="1224"/>
      <c r="E849" s="1224"/>
      <c r="F849" s="1224"/>
      <c r="G849" s="3"/>
      <c r="I849" s="391"/>
    </row>
    <row r="850" spans="1:9" ht="12.75" customHeight="1">
      <c r="A850" s="122"/>
      <c r="B850" s="122"/>
      <c r="C850" s="883"/>
      <c r="D850" s="1224"/>
      <c r="E850" s="1224"/>
      <c r="F850" s="1224"/>
      <c r="G850" s="3"/>
      <c r="I850" s="391"/>
    </row>
    <row r="851" spans="1:9" ht="12.75" customHeight="1">
      <c r="A851" s="122"/>
      <c r="B851" s="122"/>
      <c r="C851" s="883"/>
      <c r="D851" s="84"/>
      <c r="E851" s="3"/>
      <c r="F851" s="3"/>
      <c r="G851" s="3"/>
      <c r="I851" s="391"/>
    </row>
    <row r="852" spans="1:9" ht="12.75" customHeight="1">
      <c r="A852" s="886"/>
      <c r="B852" s="386" t="s">
        <v>309</v>
      </c>
      <c r="C852" s="883"/>
      <c r="D852" s="1267" t="s">
        <v>549</v>
      </c>
      <c r="E852" s="1267"/>
      <c r="F852" s="1267"/>
      <c r="G852" s="3"/>
      <c r="I852" s="391"/>
    </row>
    <row r="853" spans="1:9" ht="12.75" customHeight="1">
      <c r="A853" s="257"/>
      <c r="B853" s="886"/>
      <c r="C853" s="883"/>
      <c r="D853" s="1267"/>
      <c r="E853" s="1267"/>
      <c r="F853" s="1267"/>
      <c r="G853" s="3"/>
      <c r="I853" s="391"/>
    </row>
    <row r="854" spans="1:9" ht="12.75" customHeight="1">
      <c r="A854" s="122"/>
      <c r="B854" s="257"/>
      <c r="C854" s="883"/>
      <c r="D854" s="1224" t="s">
        <v>550</v>
      </c>
      <c r="E854" s="1224"/>
      <c r="F854" s="1224"/>
      <c r="G854" s="3"/>
      <c r="I854" s="391"/>
    </row>
    <row r="855" spans="1:9" ht="12.75" customHeight="1">
      <c r="A855" s="122"/>
      <c r="B855" s="122"/>
      <c r="C855" s="883"/>
      <c r="D855" s="1224"/>
      <c r="E855" s="1224"/>
      <c r="F855" s="1224"/>
      <c r="G855" s="3"/>
      <c r="I855" s="391"/>
    </row>
    <row r="856" spans="1:9" ht="12.75" customHeight="1">
      <c r="A856" s="122"/>
      <c r="B856" s="122"/>
      <c r="C856" s="883"/>
      <c r="D856" s="1224"/>
      <c r="E856" s="1224"/>
      <c r="F856" s="1224"/>
      <c r="G856" s="3"/>
      <c r="I856" s="391"/>
    </row>
    <row r="857" spans="1:9" ht="12.75" customHeight="1">
      <c r="A857" s="122"/>
      <c r="B857" s="122"/>
      <c r="C857" s="883"/>
      <c r="D857" s="1224"/>
      <c r="E857" s="1224"/>
      <c r="F857" s="1224"/>
      <c r="G857" s="3"/>
      <c r="I857" s="391"/>
    </row>
    <row r="858" spans="1:9" ht="12.75" customHeight="1">
      <c r="A858" s="122"/>
      <c r="B858" s="122"/>
      <c r="C858" s="883"/>
      <c r="D858" s="1224"/>
      <c r="E858" s="1224"/>
      <c r="F858" s="1224"/>
      <c r="G858" s="3"/>
      <c r="I858" s="391"/>
    </row>
    <row r="859" spans="1:9" ht="12.75" customHeight="1">
      <c r="A859" s="122"/>
      <c r="B859" s="122"/>
      <c r="C859" s="883"/>
      <c r="D859" s="1224"/>
      <c r="E859" s="1224"/>
      <c r="F859" s="1224"/>
      <c r="G859" s="3"/>
      <c r="I859" s="391"/>
    </row>
    <row r="860" spans="1:9" ht="12.75" customHeight="1">
      <c r="A860" s="122"/>
      <c r="B860" s="122"/>
      <c r="C860" s="883"/>
      <c r="D860" s="84"/>
      <c r="E860" s="3"/>
      <c r="F860" s="3"/>
      <c r="G860" s="3"/>
      <c r="I860" s="391"/>
    </row>
    <row r="861" spans="1:9" ht="12.75" customHeight="1">
      <c r="A861" s="122"/>
      <c r="B861" s="386" t="s">
        <v>309</v>
      </c>
      <c r="C861" s="883"/>
      <c r="D861" s="1224" t="s">
        <v>551</v>
      </c>
      <c r="E861" s="1224"/>
      <c r="F861" s="1224"/>
      <c r="G861" s="3"/>
      <c r="I861" s="391" t="s">
        <v>552</v>
      </c>
    </row>
    <row r="862" spans="1:9" ht="12.75" customHeight="1">
      <c r="A862" s="122"/>
      <c r="B862" s="122"/>
      <c r="C862" s="883"/>
      <c r="D862" s="1224" t="s">
        <v>553</v>
      </c>
      <c r="E862" s="1224"/>
      <c r="F862" s="1224"/>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309</v>
      </c>
      <c r="C865" s="883"/>
      <c r="D865" s="1224" t="s">
        <v>554</v>
      </c>
      <c r="E865" s="1224"/>
      <c r="F865" s="1224"/>
      <c r="G865" s="3"/>
      <c r="I865" s="391" t="s">
        <v>555</v>
      </c>
    </row>
    <row r="866" spans="1:9" ht="12.75" customHeight="1">
      <c r="A866" s="122"/>
      <c r="B866" s="122"/>
      <c r="C866" s="883"/>
      <c r="D866" s="1224"/>
      <c r="E866" s="1224"/>
      <c r="F866" s="1224"/>
      <c r="G866" s="3"/>
      <c r="I866" s="391"/>
    </row>
    <row r="867" spans="1:9" ht="12.75" customHeight="1">
      <c r="A867" s="122"/>
      <c r="B867" s="122"/>
      <c r="C867" s="883"/>
      <c r="D867" s="1224"/>
      <c r="E867" s="1224"/>
      <c r="F867" s="1224"/>
      <c r="G867" s="3"/>
      <c r="I867" s="391"/>
    </row>
    <row r="868" spans="1:9" ht="12.75" customHeight="1">
      <c r="A868" s="122"/>
      <c r="B868" s="122"/>
      <c r="C868" s="883"/>
      <c r="D868" s="1224"/>
      <c r="E868" s="1224"/>
      <c r="F868" s="1224"/>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7" t="s">
        <v>557</v>
      </c>
      <c r="E872" s="1257"/>
      <c r="F872" s="1257"/>
      <c r="G872" s="882"/>
      <c r="I872" s="391"/>
    </row>
    <row r="873" spans="1:9" ht="12.75" customHeight="1">
      <c r="A873" s="257"/>
      <c r="B873" s="257"/>
      <c r="C873" s="121"/>
      <c r="D873" s="1266" t="s">
        <v>558</v>
      </c>
      <c r="E873" s="1266"/>
      <c r="F873" s="1266"/>
      <c r="G873" s="882"/>
      <c r="I873" s="391"/>
    </row>
    <row r="874" spans="1:9" ht="12.75" customHeight="1">
      <c r="A874" s="257"/>
      <c r="B874" s="257"/>
      <c r="C874" s="121"/>
      <c r="D874" s="889"/>
      <c r="E874" s="889"/>
      <c r="F874" s="889"/>
      <c r="G874" s="882"/>
      <c r="I874" s="391"/>
    </row>
    <row r="875" spans="1:9" ht="12.75" customHeight="1">
      <c r="A875" s="122"/>
      <c r="B875" s="386" t="s">
        <v>309</v>
      </c>
      <c r="C875" s="257"/>
      <c r="D875" s="1250" t="s">
        <v>559</v>
      </c>
      <c r="E875" s="1250"/>
      <c r="F875" s="1250"/>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4" t="s">
        <v>560</v>
      </c>
      <c r="E878" s="1273"/>
      <c r="F878" s="1273"/>
      <c r="G878" s="3"/>
      <c r="I878" s="391" t="s">
        <v>555</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309</v>
      </c>
      <c r="C881" s="257"/>
      <c r="D881" s="1274" t="s">
        <v>561</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4" t="s">
        <v>550</v>
      </c>
      <c r="E883" s="1224"/>
      <c r="F883" s="1224"/>
      <c r="G883" s="882"/>
      <c r="I883" s="391"/>
    </row>
    <row r="884" spans="1:9" ht="12.75" customHeight="1">
      <c r="A884" s="122"/>
      <c r="B884" s="122"/>
      <c r="C884" s="257"/>
      <c r="D884" s="1224"/>
      <c r="E884" s="1224"/>
      <c r="F884" s="1224"/>
      <c r="G884" s="882"/>
      <c r="I884" s="391"/>
    </row>
    <row r="885" spans="1:9" ht="12.75" customHeight="1">
      <c r="A885" s="122"/>
      <c r="B885" s="122"/>
      <c r="C885" s="257"/>
      <c r="D885" s="1224"/>
      <c r="E885" s="1224"/>
      <c r="F885" s="1224"/>
      <c r="G885" s="882"/>
      <c r="I885" s="391"/>
    </row>
    <row r="886" spans="1:9" ht="12.75" customHeight="1">
      <c r="A886" s="122"/>
      <c r="B886" s="122"/>
      <c r="C886" s="257"/>
      <c r="D886" s="1224"/>
      <c r="E886" s="1224"/>
      <c r="F886" s="1224"/>
      <c r="G886" s="882"/>
      <c r="I886" s="391"/>
    </row>
    <row r="887" spans="1:9" ht="12.75" customHeight="1">
      <c r="A887" s="122"/>
      <c r="B887" s="122"/>
      <c r="C887" s="257"/>
      <c r="D887" s="1224"/>
      <c r="E887" s="1224"/>
      <c r="F887" s="1224"/>
      <c r="G887" s="882"/>
      <c r="I887" s="391"/>
    </row>
    <row r="888" spans="1:9" ht="12.75" customHeight="1">
      <c r="A888" s="122"/>
      <c r="B888" s="122"/>
      <c r="C888" s="257"/>
      <c r="D888" s="1224"/>
      <c r="E888" s="1224"/>
      <c r="F888" s="1224"/>
      <c r="G888" s="882"/>
      <c r="I888" s="391"/>
    </row>
    <row r="889" spans="1:9" ht="12.75" customHeight="1">
      <c r="A889" s="122"/>
      <c r="B889" s="122"/>
      <c r="C889" s="257"/>
      <c r="D889" s="84"/>
      <c r="E889" s="882"/>
      <c r="F889" s="882"/>
      <c r="G889" s="882"/>
      <c r="I889" s="391"/>
    </row>
    <row r="890" spans="1:9" ht="12.75" customHeight="1">
      <c r="A890" s="122"/>
      <c r="B890" s="386" t="s">
        <v>309</v>
      </c>
      <c r="C890" s="257"/>
      <c r="D890" s="1249" t="s">
        <v>551</v>
      </c>
      <c r="E890" s="1249"/>
      <c r="F890" s="1249"/>
      <c r="G890" s="882"/>
      <c r="I890" s="391"/>
    </row>
    <row r="891" spans="1:9" ht="12.75" customHeight="1">
      <c r="A891" s="122"/>
      <c r="B891" s="122"/>
      <c r="C891" s="257"/>
      <c r="D891" s="1249" t="s">
        <v>553</v>
      </c>
      <c r="E891" s="1249"/>
      <c r="F891" s="1249"/>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309</v>
      </c>
      <c r="C894" s="257"/>
      <c r="D894" s="1224" t="s">
        <v>554</v>
      </c>
      <c r="E894" s="1224"/>
      <c r="F894" s="1224"/>
      <c r="G894" s="882"/>
      <c r="I894" s="391"/>
    </row>
    <row r="895" spans="1:9" ht="12.75" customHeight="1">
      <c r="A895" s="122"/>
      <c r="B895" s="122"/>
      <c r="C895" s="257"/>
      <c r="D895" s="1224"/>
      <c r="E895" s="1224"/>
      <c r="F895" s="1224"/>
      <c r="G895" s="882"/>
      <c r="I895" s="391"/>
    </row>
    <row r="896" spans="1:9" ht="12.75" customHeight="1">
      <c r="A896" s="122"/>
      <c r="B896" s="122"/>
      <c r="C896" s="257"/>
      <c r="D896" s="1224"/>
      <c r="E896" s="1224"/>
      <c r="F896" s="1224"/>
      <c r="G896" s="882"/>
      <c r="I896" s="391"/>
    </row>
    <row r="897" spans="1:9" ht="12.75" customHeight="1">
      <c r="A897" s="122"/>
      <c r="B897" s="122"/>
      <c r="C897" s="257"/>
      <c r="D897" s="1224"/>
      <c r="E897" s="1224"/>
      <c r="F897" s="1224"/>
      <c r="G897" s="882"/>
      <c r="I897" s="391"/>
    </row>
    <row r="898" spans="1:9" ht="12.75" customHeight="1">
      <c r="A898" s="84"/>
      <c r="B898" s="84"/>
      <c r="C898" s="883"/>
      <c r="D898" s="882"/>
      <c r="E898" s="882"/>
      <c r="F898" s="882"/>
      <c r="G898" s="882"/>
      <c r="I898" s="391"/>
    </row>
    <row r="899" spans="1:9" ht="12.75" customHeight="1">
      <c r="A899" s="1247" t="s">
        <v>563</v>
      </c>
      <c r="B899" s="1247"/>
      <c r="C899" s="1247"/>
      <c r="D899" s="1247"/>
      <c r="E899" s="1247"/>
      <c r="F899" s="1247"/>
      <c r="G899" s="1247"/>
      <c r="H899" s="919"/>
      <c r="I899" s="1042"/>
    </row>
    <row r="900" spans="1:9" ht="12.75" customHeight="1">
      <c r="A900" s="49"/>
      <c r="B900" s="49"/>
      <c r="C900" s="49"/>
      <c r="D900" s="49"/>
      <c r="E900" s="49"/>
      <c r="F900" s="49"/>
      <c r="G900" s="49"/>
      <c r="I900" s="391"/>
    </row>
    <row r="901" spans="1:9" ht="12.75" customHeight="1">
      <c r="A901" s="49"/>
      <c r="B901" s="49"/>
      <c r="C901" s="49"/>
      <c r="D901" s="1245" t="s">
        <v>564</v>
      </c>
      <c r="E901" s="1245"/>
      <c r="F901" s="1245"/>
      <c r="G901" s="49"/>
      <c r="I901" s="391"/>
    </row>
    <row r="902" spans="1:9" ht="12.75" customHeight="1">
      <c r="A902" s="49"/>
      <c r="B902" s="49"/>
      <c r="C902" s="49"/>
      <c r="D902" s="875"/>
      <c r="E902" s="875"/>
      <c r="F902" s="875"/>
      <c r="G902" s="49"/>
      <c r="I902" s="391"/>
    </row>
    <row r="903" spans="1:9" ht="12.75" customHeight="1">
      <c r="A903" s="49"/>
      <c r="B903" s="386" t="s">
        <v>309</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5" t="s">
        <v>566</v>
      </c>
      <c r="E905" s="1245"/>
      <c r="F905" s="1245"/>
      <c r="G905" s="882"/>
      <c r="I905" s="391"/>
    </row>
    <row r="906" spans="1:9" ht="12.75" customHeight="1">
      <c r="A906" s="119"/>
      <c r="B906" s="119"/>
      <c r="C906" s="119"/>
      <c r="D906" s="1250" t="s">
        <v>567</v>
      </c>
      <c r="E906" s="1250"/>
      <c r="F906" s="1250"/>
      <c r="G906" s="882"/>
      <c r="I906" s="391"/>
    </row>
    <row r="907" spans="1:9" ht="12.75" customHeight="1">
      <c r="A907" s="883"/>
      <c r="B907" s="883"/>
      <c r="C907" s="883"/>
      <c r="D907" s="2"/>
      <c r="E907" s="882"/>
      <c r="F907" s="882"/>
      <c r="G907" s="882"/>
      <c r="I907" s="391"/>
    </row>
    <row r="908" spans="1:9" ht="12.75" customHeight="1">
      <c r="A908" s="122"/>
      <c r="B908" s="386" t="s">
        <v>309</v>
      </c>
      <c r="C908" s="257"/>
      <c r="D908" s="1224" t="s">
        <v>568</v>
      </c>
      <c r="E908" s="1224"/>
      <c r="F908" s="1224"/>
      <c r="G908" s="3"/>
      <c r="I908" s="391"/>
    </row>
    <row r="909" spans="1:9" ht="12.75" customHeight="1">
      <c r="A909" s="257"/>
      <c r="B909" s="257"/>
      <c r="C909" s="257"/>
      <c r="D909" s="1224"/>
      <c r="E909" s="1224"/>
      <c r="F909" s="1224"/>
      <c r="G909" s="3"/>
      <c r="I909" s="391"/>
    </row>
    <row r="910" spans="1:9" ht="12.75" customHeight="1">
      <c r="A910" s="119"/>
      <c r="B910" s="119"/>
      <c r="C910" s="119"/>
      <c r="D910" s="1224" t="s">
        <v>569</v>
      </c>
      <c r="E910" s="1224"/>
      <c r="F910" s="1224"/>
      <c r="G910" s="882"/>
      <c r="I910" s="391"/>
    </row>
    <row r="911" spans="1:9" ht="12.75" customHeight="1">
      <c r="A911" s="119"/>
      <c r="B911" s="119"/>
      <c r="C911" s="119"/>
      <c r="D911" s="1224"/>
      <c r="E911" s="1224"/>
      <c r="F911" s="1224"/>
      <c r="G911" s="882"/>
      <c r="I911" s="391"/>
    </row>
    <row r="912" spans="1:9" ht="12.75" customHeight="1">
      <c r="A912" s="119"/>
      <c r="B912" s="119"/>
      <c r="C912" s="119"/>
      <c r="D912" s="3"/>
      <c r="E912" s="3"/>
      <c r="F912" s="882"/>
      <c r="G912" s="882"/>
      <c r="I912" s="391"/>
    </row>
    <row r="913" spans="1:9" ht="12.75" customHeight="1">
      <c r="A913" s="122"/>
      <c r="B913" s="386" t="s">
        <v>309</v>
      </c>
      <c r="C913" s="121"/>
      <c r="D913" s="1235" t="s">
        <v>570</v>
      </c>
      <c r="E913" s="1235"/>
      <c r="F913" s="1235"/>
      <c r="G913" s="882"/>
      <c r="I913" s="391"/>
    </row>
    <row r="914" spans="1:9" ht="12.75" customHeight="1">
      <c r="A914" s="122"/>
      <c r="B914" s="122"/>
      <c r="C914" s="121"/>
      <c r="D914" s="1235"/>
      <c r="E914" s="1235"/>
      <c r="F914" s="1235"/>
      <c r="G914" s="882"/>
      <c r="I914" s="391"/>
    </row>
    <row r="915" spans="1:9" ht="12.75" customHeight="1">
      <c r="A915" s="122"/>
      <c r="B915" s="122"/>
      <c r="C915" s="121"/>
      <c r="D915" s="1235"/>
      <c r="E915" s="1235"/>
      <c r="F915" s="1235"/>
      <c r="G915" s="882"/>
      <c r="I915" s="391"/>
    </row>
    <row r="916" spans="1:9" ht="12.75" customHeight="1">
      <c r="A916" s="122"/>
      <c r="B916" s="122"/>
      <c r="C916" s="121"/>
      <c r="D916" s="1235"/>
      <c r="E916" s="1235"/>
      <c r="F916" s="1235"/>
      <c r="G916" s="882"/>
      <c r="I916" s="391"/>
    </row>
    <row r="917" spans="1:9" ht="12.75" customHeight="1">
      <c r="A917" s="122"/>
      <c r="B917" s="122"/>
      <c r="C917" s="121"/>
      <c r="D917" s="1235"/>
      <c r="E917" s="1235"/>
      <c r="F917" s="1235"/>
      <c r="G917" s="882"/>
      <c r="I917" s="391"/>
    </row>
    <row r="918" spans="1:9" ht="12.75" customHeight="1">
      <c r="A918" s="121"/>
      <c r="B918" s="121"/>
      <c r="C918" s="121"/>
      <c r="D918" s="1235"/>
      <c r="E918" s="1235"/>
      <c r="F918" s="1235"/>
      <c r="G918" s="882"/>
      <c r="I918" s="391"/>
    </row>
    <row r="919" spans="1:9" ht="12.75" customHeight="1">
      <c r="A919" s="121"/>
      <c r="B919" s="121"/>
      <c r="C919" s="121"/>
      <c r="D919" s="1235"/>
      <c r="E919" s="1235"/>
      <c r="F919" s="1235"/>
      <c r="G919" s="882"/>
      <c r="I919" s="391"/>
    </row>
    <row r="920" spans="1:9" ht="12.75" customHeight="1">
      <c r="A920" s="121"/>
      <c r="B920" s="121"/>
      <c r="C920" s="121"/>
      <c r="D920" s="1235"/>
      <c r="E920" s="1235"/>
      <c r="F920" s="1235"/>
      <c r="G920" s="882"/>
      <c r="I920" s="391"/>
    </row>
    <row r="921" spans="1:9" ht="12.75" customHeight="1">
      <c r="A921" s="121"/>
      <c r="B921" s="121"/>
      <c r="C921" s="121"/>
      <c r="D921" s="240"/>
      <c r="E921" s="240"/>
      <c r="F921" s="240"/>
      <c r="G921" s="882"/>
      <c r="I921" s="391"/>
    </row>
    <row r="922" spans="1:9" ht="12.75" customHeight="1">
      <c r="A922" s="883"/>
      <c r="B922" s="386" t="s">
        <v>309</v>
      </c>
      <c r="C922" s="883"/>
      <c r="D922" s="1224" t="s">
        <v>571</v>
      </c>
      <c r="E922" s="1224"/>
      <c r="F922" s="1224"/>
      <c r="G922" s="882"/>
      <c r="I922" s="391"/>
    </row>
    <row r="923" spans="1:9" ht="12.75" customHeight="1">
      <c r="A923" s="883"/>
      <c r="B923" s="883"/>
      <c r="C923" s="883"/>
      <c r="D923" s="1224"/>
      <c r="E923" s="1224"/>
      <c r="F923" s="1224"/>
      <c r="G923" s="882"/>
      <c r="I923" s="391"/>
    </row>
    <row r="924" spans="1:9" ht="12.75" customHeight="1">
      <c r="A924" s="883"/>
      <c r="B924" s="883"/>
      <c r="C924" s="883"/>
      <c r="D924" s="882"/>
      <c r="E924" s="882"/>
      <c r="F924" s="882"/>
      <c r="G924" s="882"/>
      <c r="I924" s="391"/>
    </row>
    <row r="925" spans="1:9" ht="12.75" customHeight="1">
      <c r="A925" s="883"/>
      <c r="B925" s="386" t="s">
        <v>309</v>
      </c>
      <c r="C925" s="883"/>
      <c r="D925" s="1251" t="s">
        <v>572</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309</v>
      </c>
      <c r="C930" s="883"/>
      <c r="D930" s="1250" t="s">
        <v>573</v>
      </c>
      <c r="E930" s="1250"/>
      <c r="F930" s="1250"/>
      <c r="G930" s="882"/>
      <c r="I930" s="391"/>
    </row>
    <row r="931" spans="1:9" ht="12.75" customHeight="1">
      <c r="A931" s="883"/>
      <c r="B931" s="883"/>
      <c r="C931" s="883"/>
      <c r="D931" s="84"/>
      <c r="E931" s="882"/>
      <c r="F931" s="882"/>
      <c r="G931" s="882"/>
      <c r="I931" s="391"/>
    </row>
    <row r="932" spans="1:9" ht="12.75" customHeight="1">
      <c r="A932" s="883"/>
      <c r="B932" s="386" t="s">
        <v>309</v>
      </c>
      <c r="C932" s="883"/>
      <c r="D932" s="1250" t="s">
        <v>574</v>
      </c>
      <c r="E932" s="1250"/>
      <c r="F932" s="1250"/>
      <c r="G932" s="882"/>
      <c r="I932" s="391"/>
    </row>
    <row r="933" spans="1:9" ht="12.75" customHeight="1">
      <c r="A933" s="121"/>
      <c r="B933" s="121"/>
      <c r="C933" s="121"/>
      <c r="D933" s="2"/>
      <c r="E933" s="3"/>
      <c r="F933" s="882"/>
      <c r="G933" s="882"/>
      <c r="I933" s="391"/>
    </row>
    <row r="934" spans="1:9" ht="12.75" customHeight="1">
      <c r="A934" s="891"/>
      <c r="B934" s="386" t="s">
        <v>309</v>
      </c>
      <c r="C934" s="892"/>
      <c r="D934" s="1235" t="s">
        <v>575</v>
      </c>
      <c r="E934" s="1235"/>
      <c r="F934" s="1235"/>
      <c r="G934" s="893"/>
      <c r="I934" s="391"/>
    </row>
    <row r="935" spans="1:9" ht="12.75" customHeight="1">
      <c r="A935" s="891"/>
      <c r="B935" s="891"/>
      <c r="C935" s="892"/>
      <c r="D935" s="1235"/>
      <c r="E935" s="1235"/>
      <c r="F935" s="1235"/>
      <c r="G935" s="893"/>
      <c r="I935" s="391"/>
    </row>
    <row r="936" spans="1:9" ht="12.75" customHeight="1">
      <c r="A936" s="891"/>
      <c r="B936" s="891"/>
      <c r="C936" s="892"/>
      <c r="D936" s="1235"/>
      <c r="E936" s="1235"/>
      <c r="F936" s="1235"/>
      <c r="G936" s="893"/>
      <c r="I936" s="391"/>
    </row>
    <row r="937" spans="1:9" ht="12.75" customHeight="1">
      <c r="A937" s="891"/>
      <c r="B937" s="891"/>
      <c r="C937" s="892"/>
      <c r="D937" s="1235"/>
      <c r="E937" s="1235"/>
      <c r="F937" s="1235"/>
      <c r="G937" s="893"/>
      <c r="I937" s="391"/>
    </row>
    <row r="938" spans="1:9" ht="12.75" customHeight="1">
      <c r="A938" s="891"/>
      <c r="B938" s="891"/>
      <c r="C938" s="892"/>
      <c r="D938" s="1235"/>
      <c r="E938" s="1235"/>
      <c r="F938" s="1235"/>
      <c r="G938" s="893"/>
      <c r="I938" s="391"/>
    </row>
    <row r="939" spans="1:9" ht="12.75" customHeight="1">
      <c r="A939" s="891"/>
      <c r="B939" s="891"/>
      <c r="C939" s="892"/>
      <c r="D939" s="1235"/>
      <c r="E939" s="1235"/>
      <c r="F939" s="1235"/>
      <c r="G939" s="893"/>
      <c r="I939" s="391"/>
    </row>
    <row r="940" spans="1:9" ht="12.75" customHeight="1">
      <c r="A940" s="891"/>
      <c r="B940" s="891"/>
      <c r="C940" s="892"/>
      <c r="D940" s="1235"/>
      <c r="E940" s="1235"/>
      <c r="F940" s="1235"/>
      <c r="G940" s="893"/>
      <c r="I940" s="391"/>
    </row>
    <row r="941" spans="1:9" ht="12.75" customHeight="1">
      <c r="A941" s="891"/>
      <c r="B941" s="891"/>
      <c r="C941" s="892"/>
      <c r="D941" s="1235"/>
      <c r="E941" s="1235"/>
      <c r="F941" s="1235"/>
      <c r="G941" s="893"/>
      <c r="I941" s="391"/>
    </row>
    <row r="942" spans="1:9" ht="12.75" customHeight="1">
      <c r="A942" s="891"/>
      <c r="B942" s="891"/>
      <c r="C942" s="892"/>
      <c r="D942" s="1235"/>
      <c r="E942" s="1235"/>
      <c r="F942" s="1235"/>
      <c r="G942" s="893"/>
      <c r="I942" s="391"/>
    </row>
    <row r="943" spans="1:9" ht="12.75" customHeight="1">
      <c r="A943" s="121"/>
      <c r="B943" s="121"/>
      <c r="C943" s="121"/>
      <c r="D943" s="2"/>
      <c r="E943" s="3"/>
      <c r="F943" s="882"/>
      <c r="G943" s="882"/>
      <c r="I943" s="391"/>
    </row>
    <row r="944" spans="1:9" ht="12.75" customHeight="1">
      <c r="A944" s="122"/>
      <c r="B944" s="386" t="s">
        <v>309</v>
      </c>
      <c r="C944" s="121"/>
      <c r="D944" s="1259" t="s">
        <v>576</v>
      </c>
      <c r="E944" s="1259"/>
      <c r="F944" s="1259"/>
      <c r="G944" s="882"/>
      <c r="I944" s="391"/>
    </row>
    <row r="945" spans="1:9" ht="12.75" customHeight="1">
      <c r="A945" s="122"/>
      <c r="B945" s="122"/>
      <c r="C945" s="121"/>
      <c r="D945" s="1259"/>
      <c r="E945" s="1259"/>
      <c r="F945" s="1259"/>
      <c r="G945" s="882"/>
      <c r="I945" s="391"/>
    </row>
    <row r="946" spans="1:9" ht="12.75" customHeight="1">
      <c r="A946" s="122"/>
      <c r="B946" s="122"/>
      <c r="C946" s="121"/>
      <c r="D946" s="1259"/>
      <c r="E946" s="1259"/>
      <c r="F946" s="1259"/>
      <c r="G946" s="882"/>
      <c r="I946" s="391"/>
    </row>
    <row r="947" spans="1:9" ht="12.75" customHeight="1">
      <c r="A947" s="122"/>
      <c r="B947" s="122"/>
      <c r="C947" s="121"/>
      <c r="D947" s="1259"/>
      <c r="E947" s="1259"/>
      <c r="F947" s="1259"/>
      <c r="G947" s="882"/>
      <c r="I947" s="391"/>
    </row>
    <row r="948" spans="1:9" ht="12.75" customHeight="1">
      <c r="A948" s="122"/>
      <c r="B948" s="122"/>
      <c r="C948" s="121"/>
      <c r="D948" s="1259"/>
      <c r="E948" s="1259"/>
      <c r="F948" s="1259"/>
      <c r="G948" s="882"/>
      <c r="I948" s="391"/>
    </row>
    <row r="949" spans="1:9" ht="12.75" customHeight="1">
      <c r="A949" s="122"/>
      <c r="B949" s="122"/>
      <c r="C949" s="121"/>
      <c r="D949" s="1259"/>
      <c r="E949" s="1259"/>
      <c r="F949" s="1259"/>
      <c r="G949" s="882"/>
      <c r="I949" s="391"/>
    </row>
    <row r="950" spans="1:9" ht="12.75" customHeight="1">
      <c r="A950" s="122"/>
      <c r="B950" s="122"/>
      <c r="C950" s="121"/>
      <c r="D950" s="1259"/>
      <c r="E950" s="1259"/>
      <c r="F950" s="1259"/>
      <c r="G950" s="882"/>
      <c r="I950" s="391"/>
    </row>
    <row r="951" spans="1:9" ht="12.75" customHeight="1">
      <c r="A951" s="122"/>
      <c r="B951" s="122"/>
      <c r="C951" s="121"/>
      <c r="D951" s="917"/>
      <c r="E951" s="917"/>
      <c r="F951" s="917"/>
      <c r="G951" s="882"/>
      <c r="I951" s="391"/>
    </row>
    <row r="952" spans="1:9" ht="12.75" customHeight="1">
      <c r="A952" s="122"/>
      <c r="B952" s="386" t="s">
        <v>309</v>
      </c>
      <c r="C952" s="121"/>
      <c r="D952" s="1234" t="s">
        <v>577</v>
      </c>
      <c r="E952" s="1234"/>
      <c r="F952" s="1234"/>
      <c r="G952" s="882"/>
      <c r="I952" s="391"/>
    </row>
    <row r="953" spans="1:9" ht="12.75" customHeight="1">
      <c r="A953" s="122"/>
      <c r="B953" s="122"/>
      <c r="C953" s="121"/>
      <c r="D953" s="1234"/>
      <c r="E953" s="1234"/>
      <c r="F953" s="1234"/>
      <c r="G953" s="882"/>
      <c r="I953" s="391"/>
    </row>
    <row r="954" spans="1:9" ht="12.75" customHeight="1">
      <c r="A954" s="122"/>
      <c r="B954" s="122"/>
      <c r="C954" s="121"/>
      <c r="D954" s="1234"/>
      <c r="E954" s="1234"/>
      <c r="F954" s="1234"/>
      <c r="G954" s="882"/>
      <c r="I954" s="391"/>
    </row>
    <row r="955" spans="1:9" ht="12.75" customHeight="1">
      <c r="A955" s="122"/>
      <c r="B955" s="122"/>
      <c r="C955" s="121"/>
      <c r="D955" s="1234"/>
      <c r="E955" s="1234"/>
      <c r="F955" s="1234"/>
      <c r="G955" s="882"/>
      <c r="I955" s="391"/>
    </row>
    <row r="956" spans="1:9" ht="12.75" customHeight="1">
      <c r="A956" s="122"/>
      <c r="B956" s="122"/>
      <c r="C956" s="121"/>
      <c r="D956" s="1234"/>
      <c r="E956" s="1234"/>
      <c r="F956" s="1234"/>
      <c r="G956" s="882"/>
      <c r="I956" s="391"/>
    </row>
    <row r="957" spans="1:9" ht="12.75" customHeight="1">
      <c r="A957" s="122"/>
      <c r="B957" s="122"/>
      <c r="C957" s="121"/>
      <c r="D957" s="1234"/>
      <c r="E957" s="1234"/>
      <c r="F957" s="1234"/>
      <c r="G957" s="882"/>
      <c r="I957" s="391"/>
    </row>
    <row r="958" spans="1:9" ht="12.75" customHeight="1">
      <c r="A958" s="122"/>
      <c r="B958" s="122"/>
      <c r="C958" s="121"/>
      <c r="D958" s="917"/>
      <c r="E958" s="917"/>
      <c r="F958" s="917"/>
      <c r="G958" s="882"/>
      <c r="I958" s="391"/>
    </row>
    <row r="959" spans="1:9" ht="12.75" customHeight="1">
      <c r="A959" s="883"/>
      <c r="B959" s="386" t="s">
        <v>309</v>
      </c>
      <c r="C959" s="883"/>
      <c r="D959" s="1251" t="s">
        <v>578</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309</v>
      </c>
      <c r="C964" s="121"/>
      <c r="D964" s="1235" t="s">
        <v>579</v>
      </c>
      <c r="E964" s="1235"/>
      <c r="F964" s="1235"/>
      <c r="G964" s="882"/>
      <c r="I964" s="391"/>
    </row>
    <row r="965" spans="1:9" ht="12.75" customHeight="1">
      <c r="A965" s="122"/>
      <c r="B965" s="122"/>
      <c r="C965" s="121"/>
      <c r="D965" s="1235"/>
      <c r="E965" s="1235"/>
      <c r="F965" s="1235"/>
      <c r="G965" s="882"/>
      <c r="I965" s="391"/>
    </row>
    <row r="966" spans="1:9" ht="12.75" customHeight="1">
      <c r="A966" s="122"/>
      <c r="B966" s="122"/>
      <c r="C966" s="121"/>
      <c r="D966" s="1235"/>
      <c r="E966" s="1235"/>
      <c r="F966" s="1235"/>
      <c r="G966" s="882"/>
      <c r="I966" s="391"/>
    </row>
    <row r="967" spans="1:9" ht="12.75" customHeight="1">
      <c r="A967" s="122"/>
      <c r="B967" s="122"/>
      <c r="C967" s="121"/>
      <c r="D967" s="1235"/>
      <c r="E967" s="1235"/>
      <c r="F967" s="1235"/>
      <c r="G967" s="882"/>
      <c r="I967" s="391"/>
    </row>
    <row r="968" spans="1:9" ht="12.75" customHeight="1">
      <c r="A968" s="883"/>
      <c r="B968" s="883"/>
      <c r="C968" s="883"/>
      <c r="D968" s="874"/>
      <c r="E968" s="874"/>
      <c r="F968" s="874"/>
      <c r="G968" s="874"/>
      <c r="I968" s="391"/>
    </row>
    <row r="969" spans="1:9" ht="12.75" customHeight="1">
      <c r="A969" s="257"/>
      <c r="B969" s="257"/>
      <c r="C969" s="257"/>
      <c r="D969" s="1257" t="s">
        <v>580</v>
      </c>
      <c r="E969" s="1257"/>
      <c r="F969" s="1257"/>
      <c r="G969" s="3"/>
      <c r="I969" s="391"/>
    </row>
    <row r="970" spans="1:9" ht="12.75" customHeight="1">
      <c r="A970" s="122"/>
      <c r="B970" s="386" t="s">
        <v>309</v>
      </c>
      <c r="C970" s="257"/>
      <c r="D970" s="1250" t="s">
        <v>581</v>
      </c>
      <c r="E970" s="1250"/>
      <c r="F970" s="1250"/>
      <c r="G970" s="3"/>
      <c r="I970" s="391"/>
    </row>
    <row r="971" spans="1:9" ht="12.75" customHeight="1">
      <c r="A971" s="257"/>
      <c r="B971" s="257"/>
      <c r="C971" s="257"/>
      <c r="D971" s="3"/>
      <c r="E971" s="3"/>
      <c r="F971" s="3"/>
      <c r="G971" s="3"/>
      <c r="I971" s="391"/>
    </row>
    <row r="972" spans="1:9" ht="12.75" customHeight="1">
      <c r="A972" s="257"/>
      <c r="B972" s="257"/>
      <c r="C972" s="257"/>
      <c r="D972" s="1257" t="s">
        <v>582</v>
      </c>
      <c r="E972" s="1257"/>
      <c r="F972" s="1257"/>
      <c r="G972"/>
      <c r="I972" s="391"/>
    </row>
    <row r="973" spans="1:9" ht="12.75" customHeight="1">
      <c r="A973" s="122"/>
      <c r="B973" s="386" t="s">
        <v>309</v>
      </c>
      <c r="C973" s="257"/>
      <c r="D973" s="1224" t="s">
        <v>583</v>
      </c>
      <c r="E973" s="1224"/>
      <c r="F973" s="1224"/>
      <c r="G973"/>
      <c r="I973" s="391"/>
    </row>
    <row r="974" spans="1:9" ht="12.75" customHeight="1">
      <c r="A974" s="122"/>
      <c r="B974" s="122"/>
      <c r="C974" s="257"/>
      <c r="D974" s="1224"/>
      <c r="E974" s="1224"/>
      <c r="F974" s="1224"/>
      <c r="G974"/>
      <c r="I974" s="391"/>
    </row>
    <row r="975" spans="1:9" ht="12.75" customHeight="1">
      <c r="A975" s="122"/>
      <c r="B975" s="122"/>
      <c r="C975" s="257"/>
      <c r="D975" s="1224"/>
      <c r="E975" s="1224"/>
      <c r="F975" s="1224"/>
      <c r="G975"/>
      <c r="I975" s="391"/>
    </row>
    <row r="976" spans="1:9" ht="12.75" customHeight="1">
      <c r="A976" s="122"/>
      <c r="B976" s="122"/>
      <c r="C976" s="257"/>
      <c r="D976" s="1224"/>
      <c r="E976" s="1224"/>
      <c r="F976" s="1224"/>
      <c r="G976"/>
      <c r="I976" s="391"/>
    </row>
    <row r="977" spans="1:9" ht="12.75" customHeight="1">
      <c r="A977" s="122"/>
      <c r="B977" s="122"/>
      <c r="C977" s="257"/>
      <c r="D977" s="1224"/>
      <c r="E977" s="1224"/>
      <c r="F977" s="1224"/>
      <c r="G977"/>
      <c r="I977" s="391"/>
    </row>
    <row r="978" spans="1:9" ht="12.75" customHeight="1">
      <c r="A978" s="122"/>
      <c r="B978" s="122"/>
      <c r="C978" s="257"/>
      <c r="D978" s="1224"/>
      <c r="E978" s="1224"/>
      <c r="F978" s="1224"/>
      <c r="G978"/>
      <c r="I978" s="391"/>
    </row>
    <row r="979" spans="1:9" ht="12.75" customHeight="1">
      <c r="A979" s="122"/>
      <c r="B979" s="122"/>
      <c r="C979" s="257"/>
      <c r="D979" s="1224"/>
      <c r="E979" s="1224"/>
      <c r="F979" s="1224"/>
      <c r="G979"/>
      <c r="I979" s="391"/>
    </row>
    <row r="980" spans="1:9" ht="12.75" customHeight="1">
      <c r="A980" s="122"/>
      <c r="B980" s="122"/>
      <c r="C980" s="257"/>
      <c r="D980" s="1224"/>
      <c r="E980" s="1224"/>
      <c r="F980" s="1224"/>
      <c r="G980"/>
      <c r="I980" s="391"/>
    </row>
    <row r="981" spans="1:9" ht="12.75" customHeight="1">
      <c r="A981" s="122"/>
      <c r="B981" s="122"/>
      <c r="C981" s="257"/>
      <c r="D981" s="1224"/>
      <c r="E981" s="1224"/>
      <c r="F981" s="1224"/>
      <c r="G981"/>
      <c r="I981" s="391"/>
    </row>
    <row r="982" spans="1:9" ht="12.75" customHeight="1">
      <c r="A982" s="122"/>
      <c r="B982" s="122"/>
      <c r="C982" s="257"/>
      <c r="D982" s="1224"/>
      <c r="E982" s="1224"/>
      <c r="F982" s="1224"/>
      <c r="G982"/>
      <c r="I982" s="391"/>
    </row>
    <row r="983" spans="1:9" ht="12.75" customHeight="1">
      <c r="A983" s="122"/>
      <c r="B983" s="122"/>
      <c r="C983" s="257"/>
      <c r="D983" s="1224"/>
      <c r="E983" s="1224"/>
      <c r="F983" s="1224"/>
      <c r="G983"/>
      <c r="I983" s="391"/>
    </row>
    <row r="984" spans="1:9" ht="12.75" customHeight="1">
      <c r="A984" s="122"/>
      <c r="B984" s="122"/>
      <c r="C984" s="257"/>
      <c r="D984" s="1224"/>
      <c r="E984" s="1224"/>
      <c r="F984" s="1224"/>
      <c r="G984"/>
      <c r="I984" s="391"/>
    </row>
    <row r="985" spans="1:9" ht="12.75" customHeight="1">
      <c r="A985" s="122"/>
      <c r="B985" s="122"/>
      <c r="C985" s="257"/>
      <c r="D985" s="1224"/>
      <c r="E985" s="1224"/>
      <c r="F985" s="1224"/>
      <c r="G985"/>
      <c r="I985" s="391"/>
    </row>
    <row r="986" spans="1:9" ht="12.75" customHeight="1">
      <c r="A986" s="122"/>
      <c r="B986" s="122"/>
      <c r="C986" s="257"/>
      <c r="D986" s="1224"/>
      <c r="E986" s="1224"/>
      <c r="F986" s="1224"/>
      <c r="G986"/>
      <c r="I986" s="391"/>
    </row>
    <row r="987" spans="1:9" ht="12.75" customHeight="1">
      <c r="A987" s="122"/>
      <c r="B987" s="122"/>
      <c r="C987" s="257"/>
      <c r="D987" s="1224"/>
      <c r="E987" s="1224"/>
      <c r="F987" s="1224"/>
      <c r="G987" s="3"/>
      <c r="I987" s="391"/>
    </row>
    <row r="988" spans="1:9" ht="12.75" customHeight="1">
      <c r="A988" s="257"/>
      <c r="B988" s="257"/>
      <c r="C988" s="257"/>
      <c r="D988" s="3"/>
      <c r="E988" s="3"/>
      <c r="F988" s="3"/>
      <c r="G988" s="3"/>
      <c r="I988" s="391"/>
    </row>
    <row r="989" spans="1:9" ht="12.75" customHeight="1">
      <c r="A989" s="1247" t="s">
        <v>584</v>
      </c>
      <c r="B989" s="1247"/>
      <c r="C989" s="1247"/>
      <c r="D989" s="1247"/>
      <c r="E989" s="1247"/>
      <c r="F989" s="1247"/>
      <c r="G989" s="1247"/>
      <c r="H989" s="919"/>
      <c r="I989" s="1042"/>
    </row>
    <row r="990" spans="1:9" ht="12.75" customHeight="1">
      <c r="A990" s="84"/>
      <c r="B990" s="84"/>
      <c r="C990" s="257"/>
      <c r="D990" s="3"/>
      <c r="E990" s="3"/>
      <c r="F990" s="3"/>
      <c r="G990" s="3"/>
      <c r="I990" s="391"/>
    </row>
    <row r="991" spans="1:9" ht="12.75" customHeight="1">
      <c r="A991" s="257"/>
      <c r="B991" s="257"/>
      <c r="C991" s="883"/>
      <c r="D991" s="1257" t="s">
        <v>585</v>
      </c>
      <c r="E991" s="1257"/>
      <c r="F991" s="1257"/>
      <c r="G991" s="3"/>
      <c r="I991" s="391"/>
    </row>
    <row r="992" spans="1:9" ht="12.75" customHeight="1">
      <c r="A992" s="119"/>
      <c r="B992" s="119"/>
      <c r="C992" s="119"/>
      <c r="D992" s="1250" t="s">
        <v>586</v>
      </c>
      <c r="E992" s="1250"/>
      <c r="F992" s="1250"/>
      <c r="G992" s="3"/>
      <c r="I992" s="391"/>
    </row>
    <row r="993" spans="1:9" ht="12.75" customHeight="1">
      <c r="A993" s="119"/>
      <c r="B993" s="119"/>
      <c r="C993" s="119"/>
      <c r="D993" s="3"/>
      <c r="E993" s="3"/>
      <c r="F993" s="882"/>
      <c r="G993"/>
      <c r="I993" s="391"/>
    </row>
    <row r="994" spans="1:9" ht="12.75" customHeight="1">
      <c r="A994" s="257"/>
      <c r="B994" s="386" t="s">
        <v>309</v>
      </c>
      <c r="C994" s="257"/>
      <c r="D994" s="1258" t="s">
        <v>587</v>
      </c>
      <c r="E994" s="1258"/>
      <c r="F994" s="1258"/>
      <c r="G994"/>
      <c r="I994" s="391"/>
    </row>
    <row r="995" spans="1:9" ht="12.75" customHeight="1">
      <c r="A995" s="257"/>
      <c r="B995" s="257"/>
      <c r="C995" s="257"/>
      <c r="D995" s="1258"/>
      <c r="E995" s="1258"/>
      <c r="F995" s="1258"/>
      <c r="G995"/>
      <c r="I995" s="391"/>
    </row>
    <row r="996" spans="1:9" ht="12.75" customHeight="1">
      <c r="A996" s="257"/>
      <c r="B996" s="257"/>
      <c r="C996" s="257"/>
      <c r="D996" s="929"/>
      <c r="E996" s="927" t="s">
        <v>588</v>
      </c>
      <c r="F996" s="929"/>
      <c r="G996"/>
      <c r="I996" s="391"/>
    </row>
    <row r="997" spans="1:9" ht="12.75" customHeight="1">
      <c r="A997" s="257"/>
      <c r="B997" s="257"/>
      <c r="C997" s="257"/>
      <c r="D997" s="1229" t="s">
        <v>589</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309</v>
      </c>
      <c r="C1002" s="121"/>
      <c r="D1002" s="1224" t="s">
        <v>590</v>
      </c>
      <c r="E1002" s="1224"/>
      <c r="F1002" s="1224"/>
      <c r="G1002"/>
      <c r="I1002" s="391"/>
    </row>
    <row r="1003" spans="1:9" ht="12.75" customHeight="1">
      <c r="A1003" s="121"/>
      <c r="B1003" s="121"/>
      <c r="C1003" s="121"/>
      <c r="D1003" s="1224"/>
      <c r="E1003" s="1224"/>
      <c r="F1003" s="1224"/>
      <c r="G1003"/>
      <c r="I1003" s="391"/>
    </row>
    <row r="1004" spans="1:9" ht="12.75" customHeight="1">
      <c r="A1004" s="121"/>
      <c r="B1004" s="121"/>
      <c r="C1004" s="121"/>
      <c r="D1004" s="1224"/>
      <c r="E1004" s="1224"/>
      <c r="F1004" s="1224"/>
      <c r="G1004"/>
      <c r="I1004" s="391"/>
    </row>
    <row r="1005" spans="1:9" ht="12.75" customHeight="1">
      <c r="A1005" s="121"/>
      <c r="B1005" s="121"/>
      <c r="C1005" s="121"/>
      <c r="D1005" s="1224"/>
      <c r="E1005" s="1224"/>
      <c r="F1005" s="1224"/>
      <c r="G1005"/>
      <c r="I1005" s="391"/>
    </row>
    <row r="1006" spans="1:9" ht="12.75" customHeight="1">
      <c r="A1006" s="121"/>
      <c r="B1006" s="121"/>
      <c r="C1006" s="121"/>
      <c r="D1006" s="344"/>
      <c r="E1006" s="344"/>
      <c r="F1006" s="344"/>
      <c r="G1006"/>
      <c r="I1006" s="391"/>
    </row>
    <row r="1007" spans="1:9" ht="12.75" customHeight="1">
      <c r="A1007" s="121"/>
      <c r="B1007" s="386" t="s">
        <v>309</v>
      </c>
      <c r="C1007" s="121"/>
      <c r="D1007" s="1224" t="s">
        <v>591</v>
      </c>
      <c r="E1007" s="1224"/>
      <c r="F1007" s="1224"/>
      <c r="G1007"/>
      <c r="I1007" s="391"/>
    </row>
    <row r="1008" spans="1:9" ht="12.75" customHeight="1">
      <c r="A1008" s="121"/>
      <c r="B1008" s="121"/>
      <c r="C1008" s="121"/>
      <c r="D1008" s="1224"/>
      <c r="E1008" s="1224"/>
      <c r="F1008" s="1224"/>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50" t="s">
        <v>592</v>
      </c>
      <c r="E1010" s="1250"/>
      <c r="F1010" s="1250"/>
      <c r="G1010"/>
      <c r="I1010" s="391"/>
    </row>
    <row r="1011" spans="1:9" ht="12.75" customHeight="1">
      <c r="A1011" s="257"/>
      <c r="B1011" s="257"/>
      <c r="C1011" s="257"/>
      <c r="D1011" s="3"/>
      <c r="E1011" s="3"/>
      <c r="F1011" s="3"/>
      <c r="G1011"/>
      <c r="I1011" s="391"/>
    </row>
    <row r="1012" spans="1:9" ht="12.75" customHeight="1">
      <c r="A1012" s="122"/>
      <c r="B1012" s="386" t="s">
        <v>309</v>
      </c>
      <c r="C1012" s="257"/>
      <c r="D1012" s="1250" t="s">
        <v>593</v>
      </c>
      <c r="E1012" s="1250"/>
      <c r="F1012" s="1250"/>
      <c r="G1012"/>
      <c r="I1012" s="391"/>
    </row>
    <row r="1013" spans="1:9" ht="12.75" customHeight="1">
      <c r="A1013" s="257"/>
      <c r="B1013" s="257"/>
      <c r="C1013" s="257"/>
      <c r="D1013" s="84"/>
      <c r="E1013" s="3"/>
      <c r="F1013" s="3"/>
      <c r="G1013"/>
      <c r="I1013" s="391"/>
    </row>
    <row r="1014" spans="1:9" ht="12.75" customHeight="1">
      <c r="A1014" s="122"/>
      <c r="B1014" s="386" t="s">
        <v>309</v>
      </c>
      <c r="C1014" s="257"/>
      <c r="D1014" s="1250" t="s">
        <v>594</v>
      </c>
      <c r="E1014" s="1250"/>
      <c r="F1014" s="1250"/>
      <c r="G1014"/>
      <c r="I1014" s="391"/>
    </row>
    <row r="1015" spans="1:9" ht="12.75" customHeight="1">
      <c r="A1015" s="257"/>
      <c r="B1015" s="257"/>
      <c r="C1015" s="257"/>
      <c r="D1015" s="84"/>
      <c r="E1015" s="3"/>
      <c r="F1015" s="3"/>
      <c r="G1015"/>
      <c r="I1015" s="391"/>
    </row>
    <row r="1016" spans="1:9" ht="12.75" customHeight="1">
      <c r="A1016" s="122"/>
      <c r="B1016" s="386" t="s">
        <v>309</v>
      </c>
      <c r="C1016" s="257"/>
      <c r="D1016" s="1224" t="s">
        <v>595</v>
      </c>
      <c r="E1016" s="1224"/>
      <c r="F1016" s="1224"/>
      <c r="G1016"/>
      <c r="I1016" s="391"/>
    </row>
    <row r="1017" spans="1:9" ht="12.75" customHeight="1">
      <c r="A1017" s="122"/>
      <c r="B1017" s="122"/>
      <c r="C1017" s="257"/>
      <c r="D1017" s="1224"/>
      <c r="E1017" s="1224"/>
      <c r="F1017" s="1224"/>
      <c r="G1017"/>
      <c r="I1017" s="391"/>
    </row>
    <row r="1018" spans="1:9" ht="12.75" customHeight="1">
      <c r="A1018" s="122"/>
      <c r="B1018" s="122"/>
      <c r="C1018" s="257"/>
      <c r="D1018" s="84"/>
      <c r="E1018" s="3"/>
      <c r="F1018" s="3"/>
      <c r="G1018" s="3"/>
      <c r="I1018" s="391"/>
    </row>
    <row r="1019" spans="1:9" ht="12.75" customHeight="1">
      <c r="A1019" s="169"/>
      <c r="B1019" s="386" t="s">
        <v>309</v>
      </c>
      <c r="C1019" s="894"/>
      <c r="D1019" s="1256" t="s">
        <v>596</v>
      </c>
      <c r="E1019" s="1256"/>
      <c r="F1019" s="1256"/>
      <c r="G1019" s="895"/>
      <c r="I1019" s="391"/>
    </row>
    <row r="1020" spans="1:9" ht="12.75" customHeight="1">
      <c r="A1020" s="894"/>
      <c r="B1020" s="894"/>
      <c r="C1020" s="894"/>
      <c r="D1020" s="1256"/>
      <c r="E1020" s="1256"/>
      <c r="F1020" s="1256"/>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46" t="s">
        <v>597</v>
      </c>
      <c r="E1022" s="1246"/>
      <c r="F1022" s="1246"/>
      <c r="G1022" s="895"/>
      <c r="I1022" s="391"/>
    </row>
    <row r="1023" spans="1:9" ht="12.75" customHeight="1">
      <c r="A1023" s="894"/>
      <c r="B1023" s="894"/>
      <c r="C1023" s="894"/>
      <c r="D1023" s="878"/>
      <c r="E1023" s="895"/>
      <c r="F1023" s="895"/>
      <c r="G1023" s="895"/>
      <c r="I1023" s="391"/>
    </row>
    <row r="1024" spans="1:9" ht="12.75" customHeight="1">
      <c r="A1024" s="122"/>
      <c r="B1024" s="386" t="s">
        <v>309</v>
      </c>
      <c r="C1024" s="257"/>
      <c r="D1024" s="1250" t="s">
        <v>598</v>
      </c>
      <c r="E1024" s="1250"/>
      <c r="F1024" s="1250"/>
      <c r="G1024" s="3"/>
      <c r="I1024" s="391"/>
    </row>
    <row r="1025" spans="1:9" ht="12.75" customHeight="1">
      <c r="A1025" s="122"/>
      <c r="B1025" s="122"/>
      <c r="C1025" s="257"/>
      <c r="D1025" s="84"/>
      <c r="E1025" s="3"/>
      <c r="F1025" s="3"/>
      <c r="G1025" s="3"/>
      <c r="I1025" s="391"/>
    </row>
    <row r="1026" spans="1:9" ht="12.75" customHeight="1">
      <c r="A1026" s="122"/>
      <c r="B1026" s="386" t="s">
        <v>309</v>
      </c>
      <c r="C1026" s="257"/>
      <c r="D1026" s="1224" t="s">
        <v>599</v>
      </c>
      <c r="E1026" s="1224"/>
      <c r="F1026" s="1224"/>
      <c r="G1026" s="3"/>
      <c r="I1026" s="391"/>
    </row>
    <row r="1027" spans="1:9" ht="12.75" customHeight="1">
      <c r="A1027" s="122"/>
      <c r="B1027" s="122"/>
      <c r="C1027" s="257"/>
      <c r="D1027" s="1224"/>
      <c r="E1027" s="1224"/>
      <c r="F1027" s="1224"/>
      <c r="G1027" s="3"/>
      <c r="I1027" s="391"/>
    </row>
    <row r="1028" spans="1:9" ht="12.75" customHeight="1">
      <c r="A1028" s="257"/>
      <c r="B1028" s="257"/>
      <c r="C1028" s="257"/>
      <c r="D1028" s="3"/>
      <c r="E1028" s="3"/>
      <c r="F1028" s="3"/>
      <c r="G1028" s="3"/>
      <c r="I1028" s="391"/>
    </row>
    <row r="1029" spans="1:9" ht="12.75" customHeight="1">
      <c r="A1029" s="1247" t="s">
        <v>600</v>
      </c>
      <c r="B1029" s="1247"/>
      <c r="C1029" s="1247"/>
      <c r="D1029" s="1247"/>
      <c r="E1029" s="1247"/>
      <c r="F1029" s="1247"/>
      <c r="G1029" s="1247"/>
      <c r="H1029" s="919"/>
      <c r="I1029" s="1042"/>
    </row>
    <row r="1030" spans="1:9" ht="12.75" customHeight="1">
      <c r="A1030" s="257"/>
      <c r="B1030" s="257"/>
      <c r="C1030" s="257"/>
      <c r="D1030" s="3"/>
      <c r="E1030" s="3"/>
      <c r="F1030" s="3"/>
      <c r="G1030" s="3"/>
      <c r="I1030" s="391"/>
    </row>
    <row r="1031" spans="1:9" ht="12.75" customHeight="1">
      <c r="A1031" s="257"/>
      <c r="B1031" s="257"/>
      <c r="C1031" s="257"/>
      <c r="D1031" s="1245" t="s">
        <v>601</v>
      </c>
      <c r="E1031" s="1245"/>
      <c r="F1031" s="1245"/>
      <c r="G1031" s="3"/>
      <c r="I1031" s="391"/>
    </row>
    <row r="1032" spans="1:9" ht="12.75" customHeight="1">
      <c r="A1032" s="257"/>
      <c r="B1032" s="257"/>
      <c r="C1032" s="257"/>
      <c r="D1032" s="1246" t="s">
        <v>602</v>
      </c>
      <c r="E1032" s="1246"/>
      <c r="F1032" s="1246"/>
      <c r="G1032" s="3"/>
      <c r="I1032" s="391"/>
    </row>
    <row r="1033" spans="1:9" ht="12.75" customHeight="1">
      <c r="A1033" s="119"/>
      <c r="B1033" s="119"/>
      <c r="C1033" s="119"/>
      <c r="D1033" s="3"/>
      <c r="E1033" s="3"/>
      <c r="F1033" s="3"/>
      <c r="G1033" s="3"/>
      <c r="I1033" s="391"/>
    </row>
    <row r="1034" spans="1:9" ht="12.75" customHeight="1">
      <c r="A1034" s="122"/>
      <c r="B1034" s="122"/>
      <c r="C1034" s="121"/>
      <c r="D1034" s="1245" t="s">
        <v>603</v>
      </c>
      <c r="E1034" s="1245"/>
      <c r="F1034" s="1245"/>
      <c r="G1034" s="3"/>
      <c r="I1034" s="391"/>
    </row>
    <row r="1035" spans="1:9" ht="12.75" customHeight="1">
      <c r="A1035" s="257"/>
      <c r="B1035" s="386" t="s">
        <v>309</v>
      </c>
      <c r="C1035" s="257"/>
      <c r="D1035" s="1246" t="s">
        <v>604</v>
      </c>
      <c r="E1035" s="1246"/>
      <c r="F1035" s="1246"/>
      <c r="G1035" s="3"/>
      <c r="I1035" s="391"/>
    </row>
    <row r="1036" spans="1:9" ht="12.75" customHeight="1">
      <c r="A1036" s="257"/>
      <c r="B1036" s="122"/>
      <c r="C1036" s="257"/>
      <c r="D1036" s="1246" t="s">
        <v>605</v>
      </c>
      <c r="E1036" s="1246"/>
      <c r="F1036" s="1246"/>
      <c r="G1036" s="3"/>
      <c r="I1036" s="391"/>
    </row>
    <row r="1037" spans="1:9" ht="12.75" customHeight="1">
      <c r="A1037" s="257"/>
      <c r="B1037" s="257"/>
      <c r="C1037" s="257"/>
      <c r="D1037" s="1246"/>
      <c r="E1037" s="1246"/>
      <c r="F1037" s="1246"/>
      <c r="G1037" s="3"/>
      <c r="I1037" s="391"/>
    </row>
    <row r="1038" spans="1:9" ht="12.75" customHeight="1">
      <c r="A1038" s="1247" t="s">
        <v>606</v>
      </c>
      <c r="B1038" s="1247"/>
      <c r="C1038" s="1247"/>
      <c r="D1038" s="1247"/>
      <c r="E1038" s="1247"/>
      <c r="F1038" s="1247"/>
      <c r="G1038" s="1247"/>
      <c r="H1038" s="919"/>
      <c r="I1038" s="1042"/>
    </row>
    <row r="1039" spans="1:9" ht="12.75" customHeight="1">
      <c r="A1039" s="84"/>
      <c r="B1039" s="84"/>
      <c r="C1039" s="257"/>
      <c r="D1039" s="3"/>
      <c r="E1039" s="3"/>
      <c r="F1039" s="3"/>
      <c r="G1039" s="3"/>
      <c r="I1039" s="391"/>
    </row>
    <row r="1040" spans="1:9" ht="12.75" hidden="1" customHeight="1">
      <c r="A1040" s="84"/>
      <c r="B1040" s="305"/>
      <c r="D1040" s="1244" t="s">
        <v>607</v>
      </c>
      <c r="E1040" s="1244"/>
      <c r="F1040" s="1244"/>
      <c r="G1040" s="3"/>
      <c r="I1040" s="391"/>
    </row>
    <row r="1041" spans="1:9" ht="12.75" hidden="1" customHeight="1">
      <c r="A1041" s="84"/>
      <c r="B1041" s="386" t="s">
        <v>309</v>
      </c>
      <c r="D1041" s="1243" t="s">
        <v>604</v>
      </c>
      <c r="E1041" s="1243"/>
      <c r="F1041" s="1243"/>
      <c r="G1041" s="3"/>
      <c r="I1041" s="391"/>
    </row>
    <row r="1042" spans="1:9" ht="12.75" hidden="1" customHeight="1">
      <c r="A1042" s="84"/>
      <c r="B1042" s="305"/>
      <c r="D1042" s="1243" t="s">
        <v>608</v>
      </c>
      <c r="E1042" s="1243"/>
      <c r="F1042" s="1243"/>
      <c r="G1042" s="3"/>
      <c r="I1042" s="391"/>
    </row>
    <row r="1043" spans="1:9" ht="12.75" hidden="1" customHeight="1">
      <c r="A1043" s="84"/>
      <c r="B1043" s="305"/>
      <c r="D1043" s="346"/>
      <c r="E1043" s="346"/>
      <c r="F1043" s="346"/>
      <c r="G1043" s="3"/>
      <c r="I1043" s="391"/>
    </row>
    <row r="1044" spans="1:9" ht="12.75" customHeight="1">
      <c r="A1044" s="84"/>
      <c r="B1044" s="84"/>
      <c r="C1044" s="257"/>
      <c r="D1044" s="1248" t="s">
        <v>609</v>
      </c>
      <c r="E1044" s="1248"/>
      <c r="F1044" s="1248"/>
      <c r="G1044" s="3"/>
      <c r="I1044" s="391"/>
    </row>
    <row r="1045" spans="1:9" ht="12.75" customHeight="1">
      <c r="A1045" s="224"/>
      <c r="B1045" s="224"/>
      <c r="C1045" s="224"/>
      <c r="D1045" s="1249" t="s">
        <v>610</v>
      </c>
      <c r="E1045" s="1249"/>
      <c r="F1045" s="1249"/>
      <c r="G1045" s="73"/>
      <c r="I1045" s="391"/>
    </row>
    <row r="1046" spans="1:9" ht="12.75" customHeight="1">
      <c r="A1046" s="122"/>
      <c r="B1046" s="386" t="s">
        <v>309</v>
      </c>
      <c r="C1046" s="257"/>
      <c r="D1046" s="1249" t="s">
        <v>611</v>
      </c>
      <c r="E1046" s="1249"/>
      <c r="F1046" s="1249"/>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47" t="s">
        <v>613</v>
      </c>
      <c r="B1049" s="1247"/>
      <c r="C1049" s="1247"/>
      <c r="D1049" s="1247"/>
      <c r="E1049" s="1247"/>
      <c r="F1049" s="1247"/>
      <c r="G1049" s="1247"/>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309</v>
      </c>
      <c r="C1054" s="305"/>
      <c r="D1054" s="1253" t="s">
        <v>616</v>
      </c>
      <c r="E1054" s="1253"/>
      <c r="F1054" s="1253"/>
      <c r="I1054" s="391"/>
    </row>
    <row r="1055" spans="1:9">
      <c r="A1055" s="305"/>
      <c r="B1055" s="305"/>
      <c r="C1055" s="305"/>
      <c r="D1055" s="1253"/>
      <c r="E1055" s="1253"/>
      <c r="F1055" s="1253"/>
      <c r="I1055" s="391"/>
    </row>
    <row r="1056" spans="1:9">
      <c r="A1056" s="305"/>
      <c r="B1056" s="305"/>
      <c r="C1056" s="305"/>
      <c r="D1056" s="1253"/>
      <c r="E1056" s="1253"/>
      <c r="F1056" s="1253"/>
      <c r="I1056" s="391"/>
    </row>
    <row r="1057" spans="1:9">
      <c r="A1057" s="305"/>
      <c r="B1057" s="305"/>
      <c r="C1057" s="305"/>
      <c r="D1057" s="1253"/>
      <c r="E1057" s="1253"/>
      <c r="F1057" s="1253"/>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309</v>
      </c>
      <c r="C1062" s="305"/>
      <c r="D1062" s="305" t="s">
        <v>565</v>
      </c>
      <c r="I1062" s="391"/>
    </row>
    <row r="1063" spans="1:9">
      <c r="A1063" s="305"/>
      <c r="B1063" s="305"/>
      <c r="C1063" s="305"/>
      <c r="I1063" s="391"/>
    </row>
    <row r="1064" spans="1:9">
      <c r="A1064" s="305"/>
      <c r="B1064" s="386" t="s">
        <v>309</v>
      </c>
      <c r="C1064" s="305"/>
      <c r="D1064" s="1253" t="s">
        <v>619</v>
      </c>
      <c r="E1064" s="1253"/>
      <c r="F1064" s="1253"/>
      <c r="I1064" s="391"/>
    </row>
    <row r="1065" spans="1:9">
      <c r="A1065" s="305"/>
      <c r="B1065" s="305"/>
      <c r="C1065" s="305"/>
      <c r="D1065" s="1253"/>
      <c r="E1065" s="1253"/>
      <c r="F1065" s="1253"/>
      <c r="I1065" s="391"/>
    </row>
    <row r="1066" spans="1:9">
      <c r="A1066" s="305"/>
      <c r="B1066" s="305"/>
      <c r="C1066" s="305"/>
      <c r="D1066" s="1253"/>
      <c r="E1066" s="1253"/>
      <c r="F1066" s="1253"/>
      <c r="I1066" s="391"/>
    </row>
    <row r="1067" spans="1:9">
      <c r="A1067" s="305"/>
      <c r="B1067" s="305"/>
      <c r="C1067" s="305"/>
      <c r="D1067" s="1253"/>
      <c r="E1067" s="1253"/>
      <c r="F1067" s="1253"/>
      <c r="I1067" s="391"/>
    </row>
    <row r="1068" spans="1:9">
      <c r="A1068" s="305"/>
      <c r="B1068" s="305"/>
      <c r="C1068" s="305"/>
      <c r="D1068" s="1253"/>
      <c r="E1068" s="1253"/>
      <c r="F1068" s="1253"/>
      <c r="I1068" s="391"/>
    </row>
    <row r="1069" spans="1:9">
      <c r="A1069" s="305"/>
      <c r="B1069" s="305"/>
      <c r="C1069" s="305"/>
      <c r="I1069" s="391"/>
    </row>
    <row r="1070" spans="1:9">
      <c r="A1070" s="1247" t="s">
        <v>620</v>
      </c>
      <c r="B1070" s="1247"/>
      <c r="C1070" s="1247"/>
      <c r="D1070" s="1247"/>
      <c r="E1070" s="1247"/>
      <c r="F1070" s="1247"/>
      <c r="G1070" s="1247"/>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309</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309</v>
      </c>
      <c r="C1079" s="305"/>
      <c r="D1079" s="85" t="s">
        <v>625</v>
      </c>
      <c r="I1079" s="391"/>
    </row>
    <row r="1080" spans="1:9">
      <c r="A1080" s="305"/>
      <c r="B1080" s="305"/>
      <c r="C1080" s="305"/>
      <c r="D1080" s="1224" t="s">
        <v>626</v>
      </c>
      <c r="E1080" s="1224"/>
      <c r="F1080" s="1224"/>
      <c r="I1080" s="391"/>
    </row>
    <row r="1081" spans="1:9">
      <c r="A1081" s="305"/>
      <c r="B1081" s="305"/>
      <c r="C1081" s="305"/>
      <c r="D1081" s="1224"/>
      <c r="E1081" s="1224"/>
      <c r="F1081" s="1224"/>
      <c r="I1081" s="391"/>
    </row>
    <row r="1082" spans="1:9">
      <c r="A1082" s="305"/>
      <c r="B1082" s="305"/>
      <c r="C1082" s="305"/>
      <c r="D1082" s="1224"/>
      <c r="E1082" s="1224"/>
      <c r="F1082" s="1224"/>
      <c r="I1082" s="391"/>
    </row>
    <row r="1083" spans="1:9">
      <c r="A1083" s="305"/>
      <c r="B1083" s="305"/>
      <c r="C1083" s="305"/>
      <c r="D1083" s="1224"/>
      <c r="E1083" s="1224"/>
      <c r="F1083" s="1224"/>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309</v>
      </c>
      <c r="C1087" s="305"/>
      <c r="D1087" s="1252" t="s">
        <v>629</v>
      </c>
      <c r="E1087" s="1252"/>
      <c r="F1087" s="1252"/>
      <c r="I1087" s="391"/>
    </row>
    <row r="1088" spans="1:9">
      <c r="A1088" s="305"/>
      <c r="B1088" s="305"/>
      <c r="C1088" s="305"/>
      <c r="D1088" s="1252"/>
      <c r="E1088" s="1252"/>
      <c r="F1088" s="1252"/>
      <c r="I1088" s="391"/>
    </row>
    <row r="1089" spans="1:9">
      <c r="A1089" s="305"/>
      <c r="B1089" s="305"/>
      <c r="C1089" s="305"/>
      <c r="D1089" s="1252"/>
      <c r="E1089" s="1252"/>
      <c r="F1089" s="1252"/>
      <c r="I1089" s="391"/>
    </row>
    <row r="1090" spans="1:9">
      <c r="A1090" s="305"/>
      <c r="B1090" s="305"/>
      <c r="C1090" s="305"/>
      <c r="D1090" s="1252"/>
      <c r="E1090" s="1252"/>
      <c r="F1090" s="1252"/>
      <c r="I1090" s="391"/>
    </row>
    <row r="1091" spans="1:9">
      <c r="A1091" s="305"/>
      <c r="B1091" s="305"/>
      <c r="C1091" s="305"/>
      <c r="D1091" s="1252"/>
      <c r="E1091" s="1252"/>
      <c r="F1091" s="1252"/>
      <c r="I1091" s="391"/>
    </row>
    <row r="1092" spans="1:9">
      <c r="A1092" s="305"/>
      <c r="B1092" s="305"/>
      <c r="C1092" s="305"/>
      <c r="D1092" s="427" t="s">
        <v>630</v>
      </c>
      <c r="I1092" s="391"/>
    </row>
    <row r="1093" spans="1:9">
      <c r="A1093" s="305"/>
      <c r="B1093" s="305"/>
      <c r="C1093" s="305"/>
      <c r="I1093" s="391"/>
    </row>
    <row r="1094" spans="1:9">
      <c r="A1094" s="305"/>
      <c r="B1094" s="386" t="s">
        <v>309</v>
      </c>
      <c r="C1094" s="305"/>
      <c r="D1094" s="1238" t="s">
        <v>631</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47" t="s">
        <v>632</v>
      </c>
      <c r="B1098" s="1247"/>
      <c r="C1098" s="1247"/>
      <c r="D1098" s="1247"/>
      <c r="E1098" s="1247"/>
      <c r="F1098" s="1247"/>
      <c r="G1098" s="1247"/>
      <c r="H1098" s="919"/>
      <c r="I1098" s="1042"/>
    </row>
    <row r="1099" spans="1:9">
      <c r="A1099" s="305"/>
      <c r="B1099" s="305"/>
      <c r="C1099" s="305"/>
      <c r="I1099" s="391"/>
    </row>
    <row r="1100" spans="1:9">
      <c r="A1100" s="305"/>
      <c r="B1100" s="305"/>
      <c r="C1100" s="305"/>
      <c r="I1100" s="391"/>
    </row>
    <row r="1101" spans="1:9" ht="12.75" customHeight="1">
      <c r="A1101" s="305"/>
      <c r="B1101" s="386" t="s">
        <v>309</v>
      </c>
      <c r="C1101" s="305"/>
      <c r="D1101" s="1254" t="s">
        <v>633</v>
      </c>
      <c r="E1101" s="1254"/>
      <c r="F1101" s="1254"/>
      <c r="I1101" s="391"/>
    </row>
    <row r="1102" spans="1:9">
      <c r="A1102" s="305"/>
      <c r="B1102" s="305"/>
      <c r="C1102" s="305"/>
      <c r="D1102" s="1254"/>
      <c r="E1102" s="1254"/>
      <c r="F1102" s="1254"/>
      <c r="I1102" s="391"/>
    </row>
    <row r="1103" spans="1:9">
      <c r="A1103" s="305"/>
      <c r="B1103" s="305"/>
      <c r="C1103" s="305"/>
      <c r="D1103" s="1255" t="s">
        <v>634</v>
      </c>
      <c r="E1103" s="1224"/>
      <c r="F1103" s="1224"/>
      <c r="I1103" s="391"/>
    </row>
    <row r="1104" spans="1:9">
      <c r="A1104" s="305"/>
      <c r="B1104" s="305"/>
      <c r="C1104" s="305"/>
      <c r="D1104" s="427"/>
      <c r="I1104" s="391"/>
    </row>
    <row r="1105" spans="1:9">
      <c r="A1105" s="305"/>
      <c r="B1105" s="386" t="s">
        <v>309</v>
      </c>
      <c r="C1105" s="305"/>
      <c r="D1105" s="1252" t="s">
        <v>635</v>
      </c>
      <c r="E1105" s="1252"/>
      <c r="F1105" s="1252"/>
      <c r="I1105" s="391"/>
    </row>
    <row r="1106" spans="1:9">
      <c r="A1106" s="305"/>
      <c r="B1106" s="305"/>
      <c r="C1106" s="305"/>
      <c r="D1106" s="1252"/>
      <c r="E1106" s="1252"/>
      <c r="F1106" s="1252"/>
      <c r="I1106" s="391"/>
    </row>
    <row r="1107" spans="1:9">
      <c r="A1107" s="305"/>
      <c r="B1107" s="305"/>
      <c r="C1107" s="305"/>
      <c r="D1107" s="427"/>
      <c r="I1107" s="391"/>
    </row>
    <row r="1108" spans="1:9">
      <c r="A1108" s="305"/>
      <c r="B1108" s="386" t="s">
        <v>309</v>
      </c>
      <c r="C1108" s="305"/>
      <c r="D1108" s="1252" t="s">
        <v>636</v>
      </c>
      <c r="E1108" s="1252"/>
      <c r="F1108" s="1252"/>
      <c r="I1108" s="391"/>
    </row>
    <row r="1109" spans="1:9">
      <c r="A1109" s="305"/>
      <c r="B1109" s="305"/>
      <c r="C1109" s="305"/>
      <c r="D1109" s="1252"/>
      <c r="E1109" s="1252"/>
      <c r="F1109" s="1252"/>
      <c r="I1109" s="391"/>
    </row>
    <row r="1110" spans="1:9">
      <c r="A1110" s="305"/>
      <c r="B1110" s="305"/>
      <c r="C1110" s="305"/>
      <c r="D1110" s="1252"/>
      <c r="E1110" s="1252"/>
      <c r="F1110" s="1252"/>
      <c r="I1110" s="391"/>
    </row>
    <row r="1111" spans="1:9">
      <c r="A1111" s="305"/>
      <c r="B1111" s="305"/>
      <c r="C1111" s="305"/>
      <c r="D1111" s="1252"/>
      <c r="E1111" s="1252"/>
      <c r="F1111" s="1252"/>
      <c r="I1111" s="391"/>
    </row>
    <row r="1112" spans="1:9">
      <c r="A1112" s="305"/>
      <c r="B1112" s="305"/>
      <c r="C1112" s="305"/>
      <c r="D1112" s="1252"/>
      <c r="E1112" s="1252"/>
      <c r="F1112" s="1252"/>
      <c r="I1112" s="391"/>
    </row>
    <row r="1113" spans="1:9">
      <c r="A1113" s="305"/>
      <c r="B1113" s="305"/>
      <c r="C1113" s="305"/>
      <c r="D1113" s="1252"/>
      <c r="E1113" s="1252"/>
      <c r="F1113" s="1252"/>
      <c r="I1113" s="391"/>
    </row>
    <row r="1114" spans="1:9">
      <c r="A1114" s="305"/>
      <c r="B1114" s="305"/>
      <c r="C1114" s="305"/>
      <c r="D1114" s="427"/>
      <c r="I1114" s="381"/>
    </row>
    <row r="1115" spans="1:9">
      <c r="A1115" s="305"/>
      <c r="B1115" s="386" t="s">
        <v>309</v>
      </c>
      <c r="C1115" s="305"/>
      <c r="D1115" s="1252" t="s">
        <v>637</v>
      </c>
      <c r="E1115" s="1252"/>
      <c r="F1115" s="1252"/>
      <c r="I1115" s="391"/>
    </row>
    <row r="1116" spans="1:9">
      <c r="A1116" s="305"/>
      <c r="B1116" s="305"/>
      <c r="C1116" s="305"/>
      <c r="D1116" s="1252"/>
      <c r="E1116" s="1252"/>
      <c r="F1116" s="1252"/>
      <c r="I1116" s="391"/>
    </row>
    <row r="1117" spans="1:9">
      <c r="A1117" s="305"/>
      <c r="B1117" s="305"/>
      <c r="C1117" s="305"/>
      <c r="D1117" s="1252"/>
      <c r="E1117" s="1252"/>
      <c r="F1117" s="1252"/>
      <c r="I1117" s="391"/>
    </row>
    <row r="1118" spans="1:9">
      <c r="A1118" s="305"/>
      <c r="B1118" s="305"/>
      <c r="C1118" s="305"/>
      <c r="D1118" s="427"/>
      <c r="I1118" s="391"/>
    </row>
    <row r="1119" spans="1:9">
      <c r="A1119" s="305"/>
      <c r="B1119" s="386" t="s">
        <v>309</v>
      </c>
      <c r="C1119" s="305"/>
      <c r="D1119" s="1229" t="s">
        <v>638</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309</v>
      </c>
      <c r="C1123" s="305"/>
      <c r="D1123" s="1224" t="s">
        <v>639</v>
      </c>
      <c r="E1123" s="1224"/>
      <c r="F1123" s="1224"/>
      <c r="I1123" s="391"/>
    </row>
    <row r="1124" spans="1:9">
      <c r="A1124" s="305"/>
      <c r="B1124" s="305"/>
      <c r="C1124" s="305"/>
      <c r="D1124" s="1224"/>
      <c r="E1124" s="1224"/>
      <c r="F1124" s="1224"/>
      <c r="I1124" s="391"/>
    </row>
    <row r="1125" spans="1:9">
      <c r="A1125" s="305"/>
      <c r="B1125" s="305"/>
      <c r="C1125" s="305"/>
      <c r="D1125" s="1224"/>
      <c r="E1125" s="1224"/>
      <c r="F1125" s="1224"/>
      <c r="I1125" s="391"/>
    </row>
    <row r="1126" spans="1:9">
      <c r="A1126" s="305"/>
      <c r="B1126" s="305"/>
      <c r="C1126" s="305"/>
      <c r="D1126" s="1224"/>
      <c r="E1126" s="1224"/>
      <c r="F1126" s="1224"/>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1"/>
      <c r="H1541" s="1271"/>
      <c r="I1541" s="127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538" zoomScaleNormal="100" workbookViewId="0">
      <selection activeCell="M554" sqref="M554:P554"/>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3.15" customHeight="1">
      <c r="J1" s="75"/>
      <c r="AS1" s="922">
        <v>4</v>
      </c>
      <c r="BD1" s="3" t="s">
        <v>640</v>
      </c>
      <c r="BE1" s="3"/>
      <c r="BF1" s="3"/>
    </row>
    <row r="2" spans="1:58" ht="13.15" customHeight="1">
      <c r="BD2" s="3" t="s">
        <v>641</v>
      </c>
      <c r="BE2" s="3" t="s">
        <v>642</v>
      </c>
      <c r="BF2" s="3" t="s">
        <v>643</v>
      </c>
    </row>
    <row r="3" spans="1:58" ht="13.15" customHeight="1">
      <c r="BD3" s="3" t="s">
        <v>644</v>
      </c>
      <c r="BE3" t="str">
        <f>AC220</f>
        <v>Bay Area ((Alameda, Contra Costa, Marin, San Francisco, San Mateo, Santa Clara, and Santa Cruz Counties)</v>
      </c>
    </row>
    <row r="4" spans="1:58" ht="13.15" customHeight="1">
      <c r="BD4" s="3" t="s">
        <v>645</v>
      </c>
      <c r="BE4" s="1135"/>
    </row>
    <row r="5" spans="1:58" ht="13.15" customHeight="1">
      <c r="BD5" s="3" t="s">
        <v>646</v>
      </c>
      <c r="BE5">
        <f>SUMIF($AC$718:$AC$752,"&lt;=20%",$G$718:G$752)</f>
        <v>0</v>
      </c>
      <c r="BF5" s="3" t="s">
        <v>647</v>
      </c>
    </row>
    <row r="6" spans="1:58" ht="13.15" customHeight="1">
      <c r="BD6" s="3" t="s">
        <v>648</v>
      </c>
      <c r="BE6" s="1138">
        <f>SUMIF($AC$718:$AC$752,"&lt;=25%",$G$718:G$752)-SUM($BE$5:BE5)</f>
        <v>0</v>
      </c>
    </row>
    <row r="7" spans="1:58" ht="13.15" customHeight="1">
      <c r="BD7" s="1136" t="s">
        <v>649</v>
      </c>
      <c r="BE7" s="1138">
        <f>SUMIF($AC$718:$AC$752,"&lt;=30%",$G$718:G$752)-SUM($BE$5:BE6)</f>
        <v>35</v>
      </c>
    </row>
    <row r="8" spans="1:58" ht="26.25" customHeight="1">
      <c r="A8" s="1372" t="s">
        <v>650</v>
      </c>
      <c r="B8" s="1372"/>
      <c r="C8" s="1372"/>
      <c r="D8" s="1372"/>
      <c r="E8" s="1372"/>
      <c r="F8" s="1372"/>
      <c r="G8" s="1372"/>
      <c r="H8" s="1372"/>
      <c r="I8" s="1372"/>
      <c r="J8" s="1372"/>
      <c r="K8" s="1372"/>
      <c r="L8" s="1372"/>
      <c r="M8" s="1372"/>
      <c r="N8" s="1372"/>
      <c r="O8" s="1372"/>
      <c r="P8" s="1372"/>
      <c r="Q8" s="1372"/>
      <c r="R8" s="1372"/>
      <c r="S8" s="1372"/>
      <c r="T8" s="1372"/>
      <c r="U8" s="1372"/>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372"/>
      <c r="AT8" s="1372"/>
      <c r="AU8" s="794"/>
      <c r="AV8" s="794"/>
      <c r="AW8" s="794"/>
      <c r="AX8" s="794"/>
      <c r="AY8" s="794"/>
      <c r="BD8" s="3" t="s">
        <v>651</v>
      </c>
      <c r="BE8" s="1138">
        <f>SUMIF($AC$718:$AC$752,"&lt;=35%",$G$718:G$752)-SUM($BE$5:BE7)</f>
        <v>0</v>
      </c>
    </row>
    <row r="9" spans="1:58" ht="13.15" customHeight="1">
      <c r="A9" s="1334" t="s">
        <v>652</v>
      </c>
      <c r="B9" s="1334"/>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334"/>
      <c r="AU9" s="12"/>
      <c r="AV9" s="12"/>
      <c r="AW9" s="12"/>
      <c r="AX9" s="12"/>
      <c r="AY9" s="12"/>
      <c r="BD9" s="1137" t="s">
        <v>653</v>
      </c>
      <c r="BE9" s="1138">
        <f>SUMIF($AC$718:$AC$752,"&lt;=40%",$G$718:G$752)-SUM($BE$5:BE8)</f>
        <v>0</v>
      </c>
    </row>
    <row r="10" spans="1:58" ht="13.15" customHeight="1">
      <c r="A10" s="1334" t="s">
        <v>654</v>
      </c>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2"/>
      <c r="AV10" s="12"/>
      <c r="AW10" s="12"/>
      <c r="AX10" s="12"/>
      <c r="AY10" s="12"/>
      <c r="BD10" s="3" t="s">
        <v>655</v>
      </c>
      <c r="BE10" s="1138">
        <f>SUMIF($AC$718:$AC$752,"&lt;=45%",$G$718:G$752)-SUM($BE$5:BE9)</f>
        <v>0</v>
      </c>
    </row>
    <row r="11" spans="1:58" ht="13.15" customHeight="1">
      <c r="A11" s="1334" t="s">
        <v>656</v>
      </c>
      <c r="B11" s="1334"/>
      <c r="C11" s="1334"/>
      <c r="D11" s="1334"/>
      <c r="E11" s="1334"/>
      <c r="F11" s="1334"/>
      <c r="G11" s="1334"/>
      <c r="H11" s="1334"/>
      <c r="I11" s="1334"/>
      <c r="J11" s="1334"/>
      <c r="K11" s="1334"/>
      <c r="L11" s="1334"/>
      <c r="M11" s="1334"/>
      <c r="N11" s="1334"/>
      <c r="O11" s="1334"/>
      <c r="P11" s="1334"/>
      <c r="Q11" s="1334"/>
      <c r="R11" s="1334"/>
      <c r="S11" s="1334"/>
      <c r="T11" s="1334"/>
      <c r="U11" s="1334"/>
      <c r="V11" s="1334"/>
      <c r="W11" s="1334"/>
      <c r="X11" s="1334"/>
      <c r="Y11" s="1334"/>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2"/>
      <c r="AV11" s="12"/>
      <c r="AW11" s="12"/>
      <c r="AX11" s="12"/>
      <c r="AY11" s="12"/>
      <c r="BD11" s="1136" t="s">
        <v>657</v>
      </c>
      <c r="BE11" s="1138">
        <f>SUMIF($AC$718:$AC$752,"&lt;=50%",$G$718:G$752)-SUM($BE$5:BE10)</f>
        <v>20</v>
      </c>
    </row>
    <row r="12" spans="1:58" ht="13.15" customHeight="1">
      <c r="A12" s="1373" t="s">
        <v>658</v>
      </c>
      <c r="B12" s="1373"/>
      <c r="C12" s="1373"/>
      <c r="D12" s="1373"/>
      <c r="E12" s="1373"/>
      <c r="F12" s="1373"/>
      <c r="G12" s="1373"/>
      <c r="H12" s="1373"/>
      <c r="I12" s="1373"/>
      <c r="J12" s="1373"/>
      <c r="K12" s="1373"/>
      <c r="L12" s="1373"/>
      <c r="M12" s="1373"/>
      <c r="N12" s="1373"/>
      <c r="O12" s="1373"/>
      <c r="P12" s="1373"/>
      <c r="Q12" s="1373"/>
      <c r="R12" s="1373"/>
      <c r="S12" s="1373"/>
      <c r="T12" s="1373"/>
      <c r="U12" s="1373"/>
      <c r="V12" s="1373"/>
      <c r="W12" s="1373"/>
      <c r="X12" s="1373"/>
      <c r="Y12" s="1373"/>
      <c r="Z12" s="1373"/>
      <c r="AA12" s="1373"/>
      <c r="AB12" s="1373"/>
      <c r="AC12" s="1373"/>
      <c r="AD12" s="1373"/>
      <c r="AE12" s="1373"/>
      <c r="AF12" s="1373"/>
      <c r="AG12" s="1373"/>
      <c r="AH12" s="1373"/>
      <c r="AI12" s="1373"/>
      <c r="AJ12" s="1373"/>
      <c r="AK12" s="1373"/>
      <c r="AL12" s="1373"/>
      <c r="AM12" s="1373"/>
      <c r="AN12" s="1373"/>
      <c r="AO12" s="1373"/>
      <c r="AP12" s="1373"/>
      <c r="AQ12" s="1373"/>
      <c r="AR12" s="1373"/>
      <c r="AS12" s="1373"/>
      <c r="AT12" s="1373"/>
      <c r="AU12" s="257"/>
      <c r="AV12" s="257"/>
      <c r="AW12" s="257"/>
      <c r="AX12" s="257"/>
      <c r="AY12" s="257"/>
      <c r="BD12" s="3" t="s">
        <v>659</v>
      </c>
      <c r="BE12" s="1138">
        <f>SUMIF($AC$718:$AC$752,"&lt;=55%",$G$718:G$752)-SUM($BE$5:BE11)</f>
        <v>0</v>
      </c>
    </row>
    <row r="13" spans="1:58" ht="13.15" customHeight="1">
      <c r="A13" s="1222" t="s">
        <v>660</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95"/>
      <c r="AV13" s="795"/>
      <c r="AW13" s="795"/>
      <c r="AX13" s="795"/>
      <c r="AY13" s="795"/>
      <c r="BD13" s="1137" t="s">
        <v>661</v>
      </c>
      <c r="BE13" s="1138">
        <f>SUMIF($AC$718:$AC$752,"&lt;=60%",$G$718:G$752)-SUM($BE$5:BE12)</f>
        <v>79</v>
      </c>
    </row>
    <row r="14" spans="1:58" ht="13.15"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95"/>
      <c r="AV14" s="795"/>
      <c r="AW14" s="795"/>
      <c r="AX14" s="795"/>
      <c r="AY14" s="795"/>
      <c r="BD14" s="1136" t="s">
        <v>662</v>
      </c>
      <c r="BE14" s="1138">
        <f>SUMIF($AC$718:$AC$752,"&lt;=70%",$G$718:G$752)-SUM($BE$5:BE13)</f>
        <v>59</v>
      </c>
    </row>
    <row r="15" spans="1:58" ht="13.1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663</v>
      </c>
      <c r="BE15" s="1138">
        <f>SUMIF($AC$718:$AC$752,"&lt;=80%",$G$718:G$752)-SUM($BE$5:BE14)</f>
        <v>0</v>
      </c>
    </row>
    <row r="16" spans="1:58" ht="13.15" customHeight="1">
      <c r="A16" s="49" t="s">
        <v>664</v>
      </c>
      <c r="C16" s="3"/>
      <c r="D16" s="3"/>
      <c r="E16" s="3"/>
      <c r="F16" s="3"/>
      <c r="G16" s="3"/>
      <c r="H16" s="1379" t="s">
        <v>665</v>
      </c>
      <c r="I16" s="1379"/>
      <c r="J16" s="1379"/>
      <c r="K16" s="1379"/>
      <c r="L16" s="1379"/>
      <c r="M16" s="1379"/>
      <c r="N16" s="1379"/>
      <c r="O16" s="1379"/>
      <c r="P16" s="1379"/>
      <c r="Q16" s="1379"/>
      <c r="R16" s="1379"/>
      <c r="S16" s="1379"/>
      <c r="T16" s="1379"/>
      <c r="U16" s="1379"/>
      <c r="V16" s="1379"/>
      <c r="W16" s="1379"/>
      <c r="X16" s="1379"/>
      <c r="Y16" s="1379"/>
      <c r="Z16" s="1379"/>
      <c r="AA16" s="1379"/>
      <c r="AB16" s="1379"/>
      <c r="AC16" s="1379"/>
      <c r="AD16" s="1379"/>
      <c r="AE16" s="1379"/>
      <c r="AF16" s="1379"/>
      <c r="AG16" s="1379"/>
      <c r="AH16" s="1379"/>
      <c r="AI16" s="1379"/>
      <c r="AJ16" s="1379"/>
      <c r="BD16" s="1137" t="s">
        <v>77</v>
      </c>
      <c r="BE16" s="1138" t="str">
        <f>Application!H18</f>
        <v>Joyfield at Buchanan Crossing</v>
      </c>
    </row>
    <row r="17" spans="1:58" ht="13.15" customHeight="1">
      <c r="BD17" s="1136" t="s">
        <v>666</v>
      </c>
      <c r="BE17" s="1138">
        <f>Application!AA934</f>
        <v>0</v>
      </c>
    </row>
    <row r="18" spans="1:58" ht="13.15" customHeight="1">
      <c r="A18" s="49" t="s">
        <v>667</v>
      </c>
      <c r="C18" s="3"/>
      <c r="D18" s="3"/>
      <c r="E18" s="3"/>
      <c r="F18" s="3"/>
      <c r="G18" s="3"/>
      <c r="H18" s="1377" t="s">
        <v>668</v>
      </c>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1377"/>
      <c r="BD18" s="1137" t="s">
        <v>669</v>
      </c>
      <c r="BE18" s="1138">
        <f>'CalHFA Addendum'!N11</f>
        <v>0</v>
      </c>
    </row>
    <row r="19" spans="1:58" ht="13.15" customHeight="1">
      <c r="BD19" s="1136" t="s">
        <v>670</v>
      </c>
      <c r="BE19" s="1138">
        <f>Application!M26</f>
        <v>4257139</v>
      </c>
    </row>
    <row r="20" spans="1:58" ht="13.15" customHeight="1">
      <c r="A20" s="1374" t="s">
        <v>671</v>
      </c>
      <c r="B20" s="1374"/>
      <c r="C20" s="1374"/>
      <c r="D20" s="1374"/>
      <c r="E20" s="1374"/>
      <c r="F20" s="1374"/>
      <c r="G20" s="1374"/>
      <c r="H20" s="1374"/>
      <c r="I20" s="1374"/>
      <c r="J20" s="1374"/>
      <c r="K20" s="1374"/>
      <c r="L20" s="1374"/>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1374"/>
      <c r="AM20" s="1374"/>
      <c r="AN20" s="1374"/>
      <c r="AO20" s="1374"/>
      <c r="AP20" s="1374"/>
      <c r="AQ20" s="1374"/>
      <c r="AR20" s="1374"/>
      <c r="AS20" s="1374"/>
      <c r="AT20" s="1374"/>
      <c r="AU20" s="796"/>
      <c r="AV20" s="796"/>
      <c r="AW20" s="796"/>
      <c r="AX20" s="796"/>
      <c r="AY20" s="796"/>
      <c r="BD20" s="1137" t="s">
        <v>672</v>
      </c>
      <c r="BE20" s="1138">
        <f>Application!M27</f>
        <v>0</v>
      </c>
    </row>
    <row r="21" spans="1:58" ht="13.15" customHeight="1">
      <c r="A21" s="1380" t="s">
        <v>673</v>
      </c>
      <c r="B21" s="1380"/>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0"/>
      <c r="AM21" s="797"/>
      <c r="AN21" s="797"/>
      <c r="AO21" s="797"/>
      <c r="AP21" s="797"/>
      <c r="AQ21" s="797"/>
      <c r="AR21" s="797"/>
      <c r="AS21" s="797"/>
      <c r="AT21" s="797"/>
      <c r="AU21" s="797"/>
      <c r="AV21" s="797"/>
      <c r="AW21" s="797"/>
      <c r="AX21" s="797"/>
      <c r="AY21" s="797"/>
      <c r="BD21" s="1136" t="s">
        <v>674</v>
      </c>
      <c r="BE21" s="1138">
        <f>Application!AM554</f>
        <v>25912873</v>
      </c>
    </row>
    <row r="22" spans="1:58" ht="13.1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675</v>
      </c>
      <c r="BE22" s="1138">
        <f>'Sources and Uses Budget'!B105</f>
        <v>88827994</v>
      </c>
      <c r="BF22" s="3" t="s">
        <v>676</v>
      </c>
    </row>
    <row r="23" spans="1:58" ht="13.15" customHeight="1">
      <c r="A23" s="1254" t="s">
        <v>677</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6"/>
      <c r="AV23" s="16"/>
      <c r="AW23" s="16"/>
      <c r="AX23" s="16"/>
      <c r="AY23" s="16"/>
      <c r="AZ23" s="16"/>
      <c r="BD23" s="1136" t="s">
        <v>678</v>
      </c>
      <c r="BE23" s="1138">
        <f>'Sources and Uses Budget'!B4</f>
        <v>4500000</v>
      </c>
    </row>
    <row r="24" spans="1:58" ht="13.15" customHeight="1">
      <c r="A24" s="1254"/>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6"/>
      <c r="AV24" s="16"/>
      <c r="AW24" s="16"/>
      <c r="AX24" s="16"/>
      <c r="AY24" s="16"/>
      <c r="AZ24" s="16"/>
      <c r="BD24" s="1137" t="s">
        <v>679</v>
      </c>
      <c r="BE24" s="1138">
        <f>Application!AG450</f>
        <v>148320</v>
      </c>
    </row>
    <row r="25" spans="1:58" ht="13.1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680</v>
      </c>
      <c r="BE25" s="1138" t="str">
        <f>Application!D208</f>
        <v>40%/60% Average Income</v>
      </c>
    </row>
    <row r="26" spans="1:58" ht="13.15" customHeight="1">
      <c r="A26" s="3"/>
      <c r="C26" s="3"/>
      <c r="D26" s="3"/>
      <c r="E26" s="3"/>
      <c r="F26" s="3"/>
      <c r="G26" s="3"/>
      <c r="H26" s="3"/>
      <c r="I26" s="3"/>
      <c r="J26" s="3"/>
      <c r="K26" s="3"/>
      <c r="L26" s="3"/>
      <c r="M26" s="1378">
        <f>'Basis &amp; Credits'!AB56</f>
        <v>4257139</v>
      </c>
      <c r="N26" s="1378"/>
      <c r="O26" s="1378"/>
      <c r="P26" s="1378"/>
      <c r="Q26" s="1378"/>
      <c r="R26" s="3" t="s">
        <v>681</v>
      </c>
      <c r="S26" s="3"/>
      <c r="T26" s="3"/>
      <c r="U26" s="3"/>
      <c r="V26" s="3"/>
      <c r="W26" s="3"/>
      <c r="X26" s="3"/>
      <c r="Y26" s="3"/>
      <c r="Z26" s="3"/>
      <c r="AF26" s="3"/>
      <c r="AG26" s="3"/>
      <c r="AH26" s="3"/>
      <c r="AI26" s="3"/>
      <c r="AJ26" s="3"/>
      <c r="AK26" s="3"/>
      <c r="BD26" s="1137" t="s">
        <v>682</v>
      </c>
      <c r="BE26" s="1138" t="b">
        <f>Application!M356="Yes"</f>
        <v>0</v>
      </c>
    </row>
    <row r="27" spans="1:58" ht="13.15" customHeight="1">
      <c r="A27" s="3"/>
      <c r="C27" s="3"/>
      <c r="D27" s="3"/>
      <c r="E27" s="3"/>
      <c r="F27" s="3"/>
      <c r="G27" s="3"/>
      <c r="H27" s="3"/>
      <c r="I27" s="3"/>
      <c r="J27" s="3"/>
      <c r="K27" s="3"/>
      <c r="L27" s="3"/>
      <c r="M27" s="1315">
        <f>'Basis &amp; Credits'!AB78</f>
        <v>0</v>
      </c>
      <c r="N27" s="1315"/>
      <c r="O27" s="1315"/>
      <c r="P27" s="1315"/>
      <c r="Q27" s="1315"/>
      <c r="R27" s="3" t="s">
        <v>683</v>
      </c>
      <c r="S27" s="3"/>
      <c r="T27" s="3"/>
      <c r="U27" s="3"/>
      <c r="V27" s="3"/>
      <c r="W27" s="3"/>
      <c r="X27" s="3"/>
      <c r="Y27" s="3"/>
      <c r="Z27" s="3"/>
      <c r="AF27" s="3"/>
      <c r="AG27" s="3"/>
      <c r="AH27" s="3"/>
      <c r="AI27" s="3"/>
      <c r="AJ27" s="3"/>
      <c r="AK27" s="3"/>
      <c r="BD27" s="1136" t="s">
        <v>684</v>
      </c>
      <c r="BE27" s="1138" t="b">
        <f>Application!M355="Yes"</f>
        <v>1</v>
      </c>
    </row>
    <row r="28" spans="1:58" ht="13.1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685</v>
      </c>
      <c r="BE28" s="1138" t="b">
        <f>Application!M357="Yes"</f>
        <v>0</v>
      </c>
    </row>
    <row r="29" spans="1:58" ht="13.15" customHeight="1">
      <c r="A29" s="1375" t="s">
        <v>686</v>
      </c>
      <c r="B29" s="1375"/>
      <c r="C29" s="1375"/>
      <c r="D29" s="1375"/>
      <c r="E29" s="1375"/>
      <c r="F29" s="1375"/>
      <c r="G29" s="1375"/>
      <c r="H29" s="1375"/>
      <c r="I29" s="1375"/>
      <c r="J29" s="1375"/>
      <c r="K29" s="1375"/>
      <c r="L29" s="1375"/>
      <c r="M29" s="1375"/>
      <c r="N29" s="1375"/>
      <c r="O29" s="1375"/>
      <c r="P29" s="1375"/>
      <c r="Q29" s="1375"/>
      <c r="R29" s="1375"/>
      <c r="S29" s="1375"/>
      <c r="T29" s="1375"/>
      <c r="U29" s="1375"/>
      <c r="V29" s="1375"/>
      <c r="W29" s="1375"/>
      <c r="X29" s="1375"/>
      <c r="Y29" s="1375"/>
      <c r="Z29" s="1375"/>
      <c r="AA29" s="1375"/>
      <c r="AB29" s="1375"/>
      <c r="AC29" s="1375"/>
      <c r="AD29" s="1375"/>
      <c r="AE29" s="1375"/>
      <c r="AF29" s="1375"/>
      <c r="AG29" s="1375"/>
      <c r="AH29" s="1375"/>
      <c r="AI29" s="1375"/>
      <c r="AJ29" s="1375"/>
      <c r="AK29" s="1375"/>
      <c r="AL29" s="1375"/>
      <c r="AM29" s="1375"/>
      <c r="AN29" s="1375"/>
      <c r="AO29" s="1375"/>
      <c r="AP29" s="1375"/>
      <c r="AQ29" s="1375"/>
      <c r="AR29" s="1375"/>
      <c r="AS29" s="1375"/>
      <c r="AT29" s="1375"/>
      <c r="BD29" s="1136" t="s">
        <v>687</v>
      </c>
      <c r="BE29" s="1138" t="b">
        <f>Application!M358="Yes"</f>
        <v>0</v>
      </c>
    </row>
    <row r="30" spans="1:58" ht="13.15" customHeight="1">
      <c r="A30" s="1375"/>
      <c r="B30" s="1375"/>
      <c r="C30" s="1375"/>
      <c r="D30" s="1375"/>
      <c r="E30" s="1375"/>
      <c r="F30" s="1375"/>
      <c r="G30" s="1375"/>
      <c r="H30" s="1375"/>
      <c r="I30" s="1375"/>
      <c r="J30" s="1375"/>
      <c r="K30" s="1375"/>
      <c r="L30" s="1375"/>
      <c r="M30" s="1375"/>
      <c r="N30" s="1375"/>
      <c r="O30" s="1375"/>
      <c r="P30" s="1375"/>
      <c r="Q30" s="1375"/>
      <c r="R30" s="1375"/>
      <c r="S30" s="1375"/>
      <c r="T30" s="1375"/>
      <c r="U30" s="1375"/>
      <c r="V30" s="1375"/>
      <c r="W30" s="1375"/>
      <c r="X30" s="1375"/>
      <c r="Y30" s="1375"/>
      <c r="Z30" s="1375"/>
      <c r="AA30" s="1375"/>
      <c r="AB30" s="1375"/>
      <c r="AC30" s="1375"/>
      <c r="AD30" s="1375"/>
      <c r="AE30" s="1375"/>
      <c r="AF30" s="1375"/>
      <c r="AG30" s="1375"/>
      <c r="AH30" s="1375"/>
      <c r="AI30" s="1375"/>
      <c r="AJ30" s="1375"/>
      <c r="AK30" s="1375"/>
      <c r="AL30" s="1375"/>
      <c r="AM30" s="1375"/>
      <c r="AN30" s="1375"/>
      <c r="AO30" s="1375"/>
      <c r="AP30" s="1375"/>
      <c r="AQ30" s="1375"/>
      <c r="AR30" s="1375"/>
      <c r="AS30" s="1375"/>
      <c r="AT30" s="1375"/>
      <c r="AZ30" s="17"/>
      <c r="BD30" s="1137" t="s">
        <v>688</v>
      </c>
      <c r="BE30" s="1138" t="b">
        <f>Application!AJ355="Yes"</f>
        <v>0</v>
      </c>
    </row>
    <row r="31" spans="1:58" ht="13.15" customHeight="1">
      <c r="A31" s="1375"/>
      <c r="B31" s="1375"/>
      <c r="C31" s="1375"/>
      <c r="D31" s="1375"/>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5"/>
      <c r="AL31" s="1375"/>
      <c r="AM31" s="1375"/>
      <c r="AN31" s="1375"/>
      <c r="AO31" s="1375"/>
      <c r="AP31" s="1375"/>
      <c r="AQ31" s="1375"/>
      <c r="AR31" s="1375"/>
      <c r="AS31" s="1375"/>
      <c r="AT31" s="1375"/>
      <c r="AU31" s="17"/>
      <c r="AV31" s="17"/>
      <c r="AW31" s="17"/>
      <c r="AX31" s="17"/>
      <c r="AY31" s="17"/>
      <c r="AZ31" s="17"/>
      <c r="BD31" s="1136" t="s">
        <v>689</v>
      </c>
      <c r="BE31" s="1138" t="str">
        <f>Application!D211</f>
        <v>Large Family</v>
      </c>
    </row>
    <row r="32" spans="1:58" ht="13.1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690</v>
      </c>
      <c r="BE32" s="1138">
        <f>IF(ISNUMBER(Application!W465),W465,0)</f>
        <v>0</v>
      </c>
    </row>
    <row r="33" spans="1:57" ht="13.15" customHeight="1">
      <c r="A33" s="419" t="s">
        <v>691</v>
      </c>
      <c r="C33" s="419"/>
      <c r="D33" s="419"/>
      <c r="E33" s="419"/>
      <c r="F33" s="419"/>
      <c r="G33" s="419"/>
      <c r="H33" s="419"/>
      <c r="I33" s="419"/>
      <c r="J33" s="419"/>
      <c r="K33" s="419"/>
      <c r="L33" s="419"/>
      <c r="M33" s="419"/>
      <c r="N33" s="419"/>
      <c r="O33" s="1294" t="s">
        <v>692</v>
      </c>
      <c r="P33" s="1294"/>
      <c r="Q33" s="1376" t="s">
        <v>693</v>
      </c>
      <c r="R33" s="1376"/>
      <c r="S33" s="1376"/>
      <c r="T33" s="1376"/>
      <c r="U33" s="1376"/>
      <c r="V33" s="1376"/>
      <c r="W33" s="1376"/>
      <c r="X33" s="1376"/>
      <c r="Y33" s="1376"/>
      <c r="Z33" s="1376"/>
      <c r="AA33" s="1376"/>
      <c r="AB33" s="1376"/>
      <c r="AC33" s="1376"/>
      <c r="AD33" s="1376"/>
      <c r="AE33" s="1376"/>
      <c r="AF33" s="1376"/>
      <c r="AG33" s="1376"/>
      <c r="AH33" s="1376"/>
      <c r="AI33" s="1376"/>
      <c r="AJ33" s="1376"/>
      <c r="AK33" s="1376"/>
      <c r="AL33" s="1376"/>
      <c r="AM33" s="1376"/>
      <c r="AN33" s="1376"/>
      <c r="AO33" s="1376"/>
      <c r="AP33" s="1376"/>
      <c r="AQ33" s="1376"/>
      <c r="AR33" s="1376"/>
      <c r="AS33" s="1376"/>
      <c r="AT33" s="1376"/>
      <c r="AU33" s="17"/>
      <c r="AV33" s="17"/>
      <c r="AW33" s="17"/>
      <c r="AX33" s="17"/>
      <c r="AY33" s="17"/>
      <c r="BD33" s="1136" t="s">
        <v>694</v>
      </c>
      <c r="BE33" s="1138" t="str">
        <f>Application!D220</f>
        <v>East Bay Region: Alameda and Contra Costa Counties</v>
      </c>
    </row>
    <row r="34" spans="1:57" ht="13.15" customHeight="1">
      <c r="A34" s="1375" t="s">
        <v>695</v>
      </c>
      <c r="B34" s="1375"/>
      <c r="C34" s="1375"/>
      <c r="D34" s="1375"/>
      <c r="E34" s="1375"/>
      <c r="F34" s="1375"/>
      <c r="G34" s="1375"/>
      <c r="H34" s="1375"/>
      <c r="I34" s="1375"/>
      <c r="J34" s="1375"/>
      <c r="K34" s="1375"/>
      <c r="L34" s="1375"/>
      <c r="M34" s="1375"/>
      <c r="N34" s="1375"/>
      <c r="O34" s="1375"/>
      <c r="P34" s="1375"/>
      <c r="Q34" s="1375"/>
      <c r="R34" s="1375"/>
      <c r="S34" s="1375"/>
      <c r="T34" s="1375"/>
      <c r="U34" s="1375"/>
      <c r="V34" s="1375"/>
      <c r="W34" s="1375"/>
      <c r="X34" s="1375"/>
      <c r="Y34" s="1375"/>
      <c r="Z34" s="1375"/>
      <c r="AA34" s="1375"/>
      <c r="AB34" s="1375"/>
      <c r="AC34" s="1375"/>
      <c r="AD34" s="1375"/>
      <c r="AE34" s="1375"/>
      <c r="AF34" s="1375"/>
      <c r="AG34" s="1375"/>
      <c r="AH34" s="1375"/>
      <c r="AI34" s="1375"/>
      <c r="AJ34" s="1375"/>
      <c r="AK34" s="1375"/>
      <c r="AL34" s="1375"/>
      <c r="AM34" s="1375"/>
      <c r="AN34" s="1375"/>
      <c r="AO34" s="1375"/>
      <c r="AP34" s="1375"/>
      <c r="AQ34" s="1375"/>
      <c r="AR34" s="1375"/>
      <c r="AS34" s="1375"/>
      <c r="AT34" s="1375"/>
      <c r="AU34" s="17"/>
      <c r="AV34" s="17"/>
      <c r="AW34" s="17"/>
      <c r="AX34" s="17"/>
      <c r="AY34" s="17"/>
      <c r="AZ34" s="17"/>
      <c r="BD34" s="1137" t="s">
        <v>696</v>
      </c>
      <c r="BE34" s="1138" t="str">
        <f>Application!I185</f>
        <v>3110 Buchanan Road</v>
      </c>
    </row>
    <row r="35" spans="1:57" ht="13.15" customHeight="1">
      <c r="A35" s="1375"/>
      <c r="B35" s="1375"/>
      <c r="C35" s="1375"/>
      <c r="D35" s="1375"/>
      <c r="E35" s="1375"/>
      <c r="F35" s="1375"/>
      <c r="G35" s="1375"/>
      <c r="H35" s="1375"/>
      <c r="I35" s="1375"/>
      <c r="J35" s="1375"/>
      <c r="K35" s="1375"/>
      <c r="L35" s="1375"/>
      <c r="M35" s="1375"/>
      <c r="N35" s="1375"/>
      <c r="O35" s="1375"/>
      <c r="P35" s="1375"/>
      <c r="Q35" s="1375"/>
      <c r="R35" s="1375"/>
      <c r="S35" s="1375"/>
      <c r="T35" s="1375"/>
      <c r="U35" s="1375"/>
      <c r="V35" s="1375"/>
      <c r="W35" s="1375"/>
      <c r="X35" s="1375"/>
      <c r="Y35" s="1375"/>
      <c r="Z35" s="1375"/>
      <c r="AA35" s="1375"/>
      <c r="AB35" s="1375"/>
      <c r="AC35" s="1375"/>
      <c r="AD35" s="1375"/>
      <c r="AE35" s="1375"/>
      <c r="AF35" s="1375"/>
      <c r="AG35" s="1375"/>
      <c r="AH35" s="1375"/>
      <c r="AI35" s="1375"/>
      <c r="AJ35" s="1375"/>
      <c r="AK35" s="1375"/>
      <c r="AL35" s="1375"/>
      <c r="AM35" s="1375"/>
      <c r="AN35" s="1375"/>
      <c r="AO35" s="1375"/>
      <c r="AP35" s="1375"/>
      <c r="AQ35" s="1375"/>
      <c r="AR35" s="1375"/>
      <c r="AS35" s="1375"/>
      <c r="AT35" s="1375"/>
      <c r="AU35" s="17"/>
      <c r="AV35" s="17"/>
      <c r="AW35" s="17"/>
      <c r="AX35" s="17"/>
      <c r="AY35" s="17"/>
      <c r="AZ35" s="17"/>
      <c r="BD35" s="1136" t="s">
        <v>697</v>
      </c>
      <c r="BE35" s="1138" t="str">
        <f>IF(Application!E187="","",Application!E187)</f>
        <v/>
      </c>
    </row>
    <row r="36" spans="1:57" ht="13.15" customHeight="1">
      <c r="A36" s="1375"/>
      <c r="B36" s="1375"/>
      <c r="C36" s="1375"/>
      <c r="D36" s="1375"/>
      <c r="E36" s="1375"/>
      <c r="F36" s="1375"/>
      <c r="G36" s="1375"/>
      <c r="H36" s="1375"/>
      <c r="I36" s="1375"/>
      <c r="J36" s="1375"/>
      <c r="K36" s="1375"/>
      <c r="L36" s="1375"/>
      <c r="M36" s="1375"/>
      <c r="N36" s="1375"/>
      <c r="O36" s="1375"/>
      <c r="P36" s="1375"/>
      <c r="Q36" s="1375"/>
      <c r="R36" s="1375"/>
      <c r="S36" s="1375"/>
      <c r="T36" s="1375"/>
      <c r="U36" s="1375"/>
      <c r="V36" s="1375"/>
      <c r="W36" s="1375"/>
      <c r="X36" s="1375"/>
      <c r="Y36" s="1375"/>
      <c r="Z36" s="1375"/>
      <c r="AA36" s="1375"/>
      <c r="AB36" s="1375"/>
      <c r="AC36" s="1375"/>
      <c r="AD36" s="1375"/>
      <c r="AE36" s="1375"/>
      <c r="AF36" s="1375"/>
      <c r="AG36" s="1375"/>
      <c r="AH36" s="1375"/>
      <c r="AI36" s="1375"/>
      <c r="AJ36" s="1375"/>
      <c r="AK36" s="1375"/>
      <c r="AL36" s="1375"/>
      <c r="AM36" s="1375"/>
      <c r="AN36" s="1375"/>
      <c r="AO36" s="1375"/>
      <c r="AP36" s="1375"/>
      <c r="AQ36" s="1375"/>
      <c r="AR36" s="1375"/>
      <c r="AS36" s="1375"/>
      <c r="AT36" s="1375"/>
      <c r="AU36" s="17"/>
      <c r="AV36" s="17"/>
      <c r="AW36" s="17"/>
      <c r="AX36" s="17"/>
      <c r="AY36" s="17"/>
      <c r="AZ36" s="17"/>
      <c r="BD36" s="1137" t="s">
        <v>698</v>
      </c>
      <c r="BE36" s="1138" t="str">
        <f>Application!I189</f>
        <v>Antioch</v>
      </c>
    </row>
    <row r="37" spans="1:57" ht="13.15" customHeight="1">
      <c r="A37" s="1375"/>
      <c r="B37" s="1375"/>
      <c r="C37" s="1375"/>
      <c r="D37" s="1375"/>
      <c r="E37" s="1375"/>
      <c r="F37" s="1375"/>
      <c r="G37" s="1375"/>
      <c r="H37" s="1375"/>
      <c r="I37" s="1375"/>
      <c r="J37" s="1375"/>
      <c r="K37" s="1375"/>
      <c r="L37" s="1375"/>
      <c r="M37" s="1375"/>
      <c r="N37" s="1375"/>
      <c r="O37" s="1375"/>
      <c r="P37" s="1375"/>
      <c r="Q37" s="1375"/>
      <c r="R37" s="1375"/>
      <c r="S37" s="1375"/>
      <c r="T37" s="1375"/>
      <c r="U37" s="1375"/>
      <c r="V37" s="1375"/>
      <c r="W37" s="1375"/>
      <c r="X37" s="1375"/>
      <c r="Y37" s="1375"/>
      <c r="Z37" s="1375"/>
      <c r="AA37" s="1375"/>
      <c r="AB37" s="1375"/>
      <c r="AC37" s="1375"/>
      <c r="AD37" s="1375"/>
      <c r="AE37" s="1375"/>
      <c r="AF37" s="1375"/>
      <c r="AG37" s="1375"/>
      <c r="AH37" s="1375"/>
      <c r="AI37" s="1375"/>
      <c r="AJ37" s="1375"/>
      <c r="AK37" s="1375"/>
      <c r="AL37" s="1375"/>
      <c r="AM37" s="1375"/>
      <c r="AN37" s="1375"/>
      <c r="AO37" s="1375"/>
      <c r="AP37" s="1375"/>
      <c r="AQ37" s="1375"/>
      <c r="AR37" s="1375"/>
      <c r="AS37" s="1375"/>
      <c r="AT37" s="1375"/>
      <c r="AZ37" s="17"/>
      <c r="BD37" s="1136" t="s">
        <v>699</v>
      </c>
      <c r="BE37" s="1138" t="str">
        <f>Application!T189</f>
        <v>Contra Costa</v>
      </c>
    </row>
    <row r="38" spans="1:57" ht="13.15" customHeight="1">
      <c r="A38" s="3"/>
      <c r="AZ38" s="17"/>
      <c r="BD38" s="1137" t="s">
        <v>700</v>
      </c>
      <c r="BE38" s="1138">
        <f>Application!I190</f>
        <v>94509</v>
      </c>
    </row>
    <row r="39" spans="1:57" ht="13.15" customHeight="1">
      <c r="A39" s="1224" t="s">
        <v>701</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7"/>
      <c r="BD39" s="1136" t="s">
        <v>702</v>
      </c>
      <c r="BE39" s="1138">
        <f>Application!AG437</f>
        <v>195</v>
      </c>
    </row>
    <row r="40" spans="1:57" ht="13.15"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7"/>
      <c r="AV40" s="17"/>
      <c r="AW40" s="17"/>
      <c r="AX40" s="17"/>
      <c r="AY40" s="17"/>
      <c r="AZ40" s="17"/>
      <c r="BD40" s="1137" t="s">
        <v>201</v>
      </c>
      <c r="BE40" s="1138">
        <f>Application!AG440</f>
        <v>193</v>
      </c>
    </row>
    <row r="41" spans="1:57" ht="13.15"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7"/>
      <c r="AV41" s="17"/>
      <c r="AW41" s="17"/>
      <c r="AX41" s="17"/>
      <c r="AY41" s="17"/>
      <c r="AZ41" s="17"/>
      <c r="BD41" s="1136" t="s">
        <v>209</v>
      </c>
      <c r="BE41" s="1138">
        <f>Application!AG438</f>
        <v>0</v>
      </c>
    </row>
    <row r="42" spans="1:57" ht="13.15"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7"/>
      <c r="BD42" s="1137" t="s">
        <v>703</v>
      </c>
      <c r="BE42" s="1140">
        <f>Application!AC753</f>
        <v>0.5658031088082901</v>
      </c>
    </row>
    <row r="43" spans="1:57" ht="13.15"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7"/>
      <c r="AV43" s="17"/>
      <c r="AW43" s="17"/>
      <c r="AX43" s="17"/>
      <c r="AY43" s="17"/>
      <c r="AZ43" s="17"/>
      <c r="BD43" s="1136" t="s">
        <v>704</v>
      </c>
      <c r="BE43" s="1140">
        <f>Application!AH753</f>
        <v>0.56576062596964827</v>
      </c>
    </row>
    <row r="44" spans="1:57" ht="13.15"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7"/>
      <c r="AV44" s="17"/>
      <c r="AW44" s="17"/>
      <c r="AX44" s="17"/>
      <c r="AY44" s="17"/>
      <c r="AZ44" s="17"/>
      <c r="BD44" s="1137" t="s">
        <v>705</v>
      </c>
      <c r="BE44" s="1138">
        <f>Application!AC454</f>
        <v>455528.17435897439</v>
      </c>
    </row>
    <row r="45" spans="1:57" ht="13.1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706</v>
      </c>
      <c r="BE45" s="1138">
        <f>Application!AE424</f>
        <v>6</v>
      </c>
    </row>
    <row r="46" spans="1:57" ht="13.15" customHeight="1">
      <c r="A46" s="1254" t="s">
        <v>707</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7"/>
      <c r="AV46" s="17"/>
      <c r="AW46" s="17"/>
      <c r="AX46" s="17"/>
      <c r="AY46" s="17"/>
      <c r="AZ46" s="17"/>
      <c r="BD46" s="1137" t="s">
        <v>708</v>
      </c>
      <c r="BE46" s="1138" t="b">
        <f>Application!T195="Yes"</f>
        <v>0</v>
      </c>
    </row>
    <row r="47" spans="1:57" ht="13.15"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7"/>
      <c r="AV47" s="17"/>
      <c r="AW47" s="17"/>
      <c r="AX47" s="17"/>
      <c r="AY47" s="17"/>
      <c r="AZ47" s="17"/>
      <c r="BD47" s="1136" t="s">
        <v>709</v>
      </c>
      <c r="BE47" s="1138" t="b">
        <f>Application!T196="Yes"</f>
        <v>1</v>
      </c>
    </row>
    <row r="48" spans="1:57" ht="13.15"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7"/>
      <c r="AV48" s="17"/>
      <c r="AW48" s="17"/>
      <c r="AX48" s="17"/>
      <c r="AY48" s="17"/>
      <c r="AZ48" s="17"/>
      <c r="BD48" s="1137" t="s">
        <v>710</v>
      </c>
      <c r="BE48" s="1138" t="str">
        <f>Application!M243</f>
        <v>HOM Buchanan Crossing LLC
(California)</v>
      </c>
    </row>
    <row r="49" spans="1:57" ht="13.15" customHeight="1">
      <c r="A49" s="1254"/>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7"/>
      <c r="AV49" s="17"/>
      <c r="AW49" s="17"/>
      <c r="AX49" s="17"/>
      <c r="AY49" s="17"/>
      <c r="AZ49" s="17"/>
      <c r="BD49" s="1136" t="s">
        <v>711</v>
      </c>
      <c r="BE49" s="1138" t="str">
        <f>Application!M246</f>
        <v>Jaymie Beckett</v>
      </c>
    </row>
    <row r="50" spans="1:57" ht="13.1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712</v>
      </c>
      <c r="BE50" s="1138" t="str">
        <f>Application!AA249</f>
        <v xml:space="preserve">Housing on Merit </v>
      </c>
    </row>
    <row r="51" spans="1:57" ht="13.15" customHeight="1">
      <c r="A51" s="1224" t="s">
        <v>713</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7"/>
      <c r="AV51" s="17"/>
      <c r="AW51" s="17"/>
      <c r="AX51" s="17"/>
      <c r="AY51" s="17"/>
      <c r="AZ51" s="17"/>
      <c r="BD51" s="1136" t="s">
        <v>714</v>
      </c>
      <c r="BE51" s="1138" t="str">
        <f>Application!M251</f>
        <v>Standard Buchanan Manager LLC</v>
      </c>
    </row>
    <row r="52" spans="1:57" ht="13.15"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7"/>
      <c r="AV52" s="17"/>
      <c r="AW52" s="17"/>
      <c r="AX52" s="17"/>
      <c r="AY52" s="17"/>
      <c r="AZ52" s="17"/>
      <c r="BD52" s="1137" t="s">
        <v>715</v>
      </c>
      <c r="BE52" s="1138" t="str">
        <f>Application!M254</f>
        <v>Feras Qumseya</v>
      </c>
    </row>
    <row r="53" spans="1:57" ht="13.1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716</v>
      </c>
      <c r="BE53" s="1138">
        <f>Application!AA257</f>
        <v>0</v>
      </c>
    </row>
    <row r="54" spans="1:57" ht="13.15" customHeight="1">
      <c r="A54" s="1224" t="s">
        <v>717</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7"/>
      <c r="AV54" s="17"/>
      <c r="AW54" s="17"/>
      <c r="AX54" s="17"/>
      <c r="AY54" s="17"/>
      <c r="AZ54" s="18"/>
      <c r="BD54" s="1137" t="s">
        <v>718</v>
      </c>
      <c r="BE54" s="1138">
        <f>Application!M259</f>
        <v>0</v>
      </c>
    </row>
    <row r="55" spans="1:57" ht="13.15"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8"/>
      <c r="BD55" s="1136" t="s">
        <v>719</v>
      </c>
      <c r="BE55" s="1138">
        <f>Application!M262</f>
        <v>0</v>
      </c>
    </row>
    <row r="56" spans="1:57" ht="13.15"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137" t="s">
        <v>720</v>
      </c>
      <c r="BE56" s="1138">
        <f>Application!AA265</f>
        <v>0</v>
      </c>
    </row>
    <row r="57" spans="1:57" ht="13.15"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136" t="s">
        <v>721</v>
      </c>
      <c r="BE57" s="1138" t="str">
        <f>Application!H287</f>
        <v>Standard Development Partners LLC</v>
      </c>
    </row>
    <row r="58" spans="1:57" ht="13.15"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137" t="s">
        <v>722</v>
      </c>
      <c r="BE58" s="1138" t="str">
        <f>Application!H288</f>
        <v>1015 18th St NW #601</v>
      </c>
    </row>
    <row r="59" spans="1:57" ht="13.1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723</v>
      </c>
      <c r="BE59" s="1138" t="str">
        <f>Application!H289</f>
        <v>Washington, DC, 20036</v>
      </c>
    </row>
    <row r="60" spans="1:57" ht="13.15" customHeight="1">
      <c r="A60" s="1224" t="s">
        <v>724</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7"/>
      <c r="AV60" s="17"/>
      <c r="AW60" s="17"/>
      <c r="AX60" s="17"/>
      <c r="AY60" s="17"/>
      <c r="AZ60" s="17"/>
      <c r="BD60" s="1137" t="s">
        <v>725</v>
      </c>
      <c r="BE60" s="1138" t="str">
        <f>Application!H290</f>
        <v>Feras Qumeseya</v>
      </c>
    </row>
    <row r="61" spans="1:57" ht="13.15"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7"/>
      <c r="AV61" s="17"/>
      <c r="AW61" s="17"/>
      <c r="AX61" s="17"/>
      <c r="AY61" s="17"/>
      <c r="AZ61" s="17"/>
      <c r="BD61" s="1136" t="s">
        <v>726</v>
      </c>
      <c r="BE61" s="1138" t="str">
        <f>Application!H293</f>
        <v>FQumseya@Standard-Communities.com</v>
      </c>
    </row>
    <row r="62" spans="1:57" ht="13.1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727</v>
      </c>
      <c r="BE62" s="1141">
        <f>'Basis &amp; Credits'!AB50</f>
        <v>0.85999996711406401</v>
      </c>
    </row>
    <row r="63" spans="1:57" ht="13.15"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729</v>
      </c>
      <c r="BE63" s="1141">
        <f>'Basis &amp; Credits'!AB72</f>
        <v>0</v>
      </c>
    </row>
    <row r="64" spans="1:57" ht="13.1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730</v>
      </c>
      <c r="BE64" s="1138">
        <f>Application!X180</f>
        <v>0</v>
      </c>
    </row>
    <row r="65" spans="1:57" ht="13.15" customHeight="1">
      <c r="A65" s="1224" t="s">
        <v>731</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8"/>
      <c r="AV65" s="18"/>
      <c r="AW65" s="18"/>
      <c r="AX65" s="18"/>
      <c r="AY65" s="18"/>
      <c r="AZ65" s="17"/>
      <c r="BD65" s="1136" t="s">
        <v>732</v>
      </c>
      <c r="BE65" s="1138" t="str">
        <f>Z205</f>
        <v>(select)</v>
      </c>
    </row>
    <row r="66" spans="1:57" ht="13.15"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8"/>
      <c r="AV66" s="18"/>
      <c r="AW66" s="18"/>
      <c r="AX66" s="18"/>
      <c r="AY66" s="18"/>
      <c r="AZ66" s="17"/>
      <c r="BD66" s="1137" t="s">
        <v>733</v>
      </c>
      <c r="BE66" s="1138" t="b">
        <f>Application!Z205="State Farmworker Credit"</f>
        <v>0</v>
      </c>
    </row>
    <row r="67" spans="1:57" ht="13.15"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7"/>
      <c r="BD67" s="1136" t="s">
        <v>734</v>
      </c>
      <c r="BE67" s="1138" t="b">
        <f>Application!O33="Yes"</f>
        <v>0</v>
      </c>
    </row>
    <row r="68" spans="1:57" ht="13.1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735</v>
      </c>
      <c r="BE68" s="1138">
        <f>'Sources and Uses Budget'!D105</f>
        <v>0</v>
      </c>
    </row>
    <row r="69" spans="1:57" ht="13.15" customHeight="1">
      <c r="A69" s="1224" t="s">
        <v>736</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7"/>
      <c r="BD69" s="1136" t="s">
        <v>737</v>
      </c>
      <c r="BE69" s="1138" t="str">
        <f>Application!W700</f>
        <v xml:space="preserve">California Municipal Finance Authority </v>
      </c>
    </row>
    <row r="70" spans="1:57" ht="13.15"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7"/>
      <c r="AV70" s="17"/>
      <c r="AW70" s="17"/>
      <c r="AX70" s="17"/>
      <c r="AY70" s="17"/>
      <c r="AZ70" s="17"/>
      <c r="BD70" s="1137" t="s">
        <v>738</v>
      </c>
      <c r="BE70" s="1138">
        <f ca="1">'Points System'!AF821</f>
        <v>119</v>
      </c>
    </row>
    <row r="71" spans="1:57" ht="13.1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739</v>
      </c>
      <c r="BE71" s="1138">
        <f>'Points System'!AF804</f>
        <v>0</v>
      </c>
    </row>
    <row r="72" spans="1:57" ht="13.15" customHeight="1">
      <c r="A72" s="1375" t="s">
        <v>740</v>
      </c>
      <c r="B72" s="1375"/>
      <c r="C72" s="1375"/>
      <c r="D72" s="1375"/>
      <c r="E72" s="1375"/>
      <c r="F72" s="1375"/>
      <c r="G72" s="1375"/>
      <c r="H72" s="1375"/>
      <c r="I72" s="1375"/>
      <c r="J72" s="1375"/>
      <c r="K72" s="1375"/>
      <c r="L72" s="1375"/>
      <c r="M72" s="1375"/>
      <c r="N72" s="1375"/>
      <c r="O72" s="1375"/>
      <c r="P72" s="1375"/>
      <c r="Q72" s="1375"/>
      <c r="R72" s="1375"/>
      <c r="S72" s="1375"/>
      <c r="T72" s="1375"/>
      <c r="U72" s="1375"/>
      <c r="V72" s="1375"/>
      <c r="W72" s="1375"/>
      <c r="X72" s="1375"/>
      <c r="Y72" s="1375"/>
      <c r="Z72" s="1375"/>
      <c r="AA72" s="1375"/>
      <c r="AB72" s="1375"/>
      <c r="AC72" s="1375"/>
      <c r="AD72" s="1375"/>
      <c r="AE72" s="1375"/>
      <c r="AF72" s="1375"/>
      <c r="AG72" s="1375"/>
      <c r="AH72" s="1375"/>
      <c r="AI72" s="1375"/>
      <c r="AJ72" s="1375"/>
      <c r="AK72" s="1375"/>
      <c r="AL72" s="1375"/>
      <c r="AM72" s="1375"/>
      <c r="AN72" s="1375"/>
      <c r="AO72" s="1375"/>
      <c r="AP72" s="1375"/>
      <c r="AQ72" s="1375"/>
      <c r="AR72" s="1375"/>
      <c r="AS72" s="1375"/>
      <c r="AT72" s="1375"/>
      <c r="AU72" s="17"/>
      <c r="AV72" s="17"/>
      <c r="AW72" s="17"/>
      <c r="AX72" s="17"/>
      <c r="AY72" s="17"/>
      <c r="AZ72" s="17"/>
      <c r="BD72" s="1137" t="s">
        <v>741</v>
      </c>
      <c r="BE72" s="1138">
        <f>'Points System'!AF805</f>
        <v>10</v>
      </c>
    </row>
    <row r="73" spans="1:57" ht="13.15" customHeight="1">
      <c r="A73" s="1375"/>
      <c r="B73" s="1375"/>
      <c r="C73" s="1375"/>
      <c r="D73" s="1375"/>
      <c r="E73" s="1375"/>
      <c r="F73" s="1375"/>
      <c r="G73" s="1375"/>
      <c r="H73" s="1375"/>
      <c r="I73" s="1375"/>
      <c r="J73" s="1375"/>
      <c r="K73" s="1375"/>
      <c r="L73" s="1375"/>
      <c r="M73" s="1375"/>
      <c r="N73" s="1375"/>
      <c r="O73" s="1375"/>
      <c r="P73" s="1375"/>
      <c r="Q73" s="1375"/>
      <c r="R73" s="1375"/>
      <c r="S73" s="1375"/>
      <c r="T73" s="1375"/>
      <c r="U73" s="1375"/>
      <c r="V73" s="1375"/>
      <c r="W73" s="1375"/>
      <c r="X73" s="1375"/>
      <c r="Y73" s="1375"/>
      <c r="Z73" s="1375"/>
      <c r="AA73" s="1375"/>
      <c r="AB73" s="1375"/>
      <c r="AC73" s="1375"/>
      <c r="AD73" s="1375"/>
      <c r="AE73" s="1375"/>
      <c r="AF73" s="1375"/>
      <c r="AG73" s="1375"/>
      <c r="AH73" s="1375"/>
      <c r="AI73" s="1375"/>
      <c r="AJ73" s="1375"/>
      <c r="AK73" s="1375"/>
      <c r="AL73" s="1375"/>
      <c r="AM73" s="1375"/>
      <c r="AN73" s="1375"/>
      <c r="AO73" s="1375"/>
      <c r="AP73" s="1375"/>
      <c r="AQ73" s="1375"/>
      <c r="AR73" s="1375"/>
      <c r="AS73" s="1375"/>
      <c r="AT73" s="1375"/>
      <c r="AU73" s="17"/>
      <c r="AV73" s="17"/>
      <c r="AW73" s="17"/>
      <c r="AX73" s="17"/>
      <c r="AY73" s="17"/>
      <c r="AZ73" s="17"/>
      <c r="BD73" s="1136" t="s">
        <v>742</v>
      </c>
      <c r="BE73" s="1138">
        <f ca="1">'Points System'!AF806</f>
        <v>20</v>
      </c>
    </row>
    <row r="74" spans="1:57" ht="13.1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743</v>
      </c>
      <c r="BE74" s="1138">
        <f>'Points System'!AF807</f>
        <v>10</v>
      </c>
    </row>
    <row r="75" spans="1:57" ht="13.15" customHeight="1">
      <c r="A75" s="1727" t="s">
        <v>744</v>
      </c>
      <c r="B75" s="1727"/>
      <c r="C75" s="1727"/>
      <c r="D75" s="1727"/>
      <c r="E75" s="1727"/>
      <c r="F75" s="1727"/>
      <c r="G75" s="1727"/>
      <c r="H75" s="1727"/>
      <c r="I75" s="1727"/>
      <c r="J75" s="1727"/>
      <c r="K75" s="1727"/>
      <c r="L75" s="1727"/>
      <c r="M75" s="1727"/>
      <c r="N75" s="1727"/>
      <c r="O75" s="1727"/>
      <c r="P75" s="1727"/>
      <c r="Q75" s="1727"/>
      <c r="R75" s="1727"/>
      <c r="S75" s="1727"/>
      <c r="T75" s="1727"/>
      <c r="U75" s="1727"/>
      <c r="V75" s="1727"/>
      <c r="W75" s="1727"/>
      <c r="X75" s="1727"/>
      <c r="Y75" s="1727"/>
      <c r="Z75" s="1727"/>
      <c r="AA75" s="1727"/>
      <c r="AB75" s="1727"/>
      <c r="AC75" s="1727"/>
      <c r="AD75" s="1727"/>
      <c r="AE75" s="1727"/>
      <c r="AF75" s="1727"/>
      <c r="AG75" s="1727"/>
      <c r="AH75" s="1727"/>
      <c r="AI75" s="1727"/>
      <c r="AJ75" s="1727"/>
      <c r="AK75" s="1727"/>
      <c r="AL75" s="1727"/>
      <c r="AM75" s="1727"/>
      <c r="AN75" s="1727"/>
      <c r="AO75" s="1727"/>
      <c r="AP75" s="1727"/>
      <c r="AQ75" s="1727"/>
      <c r="AR75" s="1727"/>
      <c r="AS75" s="1727"/>
      <c r="AT75" s="1727"/>
      <c r="AU75" s="17"/>
      <c r="AV75" s="17"/>
      <c r="AW75" s="17"/>
      <c r="AX75" s="17"/>
      <c r="AY75" s="17"/>
      <c r="AZ75" s="17"/>
      <c r="BD75" s="1136" t="s">
        <v>745</v>
      </c>
      <c r="BE75" s="1138">
        <f>'Points System'!AF808</f>
        <v>10</v>
      </c>
    </row>
    <row r="76" spans="1:57" ht="13.15" customHeight="1">
      <c r="A76" s="1727"/>
      <c r="B76" s="1727"/>
      <c r="C76" s="1727"/>
      <c r="D76" s="1727"/>
      <c r="E76" s="1727"/>
      <c r="F76" s="1727"/>
      <c r="G76" s="1727"/>
      <c r="H76" s="1727"/>
      <c r="I76" s="1727"/>
      <c r="J76" s="1727"/>
      <c r="K76" s="1727"/>
      <c r="L76" s="1727"/>
      <c r="M76" s="1727"/>
      <c r="N76" s="1727"/>
      <c r="O76" s="1727"/>
      <c r="P76" s="1727"/>
      <c r="Q76" s="1727"/>
      <c r="R76" s="1727"/>
      <c r="S76" s="1727"/>
      <c r="T76" s="1727"/>
      <c r="U76" s="1727"/>
      <c r="V76" s="1727"/>
      <c r="W76" s="1727"/>
      <c r="X76" s="1727"/>
      <c r="Y76" s="1727"/>
      <c r="Z76" s="1727"/>
      <c r="AA76" s="1727"/>
      <c r="AB76" s="1727"/>
      <c r="AC76" s="1727"/>
      <c r="AD76" s="1727"/>
      <c r="AE76" s="1727"/>
      <c r="AF76" s="1727"/>
      <c r="AG76" s="1727"/>
      <c r="AH76" s="1727"/>
      <c r="AI76" s="1727"/>
      <c r="AJ76" s="1727"/>
      <c r="AK76" s="1727"/>
      <c r="AL76" s="1727"/>
      <c r="AM76" s="1727"/>
      <c r="AN76" s="1727"/>
      <c r="AO76" s="1727"/>
      <c r="AP76" s="1727"/>
      <c r="AQ76" s="1727"/>
      <c r="AR76" s="1727"/>
      <c r="AS76" s="1727"/>
      <c r="AT76" s="1727"/>
      <c r="AU76" s="17"/>
      <c r="AV76" s="17"/>
      <c r="AW76" s="17"/>
      <c r="AX76" s="17"/>
      <c r="AY76" s="17"/>
      <c r="AZ76" s="15"/>
      <c r="BD76" s="1137" t="s">
        <v>746</v>
      </c>
      <c r="BE76" s="1138">
        <f>'Points System'!AF811</f>
        <v>10</v>
      </c>
    </row>
    <row r="77" spans="1:57" ht="13.15" customHeight="1">
      <c r="A77" s="1727"/>
      <c r="B77" s="1727"/>
      <c r="C77" s="1727"/>
      <c r="D77" s="1727"/>
      <c r="E77" s="1727"/>
      <c r="F77" s="1727"/>
      <c r="G77" s="1727"/>
      <c r="H77" s="1727"/>
      <c r="I77" s="1727"/>
      <c r="J77" s="1727"/>
      <c r="K77" s="1727"/>
      <c r="L77" s="1727"/>
      <c r="M77" s="1727"/>
      <c r="N77" s="1727"/>
      <c r="O77" s="1727"/>
      <c r="P77" s="1727"/>
      <c r="Q77" s="1727"/>
      <c r="R77" s="1727"/>
      <c r="S77" s="1727"/>
      <c r="T77" s="1727"/>
      <c r="U77" s="1727"/>
      <c r="V77" s="1727"/>
      <c r="W77" s="1727"/>
      <c r="X77" s="1727"/>
      <c r="Y77" s="1727"/>
      <c r="Z77" s="1727"/>
      <c r="AA77" s="1727"/>
      <c r="AB77" s="1727"/>
      <c r="AC77" s="1727"/>
      <c r="AD77" s="1727"/>
      <c r="AE77" s="1727"/>
      <c r="AF77" s="1727"/>
      <c r="AG77" s="1727"/>
      <c r="AH77" s="1727"/>
      <c r="AI77" s="1727"/>
      <c r="AJ77" s="1727"/>
      <c r="AK77" s="1727"/>
      <c r="AL77" s="1727"/>
      <c r="AM77" s="1727"/>
      <c r="AN77" s="1727"/>
      <c r="AO77" s="1727"/>
      <c r="AP77" s="1727"/>
      <c r="AQ77" s="1727"/>
      <c r="AR77" s="1727"/>
      <c r="AS77" s="1727"/>
      <c r="AT77" s="1727"/>
      <c r="AU77" s="17"/>
      <c r="AV77" s="17"/>
      <c r="AW77" s="17"/>
      <c r="AX77" s="17"/>
      <c r="AY77" s="17"/>
      <c r="AZ77" s="15"/>
      <c r="BD77" s="1136" t="s">
        <v>747</v>
      </c>
      <c r="BE77" s="1138">
        <f>'Points System'!AF812</f>
        <v>8</v>
      </c>
    </row>
    <row r="78" spans="1:57" ht="13.1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748</v>
      </c>
      <c r="BE78" s="1138">
        <f>'Points System'!AF814</f>
        <v>10</v>
      </c>
    </row>
    <row r="79" spans="1:57" ht="13.15" customHeight="1">
      <c r="A79" s="1224" t="s">
        <v>749</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7"/>
      <c r="AV79" s="17"/>
      <c r="AW79" s="17"/>
      <c r="AX79" s="17"/>
      <c r="AY79" s="17"/>
      <c r="AZ79" s="17"/>
      <c r="BD79" s="1136" t="s">
        <v>750</v>
      </c>
      <c r="BE79" s="1138">
        <f>'Points System'!AF815</f>
        <v>9</v>
      </c>
    </row>
    <row r="80" spans="1:57" ht="13.15"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7"/>
      <c r="AV80" s="17"/>
      <c r="AW80" s="17"/>
      <c r="AX80" s="17"/>
      <c r="AY80" s="17"/>
      <c r="AZ80" s="17"/>
      <c r="BD80" s="1137" t="s">
        <v>751</v>
      </c>
      <c r="BE80" s="1138">
        <f>'Points System'!AF817</f>
        <v>10</v>
      </c>
    </row>
    <row r="81" spans="1:57" ht="13.15"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7"/>
      <c r="AV81" s="17"/>
      <c r="AW81" s="17"/>
      <c r="AX81" s="17"/>
      <c r="AY81" s="17"/>
      <c r="AZ81" s="17"/>
      <c r="BD81" s="1136" t="s">
        <v>752</v>
      </c>
      <c r="BE81" s="1138">
        <f>'Points System'!AF818</f>
        <v>12</v>
      </c>
    </row>
    <row r="82" spans="1:57" ht="13.1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753</v>
      </c>
      <c r="BE82" s="1138">
        <f>'Points System'!AF819</f>
        <v>10</v>
      </c>
    </row>
    <row r="83" spans="1:57" ht="13.15" customHeight="1">
      <c r="A83" s="1224" t="s">
        <v>754</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7"/>
      <c r="AV83" s="17"/>
      <c r="AW83" s="17"/>
      <c r="AX83" s="17"/>
      <c r="AY83" s="17"/>
      <c r="AZ83" s="17"/>
      <c r="BD83" s="1136" t="s">
        <v>755</v>
      </c>
      <c r="BE83" s="1142">
        <f>'Tie Breaker'!H5</f>
        <v>2.459890396711244</v>
      </c>
    </row>
    <row r="84" spans="1:57" ht="13.15"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7"/>
      <c r="AV84" s="17"/>
      <c r="AW84" s="17"/>
      <c r="AX84" s="17"/>
      <c r="AY84" s="17"/>
      <c r="AZ84" s="17"/>
      <c r="BD84" s="1137" t="s">
        <v>756</v>
      </c>
      <c r="BE84" s="1138" t="str">
        <f>Application!O153</f>
        <v>City of Antioch</v>
      </c>
    </row>
    <row r="85" spans="1:57" ht="13.1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757</v>
      </c>
      <c r="BE85" s="1138" t="str">
        <f>Application!O154</f>
        <v>Teri House</v>
      </c>
    </row>
    <row r="86" spans="1:57" ht="13.15" customHeight="1">
      <c r="A86" s="1224" t="s">
        <v>758</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7"/>
      <c r="AV86" s="17"/>
      <c r="AW86" s="17"/>
      <c r="AX86" s="17"/>
      <c r="AY86" s="17"/>
      <c r="AZ86" s="17"/>
      <c r="BD86" s="1137" t="s">
        <v>759</v>
      </c>
      <c r="BE86" s="1138" t="str">
        <f>Application!O155</f>
        <v>City Manager</v>
      </c>
    </row>
    <row r="87" spans="1:57" ht="13.15"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7"/>
      <c r="AV87" s="17"/>
      <c r="AW87" s="17"/>
      <c r="AX87" s="17"/>
      <c r="AY87" s="17"/>
      <c r="AZ87" s="17"/>
      <c r="BD87" s="1136" t="s">
        <v>760</v>
      </c>
      <c r="BE87" s="1138" t="str">
        <f>Application!O156</f>
        <v>200 H Street, 2nd Floor</v>
      </c>
    </row>
    <row r="88" spans="1:57" ht="13.1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761</v>
      </c>
      <c r="BE88" s="1138" t="str">
        <f>Application!O157</f>
        <v>Antioch</v>
      </c>
    </row>
    <row r="89" spans="1:57" ht="13.15" customHeight="1">
      <c r="A89" s="1726" t="s">
        <v>762</v>
      </c>
      <c r="B89" s="1726"/>
      <c r="C89" s="1726"/>
      <c r="D89" s="1726"/>
      <c r="E89" s="1726"/>
      <c r="F89" s="1726"/>
      <c r="G89" s="1726"/>
      <c r="H89" s="1726"/>
      <c r="I89" s="1726"/>
      <c r="J89" s="1726"/>
      <c r="K89" s="1726"/>
      <c r="L89" s="1726"/>
      <c r="M89" s="1726"/>
      <c r="N89" s="1726"/>
      <c r="O89" s="1726"/>
      <c r="P89" s="1726"/>
      <c r="Q89" s="1726"/>
      <c r="R89" s="1726"/>
      <c r="S89" s="1726"/>
      <c r="T89" s="1726"/>
      <c r="U89" s="1726"/>
      <c r="V89" s="1726"/>
      <c r="W89" s="1726"/>
      <c r="X89" s="1726"/>
      <c r="Y89" s="1726"/>
      <c r="Z89" s="1726"/>
      <c r="AA89" s="1726"/>
      <c r="AB89" s="1726"/>
      <c r="AC89" s="1726"/>
      <c r="AD89" s="1726"/>
      <c r="AE89" s="1726"/>
      <c r="AF89" s="1726"/>
      <c r="AG89" s="1726"/>
      <c r="AH89" s="1726"/>
      <c r="AI89" s="1726"/>
      <c r="AJ89" s="1726"/>
      <c r="AK89" s="1726"/>
      <c r="AL89" s="1726"/>
      <c r="AM89" s="1726"/>
      <c r="AN89" s="1726"/>
      <c r="AO89" s="1726"/>
      <c r="AP89" s="1726"/>
      <c r="AQ89" s="1726"/>
      <c r="AR89" s="1726"/>
      <c r="AS89" s="1726"/>
      <c r="AT89" s="1726"/>
      <c r="AU89" s="15"/>
      <c r="AV89" s="15"/>
      <c r="AW89" s="15"/>
      <c r="AX89" s="15"/>
      <c r="AY89" s="15"/>
      <c r="AZ89" s="17"/>
      <c r="BD89" s="1136" t="s">
        <v>763</v>
      </c>
      <c r="BE89" s="1138">
        <f>Application!O158</f>
        <v>94509</v>
      </c>
    </row>
    <row r="90" spans="1:57" ht="13.15" customHeight="1">
      <c r="A90" s="1726"/>
      <c r="B90" s="1726"/>
      <c r="C90" s="1726"/>
      <c r="D90" s="1726"/>
      <c r="E90" s="1726"/>
      <c r="F90" s="1726"/>
      <c r="G90" s="1726"/>
      <c r="H90" s="1726"/>
      <c r="I90" s="1726"/>
      <c r="J90" s="1726"/>
      <c r="K90" s="1726"/>
      <c r="L90" s="1726"/>
      <c r="M90" s="1726"/>
      <c r="N90" s="1726"/>
      <c r="O90" s="1726"/>
      <c r="P90" s="1726"/>
      <c r="Q90" s="1726"/>
      <c r="R90" s="1726"/>
      <c r="S90" s="1726"/>
      <c r="T90" s="1726"/>
      <c r="U90" s="1726"/>
      <c r="V90" s="1726"/>
      <c r="W90" s="1726"/>
      <c r="X90" s="1726"/>
      <c r="Y90" s="1726"/>
      <c r="Z90" s="1726"/>
      <c r="AA90" s="1726"/>
      <c r="AB90" s="1726"/>
      <c r="AC90" s="1726"/>
      <c r="AD90" s="1726"/>
      <c r="AE90" s="1726"/>
      <c r="AF90" s="1726"/>
      <c r="AG90" s="1726"/>
      <c r="AH90" s="1726"/>
      <c r="AI90" s="1726"/>
      <c r="AJ90" s="1726"/>
      <c r="AK90" s="1726"/>
      <c r="AL90" s="1726"/>
      <c r="AM90" s="1726"/>
      <c r="AN90" s="1726"/>
      <c r="AO90" s="1726"/>
      <c r="AP90" s="1726"/>
      <c r="AQ90" s="1726"/>
      <c r="AR90" s="1726"/>
      <c r="AS90" s="1726"/>
      <c r="AT90" s="1726"/>
      <c r="AU90" s="15"/>
      <c r="AV90" s="15"/>
      <c r="AW90" s="15"/>
      <c r="AX90" s="15"/>
      <c r="AY90" s="15"/>
      <c r="AZ90" s="17"/>
      <c r="BD90" s="1137" t="s">
        <v>764</v>
      </c>
      <c r="BE90" s="1138" t="str">
        <f>Application!H16</f>
        <v>Standard Buchanan Venture LP</v>
      </c>
    </row>
    <row r="91" spans="1:57" ht="13.1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765</v>
      </c>
      <c r="BE91" s="1138" t="str">
        <f>Application!M233</f>
        <v>1015 18th St NW #601</v>
      </c>
    </row>
    <row r="92" spans="1:57" ht="13.15" customHeight="1">
      <c r="A92" s="1727" t="s">
        <v>766</v>
      </c>
      <c r="B92" s="1727"/>
      <c r="C92" s="1727"/>
      <c r="D92" s="1727"/>
      <c r="E92" s="1727"/>
      <c r="F92" s="1727"/>
      <c r="G92" s="1727"/>
      <c r="H92" s="1727"/>
      <c r="I92" s="1727"/>
      <c r="J92" s="1727"/>
      <c r="K92" s="1727"/>
      <c r="L92" s="1727"/>
      <c r="M92" s="1727"/>
      <c r="N92" s="1727"/>
      <c r="O92" s="1727"/>
      <c r="P92" s="1727"/>
      <c r="Q92" s="1727"/>
      <c r="R92" s="1727"/>
      <c r="S92" s="1727"/>
      <c r="T92" s="1727"/>
      <c r="U92" s="1727"/>
      <c r="V92" s="1727"/>
      <c r="W92" s="1727"/>
      <c r="X92" s="1727"/>
      <c r="Y92" s="1727"/>
      <c r="Z92" s="1727"/>
      <c r="AA92" s="1727"/>
      <c r="AB92" s="1727"/>
      <c r="AC92" s="1727"/>
      <c r="AD92" s="1727"/>
      <c r="AE92" s="1727"/>
      <c r="AF92" s="1727"/>
      <c r="AG92" s="1727"/>
      <c r="AH92" s="1727"/>
      <c r="AI92" s="1727"/>
      <c r="AJ92" s="1727"/>
      <c r="AK92" s="1727"/>
      <c r="AL92" s="1727"/>
      <c r="AM92" s="1727"/>
      <c r="AN92" s="1727"/>
      <c r="AO92" s="1727"/>
      <c r="AP92" s="1727"/>
      <c r="AQ92" s="1727"/>
      <c r="AR92" s="1727"/>
      <c r="AS92" s="1727"/>
      <c r="AT92" s="1727"/>
      <c r="AU92" s="17"/>
      <c r="AV92" s="17"/>
      <c r="AW92" s="17"/>
      <c r="AX92" s="17"/>
      <c r="AY92" s="17"/>
      <c r="AZ92" s="17"/>
      <c r="BD92" s="1137" t="s">
        <v>767</v>
      </c>
      <c r="BE92" s="1138" t="str">
        <f>Application!M234</f>
        <v>Washington</v>
      </c>
    </row>
    <row r="93" spans="1:57" ht="13.15" customHeight="1">
      <c r="A93" s="1727"/>
      <c r="B93" s="1727"/>
      <c r="C93" s="1727"/>
      <c r="D93" s="1727"/>
      <c r="E93" s="1727"/>
      <c r="F93" s="1727"/>
      <c r="G93" s="1727"/>
      <c r="H93" s="1727"/>
      <c r="I93" s="1727"/>
      <c r="J93" s="1727"/>
      <c r="K93" s="1727"/>
      <c r="L93" s="1727"/>
      <c r="M93" s="1727"/>
      <c r="N93" s="1727"/>
      <c r="O93" s="1727"/>
      <c r="P93" s="1727"/>
      <c r="Q93" s="1727"/>
      <c r="R93" s="1727"/>
      <c r="S93" s="1727"/>
      <c r="T93" s="1727"/>
      <c r="U93" s="1727"/>
      <c r="V93" s="1727"/>
      <c r="W93" s="1727"/>
      <c r="X93" s="1727"/>
      <c r="Y93" s="1727"/>
      <c r="Z93" s="1727"/>
      <c r="AA93" s="1727"/>
      <c r="AB93" s="1727"/>
      <c r="AC93" s="1727"/>
      <c r="AD93" s="1727"/>
      <c r="AE93" s="1727"/>
      <c r="AF93" s="1727"/>
      <c r="AG93" s="1727"/>
      <c r="AH93" s="1727"/>
      <c r="AI93" s="1727"/>
      <c r="AJ93" s="1727"/>
      <c r="AK93" s="1727"/>
      <c r="AL93" s="1727"/>
      <c r="AM93" s="1727"/>
      <c r="AN93" s="1727"/>
      <c r="AO93" s="1727"/>
      <c r="AP93" s="1727"/>
      <c r="AQ93" s="1727"/>
      <c r="AR93" s="1727"/>
      <c r="AS93" s="1727"/>
      <c r="AT93" s="1727"/>
      <c r="AU93" s="17"/>
      <c r="AV93" s="17"/>
      <c r="AW93" s="17"/>
      <c r="AX93" s="17"/>
      <c r="AY93" s="17"/>
      <c r="AZ93" s="17"/>
      <c r="BD93" s="1136" t="s">
        <v>768</v>
      </c>
      <c r="BE93" s="1138" t="str">
        <f>Application!W234</f>
        <v>DC</v>
      </c>
    </row>
    <row r="94" spans="1:57" ht="13.15" customHeight="1">
      <c r="A94" s="1727"/>
      <c r="B94" s="1727"/>
      <c r="C94" s="1727"/>
      <c r="D94" s="1727"/>
      <c r="E94" s="1727"/>
      <c r="F94" s="1727"/>
      <c r="G94" s="1727"/>
      <c r="H94" s="1727"/>
      <c r="I94" s="1727"/>
      <c r="J94" s="1727"/>
      <c r="K94" s="1727"/>
      <c r="L94" s="1727"/>
      <c r="M94" s="1727"/>
      <c r="N94" s="1727"/>
      <c r="O94" s="1727"/>
      <c r="P94" s="1727"/>
      <c r="Q94" s="1727"/>
      <c r="R94" s="1727"/>
      <c r="S94" s="1727"/>
      <c r="T94" s="1727"/>
      <c r="U94" s="1727"/>
      <c r="V94" s="1727"/>
      <c r="W94" s="1727"/>
      <c r="X94" s="1727"/>
      <c r="Y94" s="1727"/>
      <c r="Z94" s="1727"/>
      <c r="AA94" s="1727"/>
      <c r="AB94" s="1727"/>
      <c r="AC94" s="1727"/>
      <c r="AD94" s="1727"/>
      <c r="AE94" s="1727"/>
      <c r="AF94" s="1727"/>
      <c r="AG94" s="1727"/>
      <c r="AH94" s="1727"/>
      <c r="AI94" s="1727"/>
      <c r="AJ94" s="1727"/>
      <c r="AK94" s="1727"/>
      <c r="AL94" s="1727"/>
      <c r="AM94" s="1727"/>
      <c r="AN94" s="1727"/>
      <c r="AO94" s="1727"/>
      <c r="AP94" s="1727"/>
      <c r="AQ94" s="1727"/>
      <c r="AR94" s="1727"/>
      <c r="AS94" s="1727"/>
      <c r="AT94" s="1727"/>
      <c r="AU94" s="17"/>
      <c r="AV94" s="17"/>
      <c r="AW94" s="17"/>
      <c r="AX94" s="17"/>
      <c r="AY94" s="17"/>
      <c r="AZ94" s="17"/>
      <c r="BD94" s="1137" t="s">
        <v>769</v>
      </c>
      <c r="BE94" s="1138">
        <f>Application!AC234</f>
        <v>20036</v>
      </c>
    </row>
    <row r="95" spans="1:57" ht="13.15" customHeight="1">
      <c r="A95" s="1727"/>
      <c r="B95" s="1727"/>
      <c r="C95" s="1727"/>
      <c r="D95" s="1727"/>
      <c r="E95" s="1727"/>
      <c r="F95" s="1727"/>
      <c r="G95" s="1727"/>
      <c r="H95" s="1727"/>
      <c r="I95" s="1727"/>
      <c r="J95" s="1727"/>
      <c r="K95" s="1727"/>
      <c r="L95" s="1727"/>
      <c r="M95" s="1727"/>
      <c r="N95" s="1727"/>
      <c r="O95" s="1727"/>
      <c r="P95" s="1727"/>
      <c r="Q95" s="1727"/>
      <c r="R95" s="1727"/>
      <c r="S95" s="1727"/>
      <c r="T95" s="1727"/>
      <c r="U95" s="1727"/>
      <c r="V95" s="1727"/>
      <c r="W95" s="1727"/>
      <c r="X95" s="1727"/>
      <c r="Y95" s="1727"/>
      <c r="Z95" s="1727"/>
      <c r="AA95" s="1727"/>
      <c r="AB95" s="1727"/>
      <c r="AC95" s="1727"/>
      <c r="AD95" s="1727"/>
      <c r="AE95" s="1727"/>
      <c r="AF95" s="1727"/>
      <c r="AG95" s="1727"/>
      <c r="AH95" s="1727"/>
      <c r="AI95" s="1727"/>
      <c r="AJ95" s="1727"/>
      <c r="AK95" s="1727"/>
      <c r="AL95" s="1727"/>
      <c r="AM95" s="1727"/>
      <c r="AN95" s="1727"/>
      <c r="AO95" s="1727"/>
      <c r="AP95" s="1727"/>
      <c r="AQ95" s="1727"/>
      <c r="AR95" s="1727"/>
      <c r="AS95" s="1727"/>
      <c r="AT95" s="1727"/>
      <c r="AU95" s="17"/>
      <c r="AV95" s="17"/>
      <c r="AW95" s="17"/>
      <c r="AX95" s="17"/>
      <c r="AY95" s="17"/>
      <c r="AZ95" s="17"/>
      <c r="BD95" s="1136" t="s">
        <v>770</v>
      </c>
      <c r="BE95" s="1138" t="str">
        <f>Application!M235</f>
        <v>Feras Qumseya</v>
      </c>
    </row>
    <row r="96" spans="1:57" ht="13.15" customHeight="1">
      <c r="A96" s="1727"/>
      <c r="B96" s="1727"/>
      <c r="C96" s="1727"/>
      <c r="D96" s="1727"/>
      <c r="E96" s="1727"/>
      <c r="F96" s="1727"/>
      <c r="G96" s="1727"/>
      <c r="H96" s="1727"/>
      <c r="I96" s="1727"/>
      <c r="J96" s="1727"/>
      <c r="K96" s="1727"/>
      <c r="L96" s="1727"/>
      <c r="M96" s="1727"/>
      <c r="N96" s="1727"/>
      <c r="O96" s="1727"/>
      <c r="P96" s="1727"/>
      <c r="Q96" s="1727"/>
      <c r="R96" s="1727"/>
      <c r="S96" s="1727"/>
      <c r="T96" s="1727"/>
      <c r="U96" s="1727"/>
      <c r="V96" s="1727"/>
      <c r="W96" s="1727"/>
      <c r="X96" s="1727"/>
      <c r="Y96" s="1727"/>
      <c r="Z96" s="1727"/>
      <c r="AA96" s="1727"/>
      <c r="AB96" s="1727"/>
      <c r="AC96" s="1727"/>
      <c r="AD96" s="1727"/>
      <c r="AE96" s="1727"/>
      <c r="AF96" s="1727"/>
      <c r="AG96" s="1727"/>
      <c r="AH96" s="1727"/>
      <c r="AI96" s="1727"/>
      <c r="AJ96" s="1727"/>
      <c r="AK96" s="1727"/>
      <c r="AL96" s="1727"/>
      <c r="AM96" s="1727"/>
      <c r="AN96" s="1727"/>
      <c r="AO96" s="1727"/>
      <c r="AP96" s="1727"/>
      <c r="AQ96" s="1727"/>
      <c r="AR96" s="1727"/>
      <c r="AS96" s="1727"/>
      <c r="AT96" s="1727"/>
      <c r="AU96" s="17"/>
      <c r="AV96" s="17"/>
      <c r="AW96" s="17"/>
      <c r="AX96" s="17"/>
      <c r="AY96" s="17"/>
      <c r="AZ96" s="17"/>
      <c r="BD96" s="1137" t="s">
        <v>771</v>
      </c>
      <c r="BE96" s="1138" t="str">
        <f>Application!M237</f>
        <v>FQumseya@Standard-Communities.com</v>
      </c>
    </row>
    <row r="97" spans="1:57" ht="13.15" customHeight="1">
      <c r="A97" s="1727"/>
      <c r="B97" s="1727"/>
      <c r="C97" s="1727"/>
      <c r="D97" s="1727"/>
      <c r="E97" s="1727"/>
      <c r="F97" s="1727"/>
      <c r="G97" s="1727"/>
      <c r="H97" s="1727"/>
      <c r="I97" s="1727"/>
      <c r="J97" s="1727"/>
      <c r="K97" s="1727"/>
      <c r="L97" s="1727"/>
      <c r="M97" s="1727"/>
      <c r="N97" s="1727"/>
      <c r="O97" s="1727"/>
      <c r="P97" s="1727"/>
      <c r="Q97" s="1727"/>
      <c r="R97" s="1727"/>
      <c r="S97" s="1727"/>
      <c r="T97" s="1727"/>
      <c r="U97" s="1727"/>
      <c r="V97" s="1727"/>
      <c r="W97" s="1727"/>
      <c r="X97" s="1727"/>
      <c r="Y97" s="1727"/>
      <c r="Z97" s="1727"/>
      <c r="AA97" s="1727"/>
      <c r="AB97" s="1727"/>
      <c r="AC97" s="1727"/>
      <c r="AD97" s="1727"/>
      <c r="AE97" s="1727"/>
      <c r="AF97" s="1727"/>
      <c r="AG97" s="1727"/>
      <c r="AH97" s="1727"/>
      <c r="AI97" s="1727"/>
      <c r="AJ97" s="1727"/>
      <c r="AK97" s="1727"/>
      <c r="AL97" s="1727"/>
      <c r="AM97" s="1727"/>
      <c r="AN97" s="1727"/>
      <c r="AO97" s="1727"/>
      <c r="AP97" s="1727"/>
      <c r="AQ97" s="1727"/>
      <c r="AR97" s="1727"/>
      <c r="AS97" s="1727"/>
      <c r="AT97" s="1727"/>
      <c r="AU97" s="17"/>
      <c r="AV97" s="17"/>
      <c r="AW97" s="17"/>
      <c r="AX97" s="17"/>
      <c r="AY97" s="17"/>
      <c r="AZ97" s="17"/>
      <c r="BD97" s="1136" t="s">
        <v>772</v>
      </c>
      <c r="BE97" s="1138" t="str">
        <f>Application!M248</f>
        <v>jbeckett@housingonmerit.org</v>
      </c>
    </row>
    <row r="98" spans="1:57" ht="13.15" customHeight="1">
      <c r="A98" s="1727"/>
      <c r="B98" s="1727"/>
      <c r="C98" s="1727"/>
      <c r="D98" s="1727"/>
      <c r="E98" s="1727"/>
      <c r="F98" s="1727"/>
      <c r="G98" s="1727"/>
      <c r="H98" s="1727"/>
      <c r="I98" s="1727"/>
      <c r="J98" s="1727"/>
      <c r="K98" s="1727"/>
      <c r="L98" s="1727"/>
      <c r="M98" s="1727"/>
      <c r="N98" s="1727"/>
      <c r="O98" s="1727"/>
      <c r="P98" s="1727"/>
      <c r="Q98" s="1727"/>
      <c r="R98" s="1727"/>
      <c r="S98" s="1727"/>
      <c r="T98" s="1727"/>
      <c r="U98" s="1727"/>
      <c r="V98" s="1727"/>
      <c r="W98" s="1727"/>
      <c r="X98" s="1727"/>
      <c r="Y98" s="1727"/>
      <c r="Z98" s="1727"/>
      <c r="AA98" s="1727"/>
      <c r="AB98" s="1727"/>
      <c r="AC98" s="1727"/>
      <c r="AD98" s="1727"/>
      <c r="AE98" s="1727"/>
      <c r="AF98" s="1727"/>
      <c r="AG98" s="1727"/>
      <c r="AH98" s="1727"/>
      <c r="AI98" s="1727"/>
      <c r="AJ98" s="1727"/>
      <c r="AK98" s="1727"/>
      <c r="AL98" s="1727"/>
      <c r="AM98" s="1727"/>
      <c r="AN98" s="1727"/>
      <c r="AO98" s="1727"/>
      <c r="AP98" s="1727"/>
      <c r="AQ98" s="1727"/>
      <c r="AR98" s="1727"/>
      <c r="AS98" s="1727"/>
      <c r="AT98" s="1727"/>
      <c r="AU98" s="17"/>
      <c r="AV98" s="17"/>
      <c r="AW98" s="17"/>
      <c r="AX98" s="17"/>
      <c r="AY98" s="17"/>
      <c r="AZ98" s="17"/>
      <c r="BD98" s="1137" t="s">
        <v>773</v>
      </c>
      <c r="BE98" s="1138" t="str">
        <f>Application!M256</f>
        <v>FQumseya@Standard-Communities.com</v>
      </c>
    </row>
    <row r="99" spans="1:57" ht="13.1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774</v>
      </c>
      <c r="BE99" s="1138">
        <f>Application!M264</f>
        <v>0</v>
      </c>
    </row>
    <row r="100" spans="1:57" ht="13.15" customHeight="1">
      <c r="A100" s="1728" t="s">
        <v>775</v>
      </c>
      <c r="B100" s="1728"/>
      <c r="C100" s="1728"/>
      <c r="D100" s="1728"/>
      <c r="E100" s="1728"/>
      <c r="F100" s="1728"/>
      <c r="G100" s="1728"/>
      <c r="H100" s="1728"/>
      <c r="I100" s="1728"/>
      <c r="J100" s="1728"/>
      <c r="K100" s="1728"/>
      <c r="L100" s="1728"/>
      <c r="M100" s="1728"/>
      <c r="N100" s="1728"/>
      <c r="O100" s="1728"/>
      <c r="P100" s="1728"/>
      <c r="Q100" s="1728"/>
      <c r="R100" s="1728"/>
      <c r="S100" s="1728"/>
      <c r="T100" s="1728"/>
      <c r="U100" s="1728"/>
      <c r="V100" s="1728"/>
      <c r="W100" s="1728"/>
      <c r="X100" s="1728"/>
      <c r="Y100" s="1728"/>
      <c r="Z100" s="1728"/>
      <c r="AA100" s="1728"/>
      <c r="AB100" s="1728"/>
      <c r="AC100" s="1728"/>
      <c r="AD100" s="1728"/>
      <c r="AE100" s="1728"/>
      <c r="AF100" s="1728"/>
      <c r="AG100" s="1728"/>
      <c r="AH100" s="1728"/>
      <c r="AI100" s="1728"/>
      <c r="AJ100" s="1728"/>
      <c r="AK100" s="1728"/>
      <c r="AL100" s="1728"/>
      <c r="AM100" s="1728"/>
      <c r="AN100" s="1728"/>
      <c r="AO100" s="1728"/>
      <c r="AP100" s="1728"/>
      <c r="AQ100" s="1728"/>
      <c r="AR100" s="1728"/>
      <c r="AS100" s="1728"/>
      <c r="AT100" s="1728"/>
      <c r="AU100" s="17"/>
      <c r="AV100" s="17"/>
      <c r="AW100" s="17"/>
      <c r="AX100" s="17"/>
      <c r="AY100" s="17"/>
      <c r="AZ100" s="17"/>
      <c r="BD100" s="1137" t="s">
        <v>776</v>
      </c>
      <c r="BE100" s="1138" t="str">
        <f>Application!L279</f>
        <v>jmccall@standard-communities.com</v>
      </c>
    </row>
    <row r="101" spans="1:57" ht="13.15" customHeight="1">
      <c r="A101" s="1728"/>
      <c r="B101" s="1728"/>
      <c r="C101" s="1728"/>
      <c r="D101" s="1728"/>
      <c r="E101" s="1728"/>
      <c r="F101" s="1728"/>
      <c r="G101" s="1728"/>
      <c r="H101" s="1728"/>
      <c r="I101" s="1728"/>
      <c r="J101" s="1728"/>
      <c r="K101" s="1728"/>
      <c r="L101" s="1728"/>
      <c r="M101" s="1728"/>
      <c r="N101" s="1728"/>
      <c r="O101" s="1728"/>
      <c r="P101" s="1728"/>
      <c r="Q101" s="1728"/>
      <c r="R101" s="1728"/>
      <c r="S101" s="1728"/>
      <c r="T101" s="1728"/>
      <c r="U101" s="1728"/>
      <c r="V101" s="1728"/>
      <c r="W101" s="1728"/>
      <c r="X101" s="1728"/>
      <c r="Y101" s="1728"/>
      <c r="Z101" s="1728"/>
      <c r="AA101" s="1728"/>
      <c r="AB101" s="1728"/>
      <c r="AC101" s="1728"/>
      <c r="AD101" s="1728"/>
      <c r="AE101" s="1728"/>
      <c r="AF101" s="1728"/>
      <c r="AG101" s="1728"/>
      <c r="AH101" s="1728"/>
      <c r="AI101" s="1728"/>
      <c r="AJ101" s="1728"/>
      <c r="AK101" s="1728"/>
      <c r="AL101" s="1728"/>
      <c r="AM101" s="1728"/>
      <c r="AN101" s="1728"/>
      <c r="AO101" s="1728"/>
      <c r="AP101" s="1728"/>
      <c r="AQ101" s="1728"/>
      <c r="AR101" s="1728"/>
      <c r="AS101" s="1728"/>
      <c r="AT101" s="1728"/>
      <c r="AU101" s="17"/>
      <c r="AV101" s="17"/>
      <c r="AW101" s="17"/>
      <c r="AX101" s="17"/>
      <c r="AY101" s="17"/>
      <c r="AZ101" s="17"/>
      <c r="BD101" s="3" t="s">
        <v>777</v>
      </c>
      <c r="BE101">
        <f>'Sources and Uses Budget'!C105</f>
        <v>88827994</v>
      </c>
    </row>
    <row r="102" spans="1:57" ht="13.15" customHeight="1">
      <c r="A102" s="1728"/>
      <c r="B102" s="1728"/>
      <c r="C102" s="1728"/>
      <c r="D102" s="1728"/>
      <c r="E102" s="1728"/>
      <c r="F102" s="1728"/>
      <c r="G102" s="1728"/>
      <c r="H102" s="1728"/>
      <c r="I102" s="1728"/>
      <c r="J102" s="1728"/>
      <c r="K102" s="1728"/>
      <c r="L102" s="1728"/>
      <c r="M102" s="1728"/>
      <c r="N102" s="1728"/>
      <c r="O102" s="1728"/>
      <c r="P102" s="1728"/>
      <c r="Q102" s="1728"/>
      <c r="R102" s="1728"/>
      <c r="S102" s="1728"/>
      <c r="T102" s="1728"/>
      <c r="U102" s="1728"/>
      <c r="V102" s="1728"/>
      <c r="W102" s="1728"/>
      <c r="X102" s="1728"/>
      <c r="Y102" s="1728"/>
      <c r="Z102" s="1728"/>
      <c r="AA102" s="1728"/>
      <c r="AB102" s="1728"/>
      <c r="AC102" s="1728"/>
      <c r="AD102" s="1728"/>
      <c r="AE102" s="1728"/>
      <c r="AF102" s="1728"/>
      <c r="AG102" s="1728"/>
      <c r="AH102" s="1728"/>
      <c r="AI102" s="1728"/>
      <c r="AJ102" s="1728"/>
      <c r="AK102" s="1728"/>
      <c r="AL102" s="1728"/>
      <c r="AM102" s="1728"/>
      <c r="AN102" s="1728"/>
      <c r="AO102" s="1728"/>
      <c r="AP102" s="1728"/>
      <c r="AQ102" s="1728"/>
      <c r="AR102" s="1728"/>
      <c r="AS102" s="1728"/>
      <c r="AT102" s="1728"/>
      <c r="AU102" s="17"/>
      <c r="AV102" s="17"/>
      <c r="AW102" s="17"/>
      <c r="AX102" s="17"/>
      <c r="AY102" s="17"/>
      <c r="AZ102" s="17"/>
      <c r="BD102" s="3" t="s">
        <v>778</v>
      </c>
      <c r="BE102" t="b">
        <f>T197="Yes"</f>
        <v>0</v>
      </c>
    </row>
    <row r="103" spans="1:57" ht="13.15" customHeight="1">
      <c r="A103" s="1728"/>
      <c r="B103" s="1728"/>
      <c r="C103" s="1728"/>
      <c r="D103" s="1728"/>
      <c r="E103" s="1728"/>
      <c r="F103" s="1728"/>
      <c r="G103" s="1728"/>
      <c r="H103" s="1728"/>
      <c r="I103" s="1728"/>
      <c r="J103" s="1728"/>
      <c r="K103" s="1728"/>
      <c r="L103" s="1728"/>
      <c r="M103" s="1728"/>
      <c r="N103" s="1728"/>
      <c r="O103" s="1728"/>
      <c r="P103" s="1728"/>
      <c r="Q103" s="1728"/>
      <c r="R103" s="1728"/>
      <c r="S103" s="1728"/>
      <c r="T103" s="1728"/>
      <c r="U103" s="1728"/>
      <c r="V103" s="1728"/>
      <c r="W103" s="1728"/>
      <c r="X103" s="1728"/>
      <c r="Y103" s="1728"/>
      <c r="Z103" s="1728"/>
      <c r="AA103" s="1728"/>
      <c r="AB103" s="1728"/>
      <c r="AC103" s="1728"/>
      <c r="AD103" s="1728"/>
      <c r="AE103" s="1728"/>
      <c r="AF103" s="1728"/>
      <c r="AG103" s="1728"/>
      <c r="AH103" s="1728"/>
      <c r="AI103" s="1728"/>
      <c r="AJ103" s="1728"/>
      <c r="AK103" s="1728"/>
      <c r="AL103" s="1728"/>
      <c r="AM103" s="1728"/>
      <c r="AN103" s="1728"/>
      <c r="AO103" s="1728"/>
      <c r="AP103" s="1728"/>
      <c r="AQ103" s="1728"/>
      <c r="AR103" s="1728"/>
      <c r="AS103" s="1728"/>
      <c r="AT103" s="1728"/>
      <c r="AU103" s="17"/>
      <c r="AV103" s="17"/>
      <c r="AW103" s="17"/>
      <c r="AX103" s="17"/>
      <c r="AY103" s="17"/>
      <c r="BD103" t="s">
        <v>779</v>
      </c>
      <c r="BE103" s="1138" t="b">
        <f>T199="Yes"</f>
        <v>0</v>
      </c>
    </row>
    <row r="104" spans="1:57" ht="13.1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15" customHeight="1">
      <c r="A105" s="1728" t="s">
        <v>780</v>
      </c>
      <c r="B105" s="1728"/>
      <c r="C105" s="1728"/>
      <c r="D105" s="1728"/>
      <c r="E105" s="1728"/>
      <c r="F105" s="1728"/>
      <c r="G105" s="1728"/>
      <c r="H105" s="1728"/>
      <c r="I105" s="1728"/>
      <c r="J105" s="1728"/>
      <c r="K105" s="1728"/>
      <c r="L105" s="1728"/>
      <c r="M105" s="1728"/>
      <c r="N105" s="1728"/>
      <c r="O105" s="1728"/>
      <c r="P105" s="1728"/>
      <c r="Q105" s="1728"/>
      <c r="R105" s="1728"/>
      <c r="S105" s="1728"/>
      <c r="T105" s="1728"/>
      <c r="U105" s="1728"/>
      <c r="V105" s="1728"/>
      <c r="W105" s="1728"/>
      <c r="X105" s="1728"/>
      <c r="Y105" s="1728"/>
      <c r="Z105" s="1728"/>
      <c r="AA105" s="1728"/>
      <c r="AB105" s="1728"/>
      <c r="AC105" s="1728"/>
      <c r="AD105" s="1728"/>
      <c r="AE105" s="1728"/>
      <c r="AF105" s="1728"/>
      <c r="AG105" s="1728"/>
      <c r="AH105" s="1728"/>
      <c r="AI105" s="1728"/>
      <c r="AJ105" s="1728"/>
      <c r="AK105" s="1728"/>
      <c r="AL105" s="1728"/>
      <c r="AM105" s="1728"/>
      <c r="AN105" s="1728"/>
      <c r="AO105" s="1728"/>
      <c r="AP105" s="1728"/>
      <c r="AQ105" s="1728"/>
      <c r="AR105" s="1728"/>
      <c r="AS105" s="1728"/>
      <c r="AT105" s="1728"/>
      <c r="AU105" s="17"/>
      <c r="AV105" s="17"/>
      <c r="AW105" s="17"/>
      <c r="AX105" s="17"/>
      <c r="AY105" s="17"/>
    </row>
    <row r="106" spans="1:57" ht="13.15" customHeight="1">
      <c r="A106" s="1728"/>
      <c r="B106" s="1728"/>
      <c r="C106" s="1728"/>
      <c r="D106" s="1728"/>
      <c r="E106" s="1728"/>
      <c r="F106" s="1728"/>
      <c r="G106" s="1728"/>
      <c r="H106" s="1728"/>
      <c r="I106" s="1728"/>
      <c r="J106" s="1728"/>
      <c r="K106" s="1728"/>
      <c r="L106" s="1728"/>
      <c r="M106" s="1728"/>
      <c r="N106" s="1728"/>
      <c r="O106" s="1728"/>
      <c r="P106" s="1728"/>
      <c r="Q106" s="1728"/>
      <c r="R106" s="1728"/>
      <c r="S106" s="1728"/>
      <c r="T106" s="1728"/>
      <c r="U106" s="1728"/>
      <c r="V106" s="1728"/>
      <c r="W106" s="1728"/>
      <c r="X106" s="1728"/>
      <c r="Y106" s="1728"/>
      <c r="Z106" s="1728"/>
      <c r="AA106" s="1728"/>
      <c r="AB106" s="1728"/>
      <c r="AC106" s="1728"/>
      <c r="AD106" s="1728"/>
      <c r="AE106" s="1728"/>
      <c r="AF106" s="1728"/>
      <c r="AG106" s="1728"/>
      <c r="AH106" s="1728"/>
      <c r="AI106" s="1728"/>
      <c r="AJ106" s="1728"/>
      <c r="AK106" s="1728"/>
      <c r="AL106" s="1728"/>
      <c r="AM106" s="1728"/>
      <c r="AN106" s="1728"/>
      <c r="AO106" s="1728"/>
      <c r="AP106" s="1728"/>
      <c r="AQ106" s="1728"/>
      <c r="AR106" s="1728"/>
      <c r="AS106" s="1728"/>
      <c r="AT106" s="1728"/>
      <c r="AU106" s="17"/>
      <c r="AV106" s="17"/>
      <c r="AW106" s="17"/>
      <c r="AX106" s="17"/>
      <c r="AY106" s="17"/>
    </row>
    <row r="107" spans="1:57" ht="13.1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15" customHeight="1">
      <c r="A108" s="417" t="s">
        <v>781</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1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1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1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1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15" customHeight="1">
      <c r="A113" s="199"/>
      <c r="C113" s="3" t="s">
        <v>782</v>
      </c>
      <c r="G113" s="1729"/>
      <c r="H113" s="1729"/>
      <c r="I113" s="3" t="s">
        <v>783</v>
      </c>
      <c r="L113" s="1729"/>
      <c r="M113" s="1729"/>
      <c r="N113" s="1729"/>
      <c r="O113" s="1729"/>
      <c r="P113" s="1734" t="s">
        <v>784</v>
      </c>
      <c r="Q113" s="1734"/>
      <c r="R113" s="1734"/>
      <c r="S113" s="1734"/>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1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15" customHeight="1">
      <c r="A115" s="419"/>
      <c r="C115" s="1739"/>
      <c r="D115" s="1739"/>
      <c r="E115" s="1739"/>
      <c r="F115" s="1739"/>
      <c r="G115" s="1739"/>
      <c r="H115" s="1739"/>
      <c r="I115" s="1739"/>
      <c r="J115" s="1739"/>
      <c r="K115" s="1739"/>
      <c r="L115" s="134" t="s">
        <v>785</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1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15" customHeight="1">
      <c r="A117" s="419"/>
      <c r="B117" s="19"/>
      <c r="C117" s="19"/>
      <c r="X117" s="3" t="s">
        <v>786</v>
      </c>
      <c r="Y117" s="1729"/>
      <c r="Z117" s="1729"/>
      <c r="AA117" s="1729"/>
      <c r="AB117" s="1729"/>
      <c r="AC117" s="1729"/>
      <c r="AD117" s="1729"/>
      <c r="AE117" s="1729"/>
      <c r="AF117" s="1729"/>
      <c r="AG117" s="1729"/>
      <c r="AH117" s="1729"/>
      <c r="AI117" s="1729"/>
      <c r="AJ117" s="1729"/>
      <c r="AK117" s="1729"/>
    </row>
    <row r="118" spans="1:117" ht="13.15" customHeight="1">
      <c r="X118" s="3"/>
      <c r="Y118" s="3"/>
      <c r="Z118" s="3" t="s">
        <v>787</v>
      </c>
      <c r="AA118" s="3"/>
      <c r="AB118" s="3"/>
      <c r="AC118" s="3"/>
      <c r="AD118" s="3"/>
      <c r="AE118" s="3"/>
      <c r="AF118" s="3"/>
      <c r="AG118" s="3"/>
      <c r="AH118" s="3"/>
      <c r="AI118" s="3"/>
      <c r="AJ118" s="3"/>
      <c r="AK118" s="3"/>
    </row>
    <row r="119" spans="1:117" ht="13.1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15" customHeight="1">
      <c r="A120" s="419"/>
      <c r="B120" s="3"/>
      <c r="P120" s="3"/>
      <c r="Q120" s="3"/>
      <c r="R120" s="3"/>
      <c r="S120" s="3"/>
      <c r="T120" s="3"/>
      <c r="U120" s="3"/>
      <c r="V120" s="3"/>
      <c r="W120" s="3"/>
      <c r="X120" s="3"/>
      <c r="Y120" s="1729"/>
      <c r="Z120" s="1729"/>
      <c r="AA120" s="1729"/>
      <c r="AB120" s="1729"/>
      <c r="AC120" s="1729"/>
      <c r="AD120" s="1729"/>
      <c r="AE120" s="1729"/>
      <c r="AF120" s="1729"/>
      <c r="AG120" s="1729"/>
      <c r="AH120" s="1729"/>
      <c r="AI120" s="1729"/>
      <c r="AJ120" s="1729"/>
      <c r="AK120" s="1729"/>
      <c r="AL120" s="3"/>
      <c r="AM120" s="3"/>
      <c r="AN120" s="3"/>
      <c r="AO120" s="3"/>
      <c r="AP120" s="3"/>
      <c r="AQ120" s="3"/>
      <c r="AR120" s="3"/>
      <c r="AS120" s="3"/>
      <c r="AT120" s="3"/>
      <c r="AU120" s="3"/>
      <c r="AV120" s="3"/>
      <c r="AW120" s="3"/>
      <c r="AX120" s="3"/>
      <c r="AY120" s="3"/>
    </row>
    <row r="121" spans="1:117" ht="13.15" customHeight="1">
      <c r="A121" s="3"/>
      <c r="B121" s="3"/>
      <c r="P121" s="3"/>
      <c r="Q121" s="3"/>
      <c r="R121" s="3"/>
      <c r="S121" s="3"/>
      <c r="T121" s="3"/>
      <c r="U121" s="3"/>
      <c r="V121" s="3"/>
      <c r="W121" s="3"/>
      <c r="X121" s="3"/>
      <c r="Y121" s="3"/>
      <c r="Z121" s="3" t="s">
        <v>788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15" customHeight="1">
      <c r="A122" s="3"/>
      <c r="B122" s="3"/>
      <c r="T122" s="3"/>
      <c r="U122" s="3"/>
      <c r="V122" s="3"/>
      <c r="W122" s="3"/>
      <c r="AL122" s="3"/>
      <c r="AM122" s="3"/>
      <c r="AN122" s="3"/>
      <c r="AO122" s="3"/>
      <c r="AP122" s="3"/>
      <c r="AQ122" s="3"/>
      <c r="AR122" s="3"/>
      <c r="AS122" s="3"/>
      <c r="AT122" s="3"/>
      <c r="AU122" s="3"/>
      <c r="AV122" s="3"/>
      <c r="AW122" s="3"/>
      <c r="AX122" s="3"/>
      <c r="AY122" s="3"/>
      <c r="CQ122" s="13" t="s">
        <v>789</v>
      </c>
      <c r="CR122" s="13"/>
      <c r="CS122" s="13"/>
      <c r="CT122" s="13"/>
      <c r="CU122" s="1602" t="s">
        <v>790</v>
      </c>
      <c r="CV122" s="1603"/>
      <c r="CW122" s="13"/>
      <c r="CX122" s="13" t="s">
        <v>791</v>
      </c>
      <c r="CY122" s="13"/>
      <c r="CZ122" s="13"/>
      <c r="DA122" s="13"/>
      <c r="DB122" s="13"/>
      <c r="DC122" s="13"/>
      <c r="DD122" s="13"/>
      <c r="DE122" s="13"/>
      <c r="DF122" s="13"/>
      <c r="DG122" s="1599" t="str">
        <f>T189</f>
        <v>Contra Costa</v>
      </c>
      <c r="DH122" s="1600"/>
      <c r="DI122" s="1600"/>
      <c r="DJ122" s="1600"/>
      <c r="DK122" s="1600"/>
      <c r="DL122" s="1600"/>
      <c r="DM122" s="1601"/>
    </row>
    <row r="123" spans="1:117" ht="13.15" customHeight="1">
      <c r="A123" s="3"/>
      <c r="B123" s="3"/>
      <c r="T123" s="3"/>
      <c r="U123" s="3"/>
      <c r="V123" s="3"/>
      <c r="W123" s="3"/>
      <c r="X123" s="3"/>
      <c r="Y123" s="1729"/>
      <c r="Z123" s="1729"/>
      <c r="AA123" s="1729"/>
      <c r="AB123" s="1729"/>
      <c r="AC123" s="1729"/>
      <c r="AD123" s="1729"/>
      <c r="AE123" s="1729"/>
      <c r="AF123" s="1729"/>
      <c r="AG123" s="1729"/>
      <c r="AH123" s="1729"/>
      <c r="AI123" s="1729"/>
      <c r="AJ123" s="1729"/>
      <c r="AK123" s="1729"/>
      <c r="AL123" s="3"/>
      <c r="AM123" s="3"/>
      <c r="AN123" s="3"/>
      <c r="AO123" s="3"/>
      <c r="AP123" s="3"/>
      <c r="AQ123" s="3"/>
      <c r="AR123" s="3"/>
      <c r="AS123" s="3"/>
      <c r="AT123" s="3"/>
      <c r="AU123" s="3"/>
      <c r="AV123" s="3"/>
      <c r="AW123" s="3"/>
      <c r="AX123" s="3"/>
      <c r="AY123" s="3"/>
      <c r="DJ123" s="3"/>
      <c r="DK123" s="3"/>
      <c r="DL123" s="3"/>
      <c r="DM123" s="3"/>
    </row>
    <row r="124" spans="1:117" ht="13.15" customHeight="1">
      <c r="A124" s="3"/>
      <c r="B124" s="3"/>
      <c r="T124" s="3"/>
      <c r="U124" s="3"/>
      <c r="V124" s="3"/>
      <c r="W124" s="3"/>
      <c r="X124" s="3"/>
      <c r="Y124" s="3"/>
      <c r="Z124" s="3" t="s">
        <v>792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790</v>
      </c>
      <c r="CV124" s="13"/>
      <c r="CW124" s="13"/>
      <c r="CX124" s="13"/>
      <c r="CY124" s="13"/>
      <c r="CZ124" s="13"/>
      <c r="DA124" s="13"/>
      <c r="DB124" s="13"/>
      <c r="DE124" s="27"/>
      <c r="DF124" s="27"/>
      <c r="DG124" s="27"/>
      <c r="DH124" s="27"/>
      <c r="DI124" s="27"/>
      <c r="DJ124" s="13"/>
      <c r="DK124" s="13"/>
      <c r="DL124" s="13"/>
      <c r="DM124" s="13"/>
    </row>
    <row r="125" spans="1:117" ht="13.1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793</v>
      </c>
      <c r="CV125" s="3"/>
      <c r="CW125" s="13"/>
      <c r="CX125" s="13"/>
      <c r="CY125" s="13"/>
      <c r="CZ125" s="13"/>
      <c r="DA125" s="13"/>
      <c r="DB125" s="13"/>
      <c r="DE125" s="3"/>
      <c r="DF125" s="3"/>
      <c r="DG125" s="3"/>
      <c r="DH125" s="3"/>
      <c r="DI125" s="3"/>
      <c r="DJ125" s="3"/>
      <c r="DK125" s="3"/>
      <c r="DL125" s="3"/>
      <c r="DM125" s="3"/>
    </row>
    <row r="126" spans="1:117" ht="13.1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1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790</v>
      </c>
      <c r="DD127" s="3"/>
      <c r="DE127" s="3"/>
      <c r="DF127" s="3"/>
      <c r="DG127" s="3"/>
      <c r="DH127" s="3"/>
      <c r="DI127" s="3"/>
      <c r="DJ127" s="3"/>
      <c r="DK127" s="3"/>
      <c r="DL127" s="3"/>
      <c r="DM127" s="3"/>
    </row>
    <row r="128" spans="1:117" ht="13.15" customHeight="1">
      <c r="A128" s="257"/>
      <c r="AL128" s="257"/>
      <c r="AM128" s="257"/>
      <c r="AN128" s="257"/>
      <c r="AO128" s="257"/>
      <c r="AP128" s="257"/>
      <c r="AQ128" s="257"/>
      <c r="AR128" s="257"/>
      <c r="AS128" s="257"/>
      <c r="AT128" s="257"/>
      <c r="AU128" s="257"/>
      <c r="AV128" s="257"/>
      <c r="AW128" s="257"/>
      <c r="AX128" s="257"/>
      <c r="AY128" s="257"/>
    </row>
    <row r="129" spans="1:51" ht="13.1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1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15" customHeight="1">
      <c r="A131" s="3"/>
      <c r="AL131" s="3"/>
      <c r="AM131" s="3"/>
      <c r="AN131" s="3"/>
      <c r="AO131" s="3"/>
      <c r="AP131" s="3"/>
      <c r="AQ131" s="3"/>
      <c r="AR131" s="3"/>
      <c r="AS131" s="3"/>
      <c r="AT131" s="3"/>
      <c r="AU131" s="3"/>
      <c r="AV131" s="3"/>
      <c r="AW131" s="3"/>
      <c r="AX131" s="3"/>
      <c r="AY131" s="3"/>
    </row>
    <row r="132" spans="1:51" ht="13.1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15" customHeight="1">
      <c r="A133" s="3"/>
      <c r="W133" s="3"/>
      <c r="AL133" s="3"/>
      <c r="AM133" s="3"/>
      <c r="AN133" s="3"/>
      <c r="AO133" s="3"/>
      <c r="AP133" s="3"/>
      <c r="AQ133" s="3"/>
      <c r="AR133" s="3"/>
      <c r="AS133" s="3"/>
      <c r="AT133" s="3"/>
      <c r="AU133" s="3"/>
      <c r="AV133" s="3"/>
      <c r="AW133" s="3"/>
      <c r="AX133" s="3"/>
      <c r="AY133" s="3"/>
    </row>
    <row r="134" spans="1:51" ht="13.1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customHeight="1">
      <c r="A135" s="3"/>
      <c r="M135" s="3"/>
      <c r="N135" s="3"/>
      <c r="O135" s="3"/>
      <c r="AK135" s="3"/>
      <c r="AL135" s="3"/>
      <c r="AM135" s="3"/>
      <c r="AN135" s="3"/>
      <c r="AO135" s="3"/>
      <c r="AP135" s="3"/>
      <c r="AQ135" s="3"/>
      <c r="AR135" s="3"/>
      <c r="AS135" s="3"/>
      <c r="AT135" s="3"/>
      <c r="AU135" s="3"/>
      <c r="AV135" s="3"/>
      <c r="AW135" s="3"/>
      <c r="AX135" s="3"/>
      <c r="AY135" s="3"/>
    </row>
    <row r="136" spans="1:51" ht="13.1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1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1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1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1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1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1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1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1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1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794</v>
      </c>
    </row>
    <row r="150" spans="1:108" ht="13.1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795</v>
      </c>
    </row>
    <row r="152" spans="1:108" ht="13.15" customHeight="1">
      <c r="BM152">
        <v>4</v>
      </c>
      <c r="BN152" s="3" t="s">
        <v>796</v>
      </c>
    </row>
    <row r="153" spans="1:108" ht="13.15" customHeight="1">
      <c r="D153" t="s">
        <v>797</v>
      </c>
      <c r="O153" s="1377" t="s">
        <v>798</v>
      </c>
      <c r="P153" s="1377"/>
      <c r="Q153" s="1377"/>
      <c r="R153" s="1377"/>
      <c r="S153" s="1377"/>
      <c r="T153" s="1377"/>
      <c r="U153" s="1377"/>
      <c r="V153" s="1377"/>
      <c r="W153" s="1377"/>
      <c r="X153" s="1377"/>
      <c r="Y153" s="1377"/>
      <c r="Z153" s="1377"/>
      <c r="AA153" s="1377"/>
      <c r="AB153" s="1377"/>
      <c r="AC153" s="1377"/>
      <c r="AD153" s="1377"/>
      <c r="AE153" s="1377"/>
      <c r="AF153" s="1377"/>
      <c r="AG153" s="1377"/>
      <c r="AH153" s="1377"/>
      <c r="BM153">
        <v>5</v>
      </c>
      <c r="BN153" s="3" t="s">
        <v>799</v>
      </c>
      <c r="CR153" s="26" t="s">
        <v>800</v>
      </c>
      <c r="CS153" s="27"/>
      <c r="CT153" s="27"/>
      <c r="CU153" s="27"/>
      <c r="CV153" s="27"/>
      <c r="CW153" s="27"/>
      <c r="CX153" s="13"/>
      <c r="CY153" s="26" t="s">
        <v>801</v>
      </c>
      <c r="CZ153" s="13"/>
      <c r="DA153" s="13"/>
      <c r="DB153" s="13"/>
      <c r="DC153" s="13"/>
      <c r="DD153" s="13"/>
    </row>
    <row r="154" spans="1:108" ht="13.15" customHeight="1">
      <c r="D154" s="210" t="s">
        <v>802</v>
      </c>
      <c r="O154" s="1395" t="s">
        <v>803</v>
      </c>
      <c r="P154" s="1395"/>
      <c r="Q154" s="1395"/>
      <c r="R154" s="1395"/>
      <c r="S154" s="1395"/>
      <c r="T154" s="1395"/>
      <c r="U154" s="1395"/>
      <c r="V154" s="1395"/>
      <c r="W154" s="1395"/>
      <c r="X154" s="1395"/>
      <c r="Y154" s="1395"/>
      <c r="Z154" s="1395"/>
      <c r="AA154" s="1395"/>
      <c r="AB154" s="1395"/>
      <c r="AC154" s="1395"/>
      <c r="AD154" s="1395"/>
      <c r="AE154" s="1395"/>
      <c r="AF154" s="1395"/>
      <c r="AG154" s="1395"/>
      <c r="AH154" s="1395"/>
      <c r="BM154">
        <v>6</v>
      </c>
      <c r="BN154" s="3" t="s">
        <v>804</v>
      </c>
      <c r="CR154" s="26"/>
      <c r="CS154" s="27"/>
      <c r="CT154" s="27"/>
      <c r="CU154" s="27"/>
      <c r="CV154" s="27"/>
      <c r="CW154" s="27"/>
      <c r="CX154" s="13"/>
      <c r="CY154" s="26"/>
      <c r="CZ154" s="13"/>
      <c r="DA154" s="13"/>
      <c r="DB154" s="13"/>
      <c r="DC154" s="13"/>
      <c r="DD154" s="13"/>
    </row>
    <row r="155" spans="1:108" ht="13.15" customHeight="1">
      <c r="D155" s="7" t="s">
        <v>805</v>
      </c>
      <c r="F155" s="7"/>
      <c r="G155" s="7"/>
      <c r="H155" s="7"/>
      <c r="I155" s="7"/>
      <c r="J155" s="7"/>
      <c r="K155" s="7"/>
      <c r="L155" s="7"/>
      <c r="M155" s="7"/>
      <c r="N155" s="7"/>
      <c r="O155" s="1746" t="s">
        <v>806</v>
      </c>
      <c r="P155" s="1746"/>
      <c r="Q155" s="1746"/>
      <c r="R155" s="1746"/>
      <c r="S155" s="1746"/>
      <c r="T155" s="1746"/>
      <c r="U155" s="1746"/>
      <c r="V155" s="1746"/>
      <c r="W155" s="1746"/>
      <c r="X155" s="1746"/>
      <c r="Y155" s="1746"/>
      <c r="Z155" s="1746"/>
      <c r="AA155" s="1746"/>
      <c r="AB155" s="1746"/>
      <c r="AC155" s="1746"/>
      <c r="AD155" s="1746"/>
      <c r="AE155" s="1746"/>
      <c r="AF155" s="1746"/>
      <c r="AG155" s="1746"/>
      <c r="AH155" s="1746"/>
      <c r="BM155">
        <v>7</v>
      </c>
      <c r="BN155" s="3" t="s">
        <v>807</v>
      </c>
      <c r="CR155" s="26"/>
      <c r="CS155" s="27"/>
      <c r="CT155" s="27"/>
      <c r="CU155" s="27"/>
      <c r="CV155" s="27"/>
      <c r="CW155" s="27"/>
      <c r="CX155" s="13"/>
      <c r="CY155" s="26"/>
      <c r="CZ155" s="13"/>
      <c r="DA155" s="13"/>
      <c r="DB155" s="13"/>
      <c r="DC155" s="13"/>
      <c r="DD155" s="13"/>
    </row>
    <row r="156" spans="1:108" ht="13.15" customHeight="1">
      <c r="D156" t="s">
        <v>808</v>
      </c>
      <c r="O156" s="1333" t="s">
        <v>809</v>
      </c>
      <c r="P156" s="1333"/>
      <c r="Q156" s="1333"/>
      <c r="R156" s="1333"/>
      <c r="S156" s="1333"/>
      <c r="T156" s="1333"/>
      <c r="U156" s="1333"/>
      <c r="V156" s="1333"/>
      <c r="W156" s="1333"/>
      <c r="X156" s="1333"/>
      <c r="Y156" s="1333"/>
      <c r="Z156" s="1333"/>
      <c r="AA156" s="1333"/>
      <c r="AB156" s="1333"/>
      <c r="AC156" s="1333"/>
      <c r="AD156" s="1333"/>
      <c r="AE156" s="1333"/>
      <c r="AF156" s="1333"/>
      <c r="AG156" s="1333"/>
      <c r="AH156" s="1333"/>
      <c r="BT156" t="s">
        <v>309</v>
      </c>
      <c r="CB156" s="131" t="s">
        <v>810</v>
      </c>
      <c r="CC156" s="132"/>
      <c r="CD156" s="132"/>
      <c r="CE156" s="132"/>
      <c r="CF156" s="132"/>
      <c r="CG156" s="132"/>
      <c r="CH156" s="132"/>
      <c r="CI156" s="3"/>
      <c r="CJ156" s="131" t="s">
        <v>811</v>
      </c>
      <c r="CK156" s="3"/>
      <c r="CL156" s="3"/>
      <c r="CM156" s="3"/>
      <c r="CN156" s="3"/>
      <c r="CR156" s="26"/>
      <c r="CS156" s="27"/>
      <c r="CT156" s="27"/>
      <c r="CU156" s="27"/>
      <c r="CV156" s="27"/>
      <c r="CW156" s="27"/>
      <c r="CX156" s="13"/>
      <c r="CY156" s="26"/>
      <c r="CZ156" s="13"/>
      <c r="DA156" s="13"/>
      <c r="DB156" s="13"/>
      <c r="DC156" s="13"/>
      <c r="DD156" s="13"/>
    </row>
    <row r="157" spans="1:108" ht="13.15" customHeight="1">
      <c r="D157" t="s">
        <v>812</v>
      </c>
      <c r="O157" s="1377" t="s">
        <v>813</v>
      </c>
      <c r="P157" s="1377"/>
      <c r="Q157" s="1377"/>
      <c r="R157" s="1377"/>
      <c r="S157" s="1377"/>
      <c r="T157" s="1377"/>
      <c r="U157" s="1377"/>
      <c r="V157" s="1377"/>
      <c r="W157" s="1377"/>
      <c r="X157" s="1377"/>
      <c r="Y157" s="7"/>
      <c r="Z157" s="7"/>
      <c r="AA157" s="7"/>
      <c r="AB157" s="7"/>
      <c r="AC157" s="7"/>
      <c r="AD157" s="7"/>
      <c r="AE157" s="7"/>
      <c r="AF157" s="7"/>
      <c r="BN157" s="133" t="s">
        <v>814</v>
      </c>
      <c r="BS157">
        <v>2</v>
      </c>
      <c r="BT157" t="s">
        <v>815</v>
      </c>
      <c r="CB157" s="196" t="s">
        <v>816</v>
      </c>
      <c r="CC157" s="132"/>
      <c r="CD157" s="132"/>
      <c r="CE157" s="132"/>
      <c r="CF157" s="132"/>
      <c r="CG157" s="132"/>
      <c r="CH157" s="132"/>
      <c r="CI157" s="3"/>
      <c r="CJ157" s="196" t="s">
        <v>817</v>
      </c>
      <c r="CK157" s="3"/>
      <c r="CL157" s="3"/>
      <c r="CM157" s="3"/>
      <c r="CN157" s="3"/>
      <c r="CR157" s="13"/>
      <c r="CS157" s="27"/>
      <c r="CT157" s="27"/>
      <c r="CU157" s="27"/>
      <c r="CV157" s="27"/>
      <c r="CW157" s="27"/>
      <c r="CX157" s="13"/>
      <c r="CY157" s="13"/>
      <c r="CZ157" s="13"/>
      <c r="DA157" s="13"/>
      <c r="DB157" s="13"/>
      <c r="DC157" s="13"/>
      <c r="DD157" s="13"/>
    </row>
    <row r="158" spans="1:108" ht="13.15" customHeight="1">
      <c r="D158" t="s">
        <v>818</v>
      </c>
      <c r="O158" s="1731">
        <v>94509</v>
      </c>
      <c r="P158" s="1731"/>
      <c r="Q158" s="1731"/>
      <c r="R158" s="1731"/>
      <c r="S158" s="8"/>
      <c r="T158" s="8"/>
      <c r="U158" s="8"/>
      <c r="V158" s="8"/>
      <c r="W158" s="8"/>
      <c r="X158" s="8"/>
      <c r="Y158" s="8"/>
      <c r="Z158" s="8"/>
      <c r="AA158" s="8"/>
      <c r="AB158" s="8"/>
      <c r="AC158" s="8"/>
      <c r="AD158" s="8"/>
      <c r="AE158" s="8"/>
      <c r="AF158" s="8"/>
      <c r="BN158" s="133" t="s">
        <v>819</v>
      </c>
      <c r="BS158">
        <v>7</v>
      </c>
      <c r="BT158" t="s">
        <v>820</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3.15" customHeight="1" thickBot="1">
      <c r="D159" t="s">
        <v>821</v>
      </c>
      <c r="O159" s="1720" t="s">
        <v>822</v>
      </c>
      <c r="P159" s="1720"/>
      <c r="Q159" s="1720"/>
      <c r="R159" s="1720"/>
      <c r="S159" s="1720"/>
      <c r="T159" s="1720"/>
      <c r="V159" s="72" t="s">
        <v>823</v>
      </c>
      <c r="W159" s="1732"/>
      <c r="X159" s="1732"/>
      <c r="Y159" s="9"/>
      <c r="Z159" s="9"/>
      <c r="AA159" s="9"/>
      <c r="AB159" s="9"/>
      <c r="AC159" s="9"/>
      <c r="AD159" s="9"/>
      <c r="AE159" s="9"/>
      <c r="AF159" s="9"/>
      <c r="BN159" s="133" t="s">
        <v>824</v>
      </c>
      <c r="BS159">
        <v>7</v>
      </c>
      <c r="BT159" t="s">
        <v>825</v>
      </c>
      <c r="CB159" s="250" t="s">
        <v>826</v>
      </c>
      <c r="CC159" s="251" t="s">
        <v>827</v>
      </c>
      <c r="CD159" s="251" t="s">
        <v>828</v>
      </c>
      <c r="CE159" s="251" t="s">
        <v>829</v>
      </c>
      <c r="CF159" s="251" t="s">
        <v>830</v>
      </c>
      <c r="CG159" s="251" t="s">
        <v>831</v>
      </c>
      <c r="CH159" s="251" t="s">
        <v>832</v>
      </c>
      <c r="CI159" s="3"/>
      <c r="CJ159" s="251" t="s">
        <v>827</v>
      </c>
      <c r="CK159" s="251" t="s">
        <v>828</v>
      </c>
      <c r="CL159" s="251" t="s">
        <v>829</v>
      </c>
      <c r="CM159" s="251" t="s">
        <v>830</v>
      </c>
      <c r="CN159" s="251" t="s">
        <v>831</v>
      </c>
      <c r="CR159" s="13"/>
      <c r="CS159" s="1157" t="s">
        <v>833</v>
      </c>
      <c r="CT159" s="1158" t="s">
        <v>828</v>
      </c>
      <c r="CU159" s="1158" t="s">
        <v>829</v>
      </c>
      <c r="CV159" s="1158" t="s">
        <v>830</v>
      </c>
      <c r="CW159" s="1158" t="s">
        <v>834</v>
      </c>
      <c r="CX159" s="13"/>
      <c r="CY159" s="13"/>
      <c r="CZ159" s="1157" t="s">
        <v>833</v>
      </c>
      <c r="DA159" s="1158" t="s">
        <v>828</v>
      </c>
      <c r="DB159" s="1158" t="s">
        <v>829</v>
      </c>
      <c r="DC159" s="1158" t="s">
        <v>830</v>
      </c>
      <c r="DD159" s="1158" t="s">
        <v>834</v>
      </c>
    </row>
    <row r="160" spans="1:108" ht="13.15" customHeight="1">
      <c r="D160" t="s">
        <v>835</v>
      </c>
      <c r="O160" s="1720" t="s">
        <v>836</v>
      </c>
      <c r="P160" s="1720"/>
      <c r="Q160" s="1720"/>
      <c r="R160" s="1720"/>
      <c r="S160" s="1720"/>
      <c r="T160" s="1720"/>
      <c r="U160" s="9"/>
      <c r="V160" s="9"/>
      <c r="W160" s="9"/>
      <c r="X160" s="9"/>
      <c r="Y160" s="9"/>
      <c r="Z160" s="9"/>
      <c r="AA160" s="9"/>
      <c r="AB160" s="9"/>
      <c r="AC160" s="9"/>
      <c r="AD160" s="9"/>
      <c r="AE160" s="9"/>
      <c r="AF160" s="9"/>
      <c r="BN160" s="133" t="s">
        <v>837</v>
      </c>
      <c r="BS160">
        <v>6</v>
      </c>
      <c r="BT160" t="s">
        <v>838</v>
      </c>
      <c r="CB160" s="252" t="s">
        <v>815</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814</v>
      </c>
      <c r="CS160" s="228">
        <v>473390</v>
      </c>
      <c r="CT160" s="228">
        <v>545814</v>
      </c>
      <c r="CU160" s="228">
        <v>658400</v>
      </c>
      <c r="CV160" s="228">
        <v>842752</v>
      </c>
      <c r="CW160" s="228">
        <v>938878</v>
      </c>
      <c r="CX160" s="13"/>
      <c r="CY160" s="133" t="s">
        <v>814</v>
      </c>
      <c r="CZ160" s="228">
        <v>473390</v>
      </c>
      <c r="DA160" s="228">
        <v>545814</v>
      </c>
      <c r="DB160" s="228">
        <v>658400</v>
      </c>
      <c r="DC160" s="228">
        <v>842752</v>
      </c>
      <c r="DD160" s="228">
        <v>938878</v>
      </c>
    </row>
    <row r="161" spans="1:108" ht="13.15" customHeight="1">
      <c r="D161" t="s">
        <v>839</v>
      </c>
      <c r="O161" s="1724" t="s">
        <v>840</v>
      </c>
      <c r="P161" s="1724"/>
      <c r="Q161" s="1724"/>
      <c r="R161" s="1724"/>
      <c r="S161" s="1724"/>
      <c r="T161" s="1724"/>
      <c r="U161" s="1724"/>
      <c r="V161" s="1724"/>
      <c r="W161" s="1724"/>
      <c r="X161" s="1724"/>
      <c r="Y161" s="1724"/>
      <c r="Z161" s="1724"/>
      <c r="AA161" s="1724"/>
      <c r="AB161" s="1724"/>
      <c r="AC161" s="1724"/>
      <c r="AD161" s="1724"/>
      <c r="AE161" s="1724"/>
      <c r="AF161" s="1724"/>
      <c r="AG161" s="1724"/>
      <c r="AH161" s="1724"/>
      <c r="BJ161" t="s">
        <v>692</v>
      </c>
      <c r="BN161" s="133" t="s">
        <v>841</v>
      </c>
      <c r="BS161">
        <v>7</v>
      </c>
      <c r="BT161" t="s">
        <v>842</v>
      </c>
      <c r="CB161" s="253" t="s">
        <v>820</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819</v>
      </c>
      <c r="CS161" s="226">
        <v>352022</v>
      </c>
      <c r="CT161" s="226">
        <v>405878</v>
      </c>
      <c r="CU161" s="226">
        <v>489600</v>
      </c>
      <c r="CV161" s="226">
        <v>626688</v>
      </c>
      <c r="CW161" s="226">
        <v>698170</v>
      </c>
      <c r="CX161" s="13"/>
      <c r="CY161" s="133" t="s">
        <v>819</v>
      </c>
      <c r="CZ161" s="226">
        <v>352022</v>
      </c>
      <c r="DA161" s="226">
        <v>405878</v>
      </c>
      <c r="DB161" s="226">
        <v>489600</v>
      </c>
      <c r="DC161" s="226">
        <v>626688</v>
      </c>
      <c r="DD161" s="226">
        <v>698170</v>
      </c>
    </row>
    <row r="162" spans="1:108" ht="13.1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843</v>
      </c>
      <c r="BN162" s="133" t="s">
        <v>844</v>
      </c>
      <c r="BS162">
        <v>7</v>
      </c>
      <c r="BT162" t="s">
        <v>845</v>
      </c>
      <c r="CB162" s="253" t="s">
        <v>825</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824</v>
      </c>
      <c r="CS162" s="228">
        <v>352022</v>
      </c>
      <c r="CT162" s="228">
        <v>405878</v>
      </c>
      <c r="CU162" s="228">
        <v>489600</v>
      </c>
      <c r="CV162" s="228">
        <v>626688</v>
      </c>
      <c r="CW162" s="228">
        <v>698170</v>
      </c>
      <c r="CX162" s="13"/>
      <c r="CY162" s="133" t="s">
        <v>824</v>
      </c>
      <c r="CZ162" s="228">
        <v>352022</v>
      </c>
      <c r="DA162" s="228">
        <v>405878</v>
      </c>
      <c r="DB162" s="228">
        <v>489600</v>
      </c>
      <c r="DC162" s="228">
        <v>626688</v>
      </c>
      <c r="DD162" s="228">
        <v>698170</v>
      </c>
    </row>
    <row r="163" spans="1:108" ht="13.15" customHeight="1">
      <c r="C163" s="23" t="s">
        <v>846</v>
      </c>
      <c r="D163" s="3" t="s">
        <v>847</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848</v>
      </c>
      <c r="BS163">
        <v>2</v>
      </c>
      <c r="BT163" t="s">
        <v>849</v>
      </c>
      <c r="CB163" s="253" t="s">
        <v>838</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837</v>
      </c>
      <c r="CS163" s="226">
        <v>319236</v>
      </c>
      <c r="CT163" s="226">
        <v>368076</v>
      </c>
      <c r="CU163" s="226">
        <v>444000</v>
      </c>
      <c r="CV163" s="226">
        <v>568320</v>
      </c>
      <c r="CW163" s="226">
        <v>633144</v>
      </c>
      <c r="CX163" s="13"/>
      <c r="CY163" s="133" t="s">
        <v>837</v>
      </c>
      <c r="CZ163" s="226">
        <v>319236</v>
      </c>
      <c r="DA163" s="226">
        <v>368076</v>
      </c>
      <c r="DB163" s="226">
        <v>444000</v>
      </c>
      <c r="DC163" s="226">
        <v>568320</v>
      </c>
      <c r="DD163" s="226">
        <v>633144</v>
      </c>
    </row>
    <row r="164" spans="1:108" ht="13.15" customHeight="1">
      <c r="C164" s="23"/>
      <c r="D164" s="1740" t="s">
        <v>850</v>
      </c>
      <c r="E164" s="1740"/>
      <c r="F164" s="1740"/>
      <c r="G164" s="1740"/>
      <c r="H164" s="1740"/>
      <c r="I164" s="1740"/>
      <c r="J164" s="1740"/>
      <c r="K164" s="1740"/>
      <c r="L164" s="1740"/>
      <c r="M164" s="1740"/>
      <c r="N164" s="1740"/>
      <c r="O164" s="1740"/>
      <c r="P164" s="1740"/>
      <c r="Q164" s="1740"/>
      <c r="R164" s="1740"/>
      <c r="S164" s="1740"/>
      <c r="T164" s="1740"/>
      <c r="U164" s="1740"/>
      <c r="V164" s="1740"/>
      <c r="W164" s="1740"/>
      <c r="X164" s="1740"/>
      <c r="Y164" s="1740"/>
      <c r="Z164" s="1740"/>
      <c r="AA164" s="1740"/>
      <c r="AB164" s="1740"/>
      <c r="AC164" s="1740"/>
      <c r="AD164" s="1740"/>
      <c r="AE164" s="1740"/>
      <c r="AF164" s="1740"/>
      <c r="AG164" s="1740"/>
      <c r="AH164" s="1740"/>
      <c r="BN164" s="133" t="s">
        <v>851</v>
      </c>
      <c r="BS164">
        <v>7</v>
      </c>
      <c r="BT164" t="s">
        <v>852</v>
      </c>
      <c r="CB164" s="253" t="s">
        <v>842</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841</v>
      </c>
      <c r="CS164" s="228">
        <v>352022</v>
      </c>
      <c r="CT164" s="228">
        <v>405878</v>
      </c>
      <c r="CU164" s="228">
        <v>489600</v>
      </c>
      <c r="CV164" s="228">
        <v>626688</v>
      </c>
      <c r="CW164" s="228">
        <v>698170</v>
      </c>
      <c r="CX164" s="13"/>
      <c r="CY164" s="133" t="s">
        <v>841</v>
      </c>
      <c r="CZ164" s="228">
        <v>352022</v>
      </c>
      <c r="DA164" s="228">
        <v>405878</v>
      </c>
      <c r="DB164" s="228">
        <v>489600</v>
      </c>
      <c r="DC164" s="228">
        <v>626688</v>
      </c>
      <c r="DD164" s="228">
        <v>698170</v>
      </c>
    </row>
    <row r="165" spans="1:108" ht="13.1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853</v>
      </c>
      <c r="BS165">
        <v>6</v>
      </c>
      <c r="BT165" t="s">
        <v>854</v>
      </c>
      <c r="CB165" s="253" t="s">
        <v>845</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844</v>
      </c>
      <c r="CS165" s="226">
        <v>352022</v>
      </c>
      <c r="CT165" s="226">
        <v>405878</v>
      </c>
      <c r="CU165" s="226">
        <v>489600</v>
      </c>
      <c r="CV165" s="226">
        <v>626688</v>
      </c>
      <c r="CW165" s="226">
        <v>698170</v>
      </c>
      <c r="CX165" s="13"/>
      <c r="CY165" s="133" t="s">
        <v>844</v>
      </c>
      <c r="CZ165" s="226">
        <v>352022</v>
      </c>
      <c r="DA165" s="226">
        <v>405878</v>
      </c>
      <c r="DB165" s="226">
        <v>489600</v>
      </c>
      <c r="DC165" s="226">
        <v>626688</v>
      </c>
      <c r="DD165" s="226">
        <v>698170</v>
      </c>
    </row>
    <row r="166" spans="1:108" ht="13.1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855</v>
      </c>
      <c r="BS166">
        <v>5</v>
      </c>
      <c r="BT166" t="s">
        <v>856</v>
      </c>
      <c r="CB166" s="253" t="s">
        <v>849</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848</v>
      </c>
      <c r="CS166" s="228">
        <v>473390</v>
      </c>
      <c r="CT166" s="228">
        <v>545814</v>
      </c>
      <c r="CU166" s="228">
        <v>658400</v>
      </c>
      <c r="CV166" s="228">
        <v>842752</v>
      </c>
      <c r="CW166" s="228">
        <v>938878</v>
      </c>
      <c r="CX166" s="13"/>
      <c r="CY166" s="133" t="s">
        <v>848</v>
      </c>
      <c r="CZ166" s="228">
        <v>473390</v>
      </c>
      <c r="DA166" s="228">
        <v>545814</v>
      </c>
      <c r="DB166" s="228">
        <v>658400</v>
      </c>
      <c r="DC166" s="228">
        <v>842752</v>
      </c>
      <c r="DD166" s="228">
        <v>938878</v>
      </c>
    </row>
    <row r="167" spans="1:108" ht="13.1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857</v>
      </c>
      <c r="BS167">
        <v>7</v>
      </c>
      <c r="BT167" t="s">
        <v>858</v>
      </c>
      <c r="CB167" s="253" t="s">
        <v>852</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851</v>
      </c>
      <c r="CS167" s="226">
        <v>352022</v>
      </c>
      <c r="CT167" s="226">
        <v>405878</v>
      </c>
      <c r="CU167" s="226">
        <v>489600</v>
      </c>
      <c r="CV167" s="226">
        <v>626688</v>
      </c>
      <c r="CW167" s="226">
        <v>698170</v>
      </c>
      <c r="CX167" s="13"/>
      <c r="CY167" s="133" t="s">
        <v>851</v>
      </c>
      <c r="CZ167" s="226">
        <v>352022</v>
      </c>
      <c r="DA167" s="226">
        <v>405878</v>
      </c>
      <c r="DB167" s="226">
        <v>489600</v>
      </c>
      <c r="DC167" s="226">
        <v>626688</v>
      </c>
      <c r="DD167" s="226">
        <v>698170</v>
      </c>
    </row>
    <row r="168" spans="1:108" ht="13.1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859</v>
      </c>
      <c r="BS168">
        <v>7</v>
      </c>
      <c r="BT168" t="s">
        <v>860</v>
      </c>
      <c r="CB168" s="253" t="s">
        <v>854</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853</v>
      </c>
      <c r="CS168" s="228">
        <v>331890</v>
      </c>
      <c r="CT168" s="228">
        <v>382666</v>
      </c>
      <c r="CU168" s="228">
        <v>461600</v>
      </c>
      <c r="CV168" s="228">
        <v>590848</v>
      </c>
      <c r="CW168" s="228">
        <v>658242</v>
      </c>
      <c r="CX168" s="13"/>
      <c r="CY168" s="133" t="s">
        <v>853</v>
      </c>
      <c r="CZ168" s="228">
        <v>331890</v>
      </c>
      <c r="DA168" s="228">
        <v>382666</v>
      </c>
      <c r="DB168" s="228">
        <v>461600</v>
      </c>
      <c r="DC168" s="228">
        <v>590848</v>
      </c>
      <c r="DD168" s="228">
        <v>658242</v>
      </c>
    </row>
    <row r="169" spans="1:108" ht="13.15" customHeight="1">
      <c r="A169" s="1381" t="s">
        <v>861</v>
      </c>
      <c r="B169" s="1381"/>
      <c r="C169" s="1381"/>
      <c r="D169" s="1381"/>
      <c r="E169" s="1381"/>
      <c r="F169" s="1381"/>
      <c r="G169" s="1381"/>
      <c r="H169" s="1381"/>
      <c r="I169" s="1381"/>
      <c r="J169" s="1381"/>
      <c r="K169" s="1381"/>
      <c r="L169" s="1381"/>
      <c r="M169" s="1381"/>
      <c r="N169" s="1381"/>
      <c r="O169" s="1381"/>
      <c r="P169" s="1381"/>
      <c r="Q169" s="1381"/>
      <c r="R169" s="1381"/>
      <c r="S169" s="1381"/>
      <c r="T169" s="1381"/>
      <c r="U169" s="1381"/>
      <c r="V169" s="1381"/>
      <c r="W169" s="1381"/>
      <c r="X169" s="1381"/>
      <c r="Y169" s="1381"/>
      <c r="Z169" s="1381"/>
      <c r="AA169" s="1381"/>
      <c r="AB169" s="1381"/>
      <c r="AC169" s="1381"/>
      <c r="AD169" s="1381"/>
      <c r="AE169" s="1381"/>
      <c r="AF169" s="1381"/>
      <c r="AG169" s="1381"/>
      <c r="AH169" s="1381"/>
      <c r="AI169" s="1381"/>
      <c r="AJ169" s="1381"/>
      <c r="AK169" s="1381"/>
      <c r="AL169" s="1381"/>
      <c r="AM169" s="1381"/>
      <c r="AN169" s="1381"/>
      <c r="AO169" s="1381"/>
      <c r="AP169" s="1381"/>
      <c r="AQ169" s="1381"/>
      <c r="AR169" s="1381"/>
      <c r="AS169" s="1381"/>
      <c r="AT169" s="1381"/>
      <c r="AU169" s="70"/>
      <c r="AV169" s="70"/>
      <c r="AW169" s="70"/>
      <c r="AX169" s="70"/>
      <c r="AY169" s="70"/>
      <c r="BN169" s="133" t="s">
        <v>862</v>
      </c>
      <c r="BS169">
        <v>5</v>
      </c>
      <c r="BT169" t="s">
        <v>863</v>
      </c>
      <c r="CB169" s="253" t="s">
        <v>856</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855</v>
      </c>
      <c r="CS169" s="226">
        <v>307732</v>
      </c>
      <c r="CT169" s="226">
        <v>354812</v>
      </c>
      <c r="CU169" s="226">
        <v>428000</v>
      </c>
      <c r="CV169" s="226">
        <v>547840</v>
      </c>
      <c r="CW169" s="226">
        <v>610328</v>
      </c>
      <c r="CX169" s="13"/>
      <c r="CY169" s="133" t="s">
        <v>855</v>
      </c>
      <c r="CZ169" s="226">
        <v>307732</v>
      </c>
      <c r="DA169" s="226">
        <v>354812</v>
      </c>
      <c r="DB169" s="226">
        <v>428000</v>
      </c>
      <c r="DC169" s="226">
        <v>547840</v>
      </c>
      <c r="DD169" s="226">
        <v>610328</v>
      </c>
    </row>
    <row r="170" spans="1:108" ht="13.15" customHeight="1">
      <c r="A170" s="1381"/>
      <c r="B170" s="1381"/>
      <c r="C170" s="1381"/>
      <c r="D170" s="1381"/>
      <c r="E170" s="1381"/>
      <c r="F170" s="1381"/>
      <c r="G170" s="1381"/>
      <c r="H170" s="1381"/>
      <c r="I170" s="1381"/>
      <c r="J170" s="1381"/>
      <c r="K170" s="1381"/>
      <c r="L170" s="1381"/>
      <c r="M170" s="1381"/>
      <c r="N170" s="1381"/>
      <c r="O170" s="1381"/>
      <c r="P170" s="1381"/>
      <c r="Q170" s="1381"/>
      <c r="R170" s="1381"/>
      <c r="S170" s="1381"/>
      <c r="T170" s="1381"/>
      <c r="U170" s="1381"/>
      <c r="V170" s="1381"/>
      <c r="W170" s="1381"/>
      <c r="X170" s="1381"/>
      <c r="Y170" s="1381"/>
      <c r="Z170" s="1381"/>
      <c r="AA170" s="1381"/>
      <c r="AB170" s="1381"/>
      <c r="AC170" s="1381"/>
      <c r="AD170" s="1381"/>
      <c r="AE170" s="1381"/>
      <c r="AF170" s="1381"/>
      <c r="AG170" s="1381"/>
      <c r="AH170" s="1381"/>
      <c r="AI170" s="1381"/>
      <c r="AJ170" s="1381"/>
      <c r="AK170" s="1381"/>
      <c r="AL170" s="1381"/>
      <c r="AM170" s="1381"/>
      <c r="AN170" s="1381"/>
      <c r="AO170" s="1381"/>
      <c r="AP170" s="1381"/>
      <c r="AQ170" s="1381"/>
      <c r="AR170" s="1381"/>
      <c r="AS170" s="1381"/>
      <c r="AT170" s="1381"/>
      <c r="AU170" s="70"/>
      <c r="AV170" s="70"/>
      <c r="AW170" s="70"/>
      <c r="AX170" s="70"/>
      <c r="AY170" s="70"/>
      <c r="BN170" s="133" t="s">
        <v>864</v>
      </c>
      <c r="BS170">
        <v>7</v>
      </c>
      <c r="BT170" t="s">
        <v>865</v>
      </c>
      <c r="CB170" s="253" t="s">
        <v>858</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857</v>
      </c>
      <c r="CS170" s="228">
        <v>352022</v>
      </c>
      <c r="CT170" s="228">
        <v>405878</v>
      </c>
      <c r="CU170" s="228">
        <v>489600</v>
      </c>
      <c r="CV170" s="228">
        <v>626688</v>
      </c>
      <c r="CW170" s="228">
        <v>698170</v>
      </c>
      <c r="CX170" s="13"/>
      <c r="CY170" s="133" t="s">
        <v>857</v>
      </c>
      <c r="CZ170" s="228">
        <v>352022</v>
      </c>
      <c r="DA170" s="228">
        <v>405878</v>
      </c>
      <c r="DB170" s="228">
        <v>489600</v>
      </c>
      <c r="DC170" s="228">
        <v>626688</v>
      </c>
      <c r="DD170" s="228">
        <v>698170</v>
      </c>
    </row>
    <row r="171" spans="1:108" ht="13.15" customHeight="1">
      <c r="BN171" s="133" t="s">
        <v>866</v>
      </c>
      <c r="BS171">
        <v>5</v>
      </c>
      <c r="BT171" t="s">
        <v>867</v>
      </c>
      <c r="CB171" s="253" t="s">
        <v>860</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859</v>
      </c>
      <c r="CS171" s="226">
        <v>352022</v>
      </c>
      <c r="CT171" s="226">
        <v>405878</v>
      </c>
      <c r="CU171" s="226">
        <v>489600</v>
      </c>
      <c r="CV171" s="226">
        <v>626688</v>
      </c>
      <c r="CW171" s="226">
        <v>698170</v>
      </c>
      <c r="CX171" s="13"/>
      <c r="CY171" s="133" t="s">
        <v>859</v>
      </c>
      <c r="CZ171" s="226">
        <v>352022</v>
      </c>
      <c r="DA171" s="226">
        <v>405878</v>
      </c>
      <c r="DB171" s="226">
        <v>489600</v>
      </c>
      <c r="DC171" s="226">
        <v>626688</v>
      </c>
      <c r="DD171" s="226">
        <v>698170</v>
      </c>
    </row>
    <row r="172" spans="1:108" ht="13.15" customHeight="1">
      <c r="A172" s="2" t="s">
        <v>868</v>
      </c>
      <c r="C172" s="2" t="s">
        <v>91</v>
      </c>
      <c r="BN172" s="133" t="s">
        <v>869</v>
      </c>
      <c r="BS172">
        <v>5</v>
      </c>
      <c r="BT172" t="s">
        <v>870</v>
      </c>
      <c r="CB172" s="253" t="s">
        <v>863</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862</v>
      </c>
      <c r="CS172" s="228">
        <v>324988</v>
      </c>
      <c r="CT172" s="228">
        <v>374708</v>
      </c>
      <c r="CU172" s="228">
        <v>452000</v>
      </c>
      <c r="CV172" s="228">
        <v>578560</v>
      </c>
      <c r="CW172" s="228">
        <v>644552</v>
      </c>
      <c r="CX172" s="13"/>
      <c r="CY172" s="133" t="s">
        <v>862</v>
      </c>
      <c r="CZ172" s="228">
        <v>324988</v>
      </c>
      <c r="DA172" s="228">
        <v>374708</v>
      </c>
      <c r="DB172" s="228">
        <v>452000</v>
      </c>
      <c r="DC172" s="228">
        <v>578560</v>
      </c>
      <c r="DD172" s="228">
        <v>644552</v>
      </c>
    </row>
    <row r="173" spans="1:108" ht="13.15" customHeight="1">
      <c r="C173" s="20"/>
      <c r="D173" t="s">
        <v>871</v>
      </c>
      <c r="J173" s="1745" t="s">
        <v>872</v>
      </c>
      <c r="K173" s="1745"/>
      <c r="L173" s="1745"/>
      <c r="M173" s="1745"/>
      <c r="N173" s="1745"/>
      <c r="O173" s="1745"/>
      <c r="P173" s="1745"/>
      <c r="Q173" s="1745"/>
      <c r="R173" s="1745"/>
      <c r="S173" s="1745"/>
      <c r="U173" s="21"/>
      <c r="X173" s="21"/>
      <c r="BB173" s="3" t="s">
        <v>309</v>
      </c>
      <c r="BN173" s="133" t="s">
        <v>873</v>
      </c>
      <c r="BS173">
        <v>7</v>
      </c>
      <c r="BT173" t="s">
        <v>874</v>
      </c>
      <c r="CB173" s="253" t="s">
        <v>865</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864</v>
      </c>
      <c r="CS173" s="226">
        <v>352022</v>
      </c>
      <c r="CT173" s="226">
        <v>405878</v>
      </c>
      <c r="CU173" s="226">
        <v>489600</v>
      </c>
      <c r="CV173" s="226">
        <v>626688</v>
      </c>
      <c r="CW173" s="226">
        <v>698170</v>
      </c>
      <c r="CX173" s="13"/>
      <c r="CY173" s="133" t="s">
        <v>864</v>
      </c>
      <c r="CZ173" s="226">
        <v>352022</v>
      </c>
      <c r="DA173" s="226">
        <v>405878</v>
      </c>
      <c r="DB173" s="226">
        <v>489600</v>
      </c>
      <c r="DC173" s="226">
        <v>626688</v>
      </c>
      <c r="DD173" s="226">
        <v>698170</v>
      </c>
    </row>
    <row r="174" spans="1:108" ht="13.15" customHeight="1">
      <c r="C174" s="20"/>
      <c r="D174" s="3" t="s">
        <v>875</v>
      </c>
      <c r="J174" s="1333" t="s">
        <v>876</v>
      </c>
      <c r="K174" s="1333"/>
      <c r="L174" s="1333"/>
      <c r="M174" s="1333"/>
      <c r="N174" s="1333"/>
      <c r="O174" s="1333"/>
      <c r="P174" s="1333"/>
      <c r="Q174" s="1333"/>
      <c r="R174" s="1333"/>
      <c r="S174" s="1333"/>
      <c r="T174" s="1333"/>
      <c r="U174" s="1333"/>
      <c r="V174" s="1333"/>
      <c r="W174" s="1333"/>
      <c r="X174" s="1333"/>
      <c r="Y174" s="1333"/>
      <c r="Z174" s="1333"/>
      <c r="AA174" s="1333"/>
      <c r="AB174" s="1333"/>
      <c r="BB174" t="s">
        <v>877</v>
      </c>
      <c r="BN174" s="133" t="s">
        <v>878</v>
      </c>
      <c r="BS174">
        <v>7</v>
      </c>
      <c r="BT174" t="s">
        <v>879</v>
      </c>
      <c r="CB174" s="253" t="s">
        <v>867</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866</v>
      </c>
      <c r="CS174" s="228">
        <v>307732</v>
      </c>
      <c r="CT174" s="228">
        <v>354812</v>
      </c>
      <c r="CU174" s="228">
        <v>428000</v>
      </c>
      <c r="CV174" s="228">
        <v>547840</v>
      </c>
      <c r="CW174" s="228">
        <v>610328</v>
      </c>
      <c r="CX174" s="13"/>
      <c r="CY174" s="133" t="s">
        <v>866</v>
      </c>
      <c r="CZ174" s="228">
        <v>307732</v>
      </c>
      <c r="DA174" s="228">
        <v>354812</v>
      </c>
      <c r="DB174" s="228">
        <v>428000</v>
      </c>
      <c r="DC174" s="228">
        <v>547840</v>
      </c>
      <c r="DD174" s="228">
        <v>610328</v>
      </c>
    </row>
    <row r="175" spans="1:108" ht="13.15" customHeight="1">
      <c r="C175" s="7"/>
      <c r="D175" s="3" t="s">
        <v>880</v>
      </c>
      <c r="O175" s="23"/>
      <c r="U175" s="1294" t="s">
        <v>843</v>
      </c>
      <c r="V175" s="1294"/>
      <c r="BB175" t="s">
        <v>881</v>
      </c>
      <c r="BN175" s="133" t="s">
        <v>882</v>
      </c>
      <c r="BS175">
        <v>1</v>
      </c>
      <c r="BT175" t="s">
        <v>883</v>
      </c>
      <c r="CB175" s="253" t="s">
        <v>870</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869</v>
      </c>
      <c r="CS175" s="226">
        <v>307732</v>
      </c>
      <c r="CT175" s="226">
        <v>354812</v>
      </c>
      <c r="CU175" s="226">
        <v>428000</v>
      </c>
      <c r="CV175" s="226">
        <v>547840</v>
      </c>
      <c r="CW175" s="226">
        <v>610328</v>
      </c>
      <c r="CX175" s="13"/>
      <c r="CY175" s="133" t="s">
        <v>869</v>
      </c>
      <c r="CZ175" s="226">
        <v>307732</v>
      </c>
      <c r="DA175" s="226">
        <v>354812</v>
      </c>
      <c r="DB175" s="226">
        <v>428000</v>
      </c>
      <c r="DC175" s="226">
        <v>547840</v>
      </c>
      <c r="DD175" s="226">
        <v>610328</v>
      </c>
    </row>
    <row r="176" spans="1:108" ht="13.15" customHeight="1">
      <c r="C176" s="7"/>
      <c r="D176" s="22"/>
      <c r="E176" t="s">
        <v>884</v>
      </c>
      <c r="O176" s="23"/>
      <c r="P176" t="s">
        <v>885</v>
      </c>
      <c r="T176" s="23" t="s">
        <v>886</v>
      </c>
      <c r="U176" s="1384">
        <v>25</v>
      </c>
      <c r="V176" s="1384"/>
      <c r="W176" s="1" t="s">
        <v>887</v>
      </c>
      <c r="X176" s="1723">
        <v>526</v>
      </c>
      <c r="Y176" s="1723"/>
      <c r="BB176" t="s">
        <v>888</v>
      </c>
      <c r="BN176" s="133" t="s">
        <v>889</v>
      </c>
      <c r="BS176">
        <v>5</v>
      </c>
      <c r="BT176" t="s">
        <v>890</v>
      </c>
      <c r="CB176" s="253" t="s">
        <v>874</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873</v>
      </c>
      <c r="CS176" s="228">
        <v>352022</v>
      </c>
      <c r="CT176" s="228">
        <v>405878</v>
      </c>
      <c r="CU176" s="228">
        <v>489600</v>
      </c>
      <c r="CV176" s="228">
        <v>626688</v>
      </c>
      <c r="CW176" s="228">
        <v>698170</v>
      </c>
      <c r="CX176" s="13"/>
      <c r="CY176" s="133" t="s">
        <v>873</v>
      </c>
      <c r="CZ176" s="228">
        <v>352022</v>
      </c>
      <c r="DA176" s="228">
        <v>405878</v>
      </c>
      <c r="DB176" s="228">
        <v>489600</v>
      </c>
      <c r="DC176" s="228">
        <v>626688</v>
      </c>
      <c r="DD176" s="228">
        <v>698170</v>
      </c>
    </row>
    <row r="177" spans="1:108" ht="13.15" customHeight="1">
      <c r="C177" s="20"/>
      <c r="D177" t="s">
        <v>891</v>
      </c>
      <c r="R177" s="1294" t="s">
        <v>692</v>
      </c>
      <c r="S177" s="1294"/>
      <c r="BB177" t="s">
        <v>892</v>
      </c>
      <c r="BN177" s="133" t="s">
        <v>893</v>
      </c>
      <c r="BS177">
        <v>2</v>
      </c>
      <c r="BT177" t="s">
        <v>894</v>
      </c>
      <c r="CB177" s="253" t="s">
        <v>879</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878</v>
      </c>
      <c r="CS177" s="226">
        <v>352022</v>
      </c>
      <c r="CT177" s="226">
        <v>405878</v>
      </c>
      <c r="CU177" s="226">
        <v>489600</v>
      </c>
      <c r="CV177" s="226">
        <v>626688</v>
      </c>
      <c r="CW177" s="226">
        <v>698170</v>
      </c>
      <c r="CX177" s="13"/>
      <c r="CY177" s="133" t="s">
        <v>878</v>
      </c>
      <c r="CZ177" s="226">
        <v>352022</v>
      </c>
      <c r="DA177" s="226">
        <v>405878</v>
      </c>
      <c r="DB177" s="226">
        <v>489600</v>
      </c>
      <c r="DC177" s="226">
        <v>626688</v>
      </c>
      <c r="DD177" s="226">
        <v>698170</v>
      </c>
    </row>
    <row r="178" spans="1:108" ht="13.15" customHeight="1">
      <c r="C178" s="20"/>
      <c r="D178" s="3" t="s">
        <v>895</v>
      </c>
      <c r="AA178" t="s">
        <v>885</v>
      </c>
      <c r="AE178" s="23" t="s">
        <v>886</v>
      </c>
      <c r="AF178" s="1722"/>
      <c r="AG178" s="1722"/>
      <c r="AH178" s="1" t="s">
        <v>887</v>
      </c>
      <c r="AI178" s="1742"/>
      <c r="AJ178" s="1742"/>
      <c r="AK178" s="1742"/>
      <c r="BB178" t="s">
        <v>896</v>
      </c>
      <c r="BN178" s="133" t="s">
        <v>897</v>
      </c>
      <c r="BS178">
        <v>7</v>
      </c>
      <c r="BT178" t="s">
        <v>898</v>
      </c>
      <c r="CB178" s="253" t="s">
        <v>883</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882</v>
      </c>
      <c r="CS178" s="228">
        <v>437727</v>
      </c>
      <c r="CT178" s="228">
        <v>504695</v>
      </c>
      <c r="CU178" s="228">
        <v>608800</v>
      </c>
      <c r="CV178" s="228">
        <v>779264</v>
      </c>
      <c r="CW178" s="228">
        <v>868149</v>
      </c>
      <c r="CX178" s="13"/>
      <c r="CY178" s="133" t="s">
        <v>882</v>
      </c>
      <c r="CZ178" s="228">
        <v>437727</v>
      </c>
      <c r="DA178" s="228">
        <v>504695</v>
      </c>
      <c r="DB178" s="228">
        <v>608800</v>
      </c>
      <c r="DC178" s="228">
        <v>779264</v>
      </c>
      <c r="DD178" s="228">
        <v>868149</v>
      </c>
    </row>
    <row r="179" spans="1:108" ht="13.15" customHeight="1">
      <c r="C179" s="20"/>
      <c r="BN179" s="133" t="s">
        <v>899</v>
      </c>
      <c r="BS179">
        <v>7</v>
      </c>
      <c r="BT179" t="s">
        <v>900</v>
      </c>
      <c r="CB179" s="253" t="s">
        <v>890</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889</v>
      </c>
      <c r="CS179" s="226">
        <v>307732</v>
      </c>
      <c r="CT179" s="226">
        <v>354812</v>
      </c>
      <c r="CU179" s="226">
        <v>428000</v>
      </c>
      <c r="CV179" s="226">
        <v>547840</v>
      </c>
      <c r="CW179" s="226">
        <v>610328</v>
      </c>
      <c r="CX179" s="13"/>
      <c r="CY179" s="133" t="s">
        <v>889</v>
      </c>
      <c r="CZ179" s="226">
        <v>307732</v>
      </c>
      <c r="DA179" s="226">
        <v>354812</v>
      </c>
      <c r="DB179" s="226">
        <v>428000</v>
      </c>
      <c r="DC179" s="226">
        <v>547840</v>
      </c>
      <c r="DD179" s="226">
        <v>610328</v>
      </c>
    </row>
    <row r="180" spans="1:108" ht="13.15" customHeight="1">
      <c r="C180" s="20"/>
      <c r="D180" t="s">
        <v>901</v>
      </c>
      <c r="X180" s="1294"/>
      <c r="Y180" s="1294"/>
      <c r="BN180" s="133" t="s">
        <v>902</v>
      </c>
      <c r="BS180">
        <v>5</v>
      </c>
      <c r="BT180" t="s">
        <v>903</v>
      </c>
      <c r="CB180" s="253" t="s">
        <v>894</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893</v>
      </c>
      <c r="CS180" s="228">
        <v>384234</v>
      </c>
      <c r="CT180" s="228">
        <v>443018</v>
      </c>
      <c r="CU180" s="228">
        <v>534400</v>
      </c>
      <c r="CV180" s="228">
        <v>684032</v>
      </c>
      <c r="CW180" s="228">
        <v>762054</v>
      </c>
      <c r="CX180" s="13"/>
      <c r="CY180" s="133" t="s">
        <v>893</v>
      </c>
      <c r="CZ180" s="228">
        <v>384234</v>
      </c>
      <c r="DA180" s="228">
        <v>443018</v>
      </c>
      <c r="DB180" s="228">
        <v>534400</v>
      </c>
      <c r="DC180" s="228">
        <v>684032</v>
      </c>
      <c r="DD180" s="228">
        <v>762054</v>
      </c>
    </row>
    <row r="181" spans="1:108" ht="13.15" customHeight="1">
      <c r="C181" s="7"/>
      <c r="E181" s="3" t="s">
        <v>904</v>
      </c>
      <c r="BN181" s="133" t="s">
        <v>905</v>
      </c>
      <c r="BS181">
        <v>7</v>
      </c>
      <c r="BT181" t="s">
        <v>906</v>
      </c>
      <c r="CB181" s="253" t="s">
        <v>898</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897</v>
      </c>
      <c r="CS181" s="226">
        <v>352022</v>
      </c>
      <c r="CT181" s="226">
        <v>405878</v>
      </c>
      <c r="CU181" s="226">
        <v>489600</v>
      </c>
      <c r="CV181" s="226">
        <v>626688</v>
      </c>
      <c r="CW181" s="226">
        <v>698170</v>
      </c>
      <c r="CX181" s="13"/>
      <c r="CY181" s="133" t="s">
        <v>897</v>
      </c>
      <c r="CZ181" s="226">
        <v>352022</v>
      </c>
      <c r="DA181" s="226">
        <v>405878</v>
      </c>
      <c r="DB181" s="226">
        <v>489600</v>
      </c>
      <c r="DC181" s="226">
        <v>626688</v>
      </c>
      <c r="DD181" s="226">
        <v>698170</v>
      </c>
    </row>
    <row r="182" spans="1:108" ht="13.15" customHeight="1">
      <c r="C182" s="430"/>
      <c r="BN182" s="133" t="s">
        <v>907</v>
      </c>
      <c r="BS182">
        <v>7</v>
      </c>
      <c r="BT182" t="s">
        <v>908</v>
      </c>
      <c r="CB182" s="253" t="s">
        <v>900</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899</v>
      </c>
      <c r="CS182" s="228">
        <v>352022</v>
      </c>
      <c r="CT182" s="228">
        <v>405878</v>
      </c>
      <c r="CU182" s="228">
        <v>489600</v>
      </c>
      <c r="CV182" s="228">
        <v>626688</v>
      </c>
      <c r="CW182" s="228">
        <v>698170</v>
      </c>
      <c r="CX182" s="13"/>
      <c r="CY182" s="133" t="s">
        <v>899</v>
      </c>
      <c r="CZ182" s="228">
        <v>352022</v>
      </c>
      <c r="DA182" s="228">
        <v>405878</v>
      </c>
      <c r="DB182" s="228">
        <v>489600</v>
      </c>
      <c r="DC182" s="228">
        <v>626688</v>
      </c>
      <c r="DD182" s="228">
        <v>698170</v>
      </c>
    </row>
    <row r="183" spans="1:108" ht="13.15" customHeight="1">
      <c r="A183" s="2" t="s">
        <v>909</v>
      </c>
      <c r="C183" s="2" t="s">
        <v>93</v>
      </c>
      <c r="BN183" s="133" t="s">
        <v>910</v>
      </c>
      <c r="BS183">
        <v>4</v>
      </c>
      <c r="BT183" t="s">
        <v>911</v>
      </c>
      <c r="CB183" s="253" t="s">
        <v>903</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902</v>
      </c>
      <c r="CS183" s="226">
        <v>307732</v>
      </c>
      <c r="CT183" s="226">
        <v>354812</v>
      </c>
      <c r="CU183" s="226">
        <v>428000</v>
      </c>
      <c r="CV183" s="226">
        <v>547840</v>
      </c>
      <c r="CW183" s="226">
        <v>610328</v>
      </c>
      <c r="CX183" s="13"/>
      <c r="CY183" s="133" t="s">
        <v>902</v>
      </c>
      <c r="CZ183" s="226">
        <v>307732</v>
      </c>
      <c r="DA183" s="226">
        <v>354812</v>
      </c>
      <c r="DB183" s="226">
        <v>428000</v>
      </c>
      <c r="DC183" s="226">
        <v>547840</v>
      </c>
      <c r="DD183" s="226">
        <v>610328</v>
      </c>
    </row>
    <row r="184" spans="1:108" ht="13.15" customHeight="1">
      <c r="C184" s="18"/>
      <c r="D184" t="s">
        <v>912</v>
      </c>
      <c r="I184" s="1320" t="str">
        <f>H18</f>
        <v>Joyfield at Buchanan Crossing</v>
      </c>
      <c r="J184" s="1320"/>
      <c r="K184" s="1320"/>
      <c r="L184" s="1320"/>
      <c r="M184" s="1320"/>
      <c r="N184" s="1320"/>
      <c r="O184" s="1320"/>
      <c r="P184" s="1320"/>
      <c r="Q184" s="1320"/>
      <c r="R184" s="1320"/>
      <c r="S184" s="1320"/>
      <c r="T184" s="1320"/>
      <c r="U184" s="1320"/>
      <c r="V184" s="1320"/>
      <c r="W184" s="1320"/>
      <c r="X184" s="1320"/>
      <c r="Y184" s="1320"/>
      <c r="Z184" s="1320"/>
      <c r="AA184" s="1320"/>
      <c r="AB184" s="1320"/>
      <c r="AC184" s="1320"/>
      <c r="AD184" s="1320"/>
      <c r="AE184" s="1320"/>
      <c r="BC184" t="s">
        <v>913</v>
      </c>
      <c r="BN184" s="133" t="s">
        <v>914</v>
      </c>
      <c r="BS184">
        <v>4</v>
      </c>
      <c r="BT184" t="s">
        <v>915</v>
      </c>
      <c r="CB184" s="253" t="s">
        <v>906</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905</v>
      </c>
      <c r="CS184" s="228">
        <v>352022</v>
      </c>
      <c r="CT184" s="228">
        <v>405878</v>
      </c>
      <c r="CU184" s="228">
        <v>489600</v>
      </c>
      <c r="CV184" s="228">
        <v>626688</v>
      </c>
      <c r="CW184" s="228">
        <v>698170</v>
      </c>
      <c r="CX184" s="13"/>
      <c r="CY184" s="133" t="s">
        <v>905</v>
      </c>
      <c r="CZ184" s="228">
        <v>352022</v>
      </c>
      <c r="DA184" s="228">
        <v>405878</v>
      </c>
      <c r="DB184" s="228">
        <v>489600</v>
      </c>
      <c r="DC184" s="228">
        <v>626688</v>
      </c>
      <c r="DD184" s="228">
        <v>698170</v>
      </c>
    </row>
    <row r="185" spans="1:108" ht="13.15" customHeight="1">
      <c r="C185" s="18"/>
      <c r="D185" t="s">
        <v>916</v>
      </c>
      <c r="I185" s="1310" t="s">
        <v>917</v>
      </c>
      <c r="J185" s="1310"/>
      <c r="K185" s="1310"/>
      <c r="L185" s="1310"/>
      <c r="M185" s="1310"/>
      <c r="N185" s="1310"/>
      <c r="O185" s="1310"/>
      <c r="P185" s="1310"/>
      <c r="Q185" s="1310"/>
      <c r="R185" s="1310"/>
      <c r="S185" s="1310"/>
      <c r="T185" s="1310"/>
      <c r="U185" s="1310"/>
      <c r="V185" s="1310"/>
      <c r="W185" s="1310"/>
      <c r="X185" s="1310"/>
      <c r="Y185" s="1310"/>
      <c r="Z185" s="1310"/>
      <c r="AA185" s="1310"/>
      <c r="AB185" s="1310"/>
      <c r="AC185" s="1310"/>
      <c r="AD185" s="1310"/>
      <c r="AE185" s="1310"/>
      <c r="BC185" t="s">
        <v>918</v>
      </c>
      <c r="BN185" s="133" t="s">
        <v>919</v>
      </c>
      <c r="BS185">
        <v>7</v>
      </c>
      <c r="BT185" t="s">
        <v>920</v>
      </c>
      <c r="CB185" s="253" t="s">
        <v>908</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907</v>
      </c>
      <c r="CS185" s="226">
        <v>352022</v>
      </c>
      <c r="CT185" s="226">
        <v>405878</v>
      </c>
      <c r="CU185" s="226">
        <v>489600</v>
      </c>
      <c r="CV185" s="226">
        <v>626688</v>
      </c>
      <c r="CW185" s="226">
        <v>698170</v>
      </c>
      <c r="CX185" s="13"/>
      <c r="CY185" s="133" t="s">
        <v>907</v>
      </c>
      <c r="CZ185" s="226">
        <v>352022</v>
      </c>
      <c r="DA185" s="226">
        <v>405878</v>
      </c>
      <c r="DB185" s="226">
        <v>489600</v>
      </c>
      <c r="DC185" s="226">
        <v>626688</v>
      </c>
      <c r="DD185" s="226">
        <v>698170</v>
      </c>
    </row>
    <row r="186" spans="1:108" ht="13.15" customHeight="1">
      <c r="C186" s="18"/>
      <c r="E186" t="s">
        <v>921</v>
      </c>
      <c r="BN186" s="133" t="s">
        <v>922</v>
      </c>
      <c r="BS186">
        <v>4</v>
      </c>
      <c r="BT186" t="s">
        <v>923</v>
      </c>
      <c r="CB186" s="253" t="s">
        <v>911</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910</v>
      </c>
      <c r="CS186" s="228">
        <v>404366</v>
      </c>
      <c r="CT186" s="228">
        <v>466230</v>
      </c>
      <c r="CU186" s="228">
        <v>562400</v>
      </c>
      <c r="CV186" s="228">
        <v>719872</v>
      </c>
      <c r="CW186" s="228">
        <v>801982</v>
      </c>
      <c r="CX186" s="13"/>
      <c r="CY186" s="133" t="s">
        <v>910</v>
      </c>
      <c r="CZ186" s="228">
        <v>404366</v>
      </c>
      <c r="DA186" s="228">
        <v>466230</v>
      </c>
      <c r="DB186" s="228">
        <v>562400</v>
      </c>
      <c r="DC186" s="228">
        <v>719872</v>
      </c>
      <c r="DD186" s="228">
        <v>801982</v>
      </c>
    </row>
    <row r="187" spans="1:108" ht="13.15" customHeight="1">
      <c r="C187" s="18"/>
      <c r="E187" s="1741"/>
      <c r="F187" s="1741"/>
      <c r="G187" s="1741"/>
      <c r="H187" s="1741"/>
      <c r="I187" s="1741"/>
      <c r="J187" s="1741"/>
      <c r="K187" s="1741"/>
      <c r="L187" s="1741"/>
      <c r="M187" s="1741"/>
      <c r="N187" s="1741"/>
      <c r="O187" s="1741"/>
      <c r="P187" s="1741"/>
      <c r="Q187" s="1741"/>
      <c r="R187" s="1741"/>
      <c r="S187" s="1741"/>
      <c r="T187" s="1741"/>
      <c r="U187" s="1741"/>
      <c r="V187" s="1741"/>
      <c r="W187" s="1741"/>
      <c r="X187" s="1741"/>
      <c r="Y187" s="1741"/>
      <c r="Z187" s="1741"/>
      <c r="AA187" s="1741"/>
      <c r="AB187" s="1741"/>
      <c r="AC187" s="1741"/>
      <c r="AD187" s="1741"/>
      <c r="AE187" s="1741"/>
      <c r="BN187" s="133" t="s">
        <v>924</v>
      </c>
      <c r="BS187">
        <v>6</v>
      </c>
      <c r="BT187" t="s">
        <v>925</v>
      </c>
      <c r="CB187" s="253" t="s">
        <v>915</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914</v>
      </c>
      <c r="CS187" s="226">
        <v>384234</v>
      </c>
      <c r="CT187" s="226">
        <v>443018</v>
      </c>
      <c r="CU187" s="226">
        <v>534400</v>
      </c>
      <c r="CV187" s="226">
        <v>684032</v>
      </c>
      <c r="CW187" s="226">
        <v>762054</v>
      </c>
      <c r="CX187" s="13"/>
      <c r="CY187" s="133" t="s">
        <v>914</v>
      </c>
      <c r="CZ187" s="226">
        <v>384234</v>
      </c>
      <c r="DA187" s="226">
        <v>443018</v>
      </c>
      <c r="DB187" s="226">
        <v>534400</v>
      </c>
      <c r="DC187" s="226">
        <v>684032</v>
      </c>
      <c r="DD187" s="226">
        <v>762054</v>
      </c>
    </row>
    <row r="188" spans="1:108" ht="13.15" customHeight="1">
      <c r="C188" s="18"/>
      <c r="E188" s="1714"/>
      <c r="F188" s="1714"/>
      <c r="G188" s="1714"/>
      <c r="H188" s="1714"/>
      <c r="I188" s="1714"/>
      <c r="J188" s="1714"/>
      <c r="K188" s="1714"/>
      <c r="L188" s="1714"/>
      <c r="M188" s="1714"/>
      <c r="N188" s="1714"/>
      <c r="O188" s="1714"/>
      <c r="P188" s="1714"/>
      <c r="Q188" s="1714"/>
      <c r="R188" s="1714"/>
      <c r="S188" s="1714"/>
      <c r="T188" s="1714"/>
      <c r="U188" s="1714"/>
      <c r="V188" s="1714"/>
      <c r="W188" s="1714"/>
      <c r="X188" s="1714"/>
      <c r="Y188" s="1714"/>
      <c r="Z188" s="1714"/>
      <c r="AA188" s="1714"/>
      <c r="AB188" s="1714"/>
      <c r="AC188" s="1714"/>
      <c r="AD188" s="1714"/>
      <c r="AE188" s="1714"/>
      <c r="BN188" s="133" t="s">
        <v>926</v>
      </c>
      <c r="BS188">
        <v>7</v>
      </c>
      <c r="BT188" t="s">
        <v>927</v>
      </c>
      <c r="CB188" s="253" t="s">
        <v>920</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919</v>
      </c>
      <c r="CS188" s="228">
        <v>352022</v>
      </c>
      <c r="CT188" s="228">
        <v>405878</v>
      </c>
      <c r="CU188" s="228">
        <v>489600</v>
      </c>
      <c r="CV188" s="228">
        <v>626688</v>
      </c>
      <c r="CW188" s="228">
        <v>698170</v>
      </c>
      <c r="CX188" s="13"/>
      <c r="CY188" s="133" t="s">
        <v>919</v>
      </c>
      <c r="CZ188" s="228">
        <v>352022</v>
      </c>
      <c r="DA188" s="228">
        <v>405878</v>
      </c>
      <c r="DB188" s="228">
        <v>489600</v>
      </c>
      <c r="DC188" s="228">
        <v>626688</v>
      </c>
      <c r="DD188" s="228">
        <v>698170</v>
      </c>
    </row>
    <row r="189" spans="1:108" ht="13.15" customHeight="1">
      <c r="C189" s="18"/>
      <c r="D189" t="s">
        <v>928</v>
      </c>
      <c r="I189" s="1377" t="s">
        <v>813</v>
      </c>
      <c r="J189" s="1333"/>
      <c r="K189" s="1333"/>
      <c r="L189" s="1333"/>
      <c r="M189" s="1333"/>
      <c r="N189" s="1333"/>
      <c r="O189" s="1333"/>
      <c r="P189" s="1333"/>
      <c r="Q189" t="s">
        <v>929</v>
      </c>
      <c r="T189" s="1333" t="s">
        <v>849</v>
      </c>
      <c r="U189" s="1333"/>
      <c r="V189" s="1333"/>
      <c r="W189" s="1333"/>
      <c r="X189" s="1333"/>
      <c r="Y189" s="1333"/>
      <c r="Z189" s="1333"/>
      <c r="AA189" s="1333"/>
      <c r="AB189" s="1333"/>
      <c r="AC189" s="1333"/>
      <c r="AD189" s="1333"/>
      <c r="AE189" s="1333"/>
      <c r="BC189" t="s">
        <v>309</v>
      </c>
      <c r="BH189" s="3" t="s">
        <v>807</v>
      </c>
      <c r="BN189" s="133" t="s">
        <v>930</v>
      </c>
      <c r="BS189">
        <v>5</v>
      </c>
      <c r="BT189" t="s">
        <v>931</v>
      </c>
      <c r="CB189" s="253" t="s">
        <v>923</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922</v>
      </c>
      <c r="CS189" s="226">
        <v>396888</v>
      </c>
      <c r="CT189" s="226">
        <v>457608</v>
      </c>
      <c r="CU189" s="226">
        <v>552000</v>
      </c>
      <c r="CV189" s="226">
        <v>706560</v>
      </c>
      <c r="CW189" s="226">
        <v>787152</v>
      </c>
      <c r="CX189" s="13"/>
      <c r="CY189" s="133" t="s">
        <v>922</v>
      </c>
      <c r="CZ189" s="226">
        <v>396888</v>
      </c>
      <c r="DA189" s="226">
        <v>457608</v>
      </c>
      <c r="DB189" s="226">
        <v>552000</v>
      </c>
      <c r="DC189" s="226">
        <v>706560</v>
      </c>
      <c r="DD189" s="226">
        <v>787152</v>
      </c>
    </row>
    <row r="190" spans="1:108" ht="13.15" customHeight="1">
      <c r="C190" s="18"/>
      <c r="D190" t="s">
        <v>932</v>
      </c>
      <c r="I190" s="1310">
        <v>94509</v>
      </c>
      <c r="J190" s="1310"/>
      <c r="K190" s="1310"/>
      <c r="L190" s="1310"/>
      <c r="M190" s="1310"/>
      <c r="N190" s="1310"/>
      <c r="O190" t="s">
        <v>933</v>
      </c>
      <c r="T190" s="1730">
        <v>6013307201</v>
      </c>
      <c r="U190" s="1730"/>
      <c r="V190" s="1730"/>
      <c r="W190" s="1730"/>
      <c r="X190" s="1730"/>
      <c r="Y190" s="1730"/>
      <c r="Z190" s="1730"/>
      <c r="AA190" s="1730"/>
      <c r="AB190" s="1730"/>
      <c r="AC190" s="1730"/>
      <c r="AD190" s="1730"/>
      <c r="AE190" s="1730"/>
      <c r="BC190" t="s">
        <v>934</v>
      </c>
      <c r="BH190" t="s">
        <v>934</v>
      </c>
      <c r="BN190" s="133" t="s">
        <v>935</v>
      </c>
      <c r="BS190">
        <v>6</v>
      </c>
      <c r="BT190" t="s">
        <v>936</v>
      </c>
      <c r="CB190" s="253" t="s">
        <v>925</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924</v>
      </c>
      <c r="CS190" s="228">
        <v>331890</v>
      </c>
      <c r="CT190" s="228">
        <v>382666</v>
      </c>
      <c r="CU190" s="228">
        <v>461600</v>
      </c>
      <c r="CV190" s="228">
        <v>590848</v>
      </c>
      <c r="CW190" s="228">
        <v>658242</v>
      </c>
      <c r="CX190" s="13"/>
      <c r="CY190" s="133" t="s">
        <v>924</v>
      </c>
      <c r="CZ190" s="228">
        <v>331890</v>
      </c>
      <c r="DA190" s="228">
        <v>382666</v>
      </c>
      <c r="DB190" s="228">
        <v>461600</v>
      </c>
      <c r="DC190" s="228">
        <v>590848</v>
      </c>
      <c r="DD190" s="228">
        <v>658242</v>
      </c>
    </row>
    <row r="191" spans="1:108" ht="13.15" customHeight="1">
      <c r="C191" s="18"/>
      <c r="D191" t="s">
        <v>937</v>
      </c>
      <c r="N191" s="1741" t="s">
        <v>938</v>
      </c>
      <c r="O191" s="1741"/>
      <c r="P191" s="1741"/>
      <c r="Q191" s="1741"/>
      <c r="R191" s="1741"/>
      <c r="S191" s="1741"/>
      <c r="T191" s="1741"/>
      <c r="U191" s="1741"/>
      <c r="V191" s="1741"/>
      <c r="W191" s="1741"/>
      <c r="X191" s="1741"/>
      <c r="Y191" s="1741"/>
      <c r="Z191" s="1741"/>
      <c r="AA191" s="1741"/>
      <c r="AB191" s="1741"/>
      <c r="AC191" s="1741"/>
      <c r="AD191" s="1741"/>
      <c r="AE191" s="1741"/>
      <c r="BC191" t="s">
        <v>939</v>
      </c>
      <c r="BH191" t="s">
        <v>939</v>
      </c>
      <c r="BN191" s="133" t="s">
        <v>940</v>
      </c>
      <c r="BS191">
        <v>4</v>
      </c>
      <c r="BT191" t="s">
        <v>941</v>
      </c>
      <c r="CB191" s="253" t="s">
        <v>927</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926</v>
      </c>
      <c r="CS191" s="226">
        <v>352022</v>
      </c>
      <c r="CT191" s="226">
        <v>405878</v>
      </c>
      <c r="CU191" s="226">
        <v>489600</v>
      </c>
      <c r="CV191" s="226">
        <v>626688</v>
      </c>
      <c r="CW191" s="226">
        <v>698170</v>
      </c>
      <c r="CX191" s="13"/>
      <c r="CY191" s="133" t="s">
        <v>926</v>
      </c>
      <c r="CZ191" s="226">
        <v>352022</v>
      </c>
      <c r="DA191" s="226">
        <v>405878</v>
      </c>
      <c r="DB191" s="226">
        <v>489600</v>
      </c>
      <c r="DC191" s="226">
        <v>626688</v>
      </c>
      <c r="DD191" s="226">
        <v>698170</v>
      </c>
    </row>
    <row r="192" spans="1:108" ht="13.15" customHeight="1">
      <c r="C192" s="18"/>
      <c r="M192" s="32"/>
      <c r="N192" s="1714"/>
      <c r="O192" s="1714"/>
      <c r="P192" s="1714"/>
      <c r="Q192" s="1714"/>
      <c r="R192" s="1714"/>
      <c r="S192" s="1714"/>
      <c r="T192" s="1714"/>
      <c r="U192" s="1714"/>
      <c r="V192" s="1714"/>
      <c r="W192" s="1714"/>
      <c r="X192" s="1714"/>
      <c r="Y192" s="1714"/>
      <c r="Z192" s="1714"/>
      <c r="AA192" s="1714"/>
      <c r="AB192" s="1714"/>
      <c r="AC192" s="1714"/>
      <c r="AD192" s="1714"/>
      <c r="AE192" s="1714"/>
      <c r="BC192" t="s">
        <v>942</v>
      </c>
      <c r="BH192" s="3" t="s">
        <v>943</v>
      </c>
      <c r="BN192" s="133" t="s">
        <v>944</v>
      </c>
      <c r="BS192">
        <v>5</v>
      </c>
      <c r="BT192" t="s">
        <v>945</v>
      </c>
      <c r="CB192" s="253" t="s">
        <v>931</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930</v>
      </c>
      <c r="CS192" s="228">
        <v>324988</v>
      </c>
      <c r="CT192" s="228">
        <v>374708</v>
      </c>
      <c r="CU192" s="228">
        <v>452000</v>
      </c>
      <c r="CV192" s="228">
        <v>578560</v>
      </c>
      <c r="CW192" s="228">
        <v>644552</v>
      </c>
      <c r="CX192" s="13"/>
      <c r="CY192" s="133" t="s">
        <v>930</v>
      </c>
      <c r="CZ192" s="228">
        <v>324988</v>
      </c>
      <c r="DA192" s="228">
        <v>374708</v>
      </c>
      <c r="DB192" s="228">
        <v>452000</v>
      </c>
      <c r="DC192" s="228">
        <v>578560</v>
      </c>
      <c r="DD192" s="228">
        <v>644552</v>
      </c>
    </row>
    <row r="193" spans="1:108" ht="13.15" customHeight="1">
      <c r="C193" s="18"/>
      <c r="D193" t="s">
        <v>946</v>
      </c>
      <c r="M193" s="32"/>
      <c r="N193" s="790"/>
      <c r="O193" s="790"/>
      <c r="P193" s="790"/>
      <c r="Q193" s="790"/>
      <c r="R193" s="790"/>
      <c r="S193" s="790"/>
      <c r="T193" s="1733" t="s">
        <v>892</v>
      </c>
      <c r="U193" s="1733"/>
      <c r="V193" s="1733"/>
      <c r="W193" s="1733"/>
      <c r="X193" s="1733"/>
      <c r="Y193" s="1733"/>
      <c r="Z193" s="1733"/>
      <c r="AA193" s="1733"/>
      <c r="AB193" s="1733"/>
      <c r="AC193" s="1733"/>
      <c r="AD193" s="1733"/>
      <c r="AE193" s="1733"/>
      <c r="AF193" s="1733"/>
      <c r="AG193" s="1733"/>
      <c r="AH193" s="1733"/>
      <c r="AI193" s="1733"/>
      <c r="BC193" t="s">
        <v>947</v>
      </c>
      <c r="BH193" s="3" t="s">
        <v>948</v>
      </c>
      <c r="BN193" s="133" t="s">
        <v>949</v>
      </c>
      <c r="BS193">
        <v>4</v>
      </c>
      <c r="BT193" t="s">
        <v>950</v>
      </c>
      <c r="CB193" s="253" t="s">
        <v>936</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935</v>
      </c>
      <c r="CS193" s="226">
        <v>331890</v>
      </c>
      <c r="CT193" s="226">
        <v>382666</v>
      </c>
      <c r="CU193" s="226">
        <v>461600</v>
      </c>
      <c r="CV193" s="226">
        <v>590848</v>
      </c>
      <c r="CW193" s="226">
        <v>658242</v>
      </c>
      <c r="CX193" s="13"/>
      <c r="CY193" s="133" t="s">
        <v>935</v>
      </c>
      <c r="CZ193" s="226">
        <v>331890</v>
      </c>
      <c r="DA193" s="226">
        <v>382666</v>
      </c>
      <c r="DB193" s="226">
        <v>461600</v>
      </c>
      <c r="DC193" s="226">
        <v>590848</v>
      </c>
      <c r="DD193" s="226">
        <v>658242</v>
      </c>
    </row>
    <row r="194" spans="1:108" ht="13.15" customHeight="1">
      <c r="C194" s="18"/>
      <c r="D194" s="3" t="s">
        <v>951</v>
      </c>
      <c r="M194" s="32"/>
      <c r="N194" s="790"/>
      <c r="O194" s="790"/>
      <c r="P194" s="790"/>
      <c r="Q194" s="790"/>
      <c r="R194" s="790"/>
      <c r="S194" s="790"/>
      <c r="AH194" s="1294" t="s">
        <v>692</v>
      </c>
      <c r="AI194" s="1294"/>
      <c r="BC194" t="s">
        <v>943</v>
      </c>
      <c r="BN194" s="133" t="s">
        <v>952</v>
      </c>
      <c r="BS194">
        <v>2</v>
      </c>
      <c r="BT194" t="s">
        <v>953</v>
      </c>
      <c r="CB194" s="253" t="s">
        <v>941</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940</v>
      </c>
      <c r="CS194" s="228">
        <v>352022</v>
      </c>
      <c r="CT194" s="228">
        <v>405878</v>
      </c>
      <c r="CU194" s="228">
        <v>489600</v>
      </c>
      <c r="CV194" s="228">
        <v>626688</v>
      </c>
      <c r="CW194" s="228">
        <v>698170</v>
      </c>
      <c r="CX194" s="13"/>
      <c r="CY194" s="133" t="s">
        <v>940</v>
      </c>
      <c r="CZ194" s="228">
        <v>352022</v>
      </c>
      <c r="DA194" s="228">
        <v>405878</v>
      </c>
      <c r="DB194" s="228">
        <v>489600</v>
      </c>
      <c r="DC194" s="228">
        <v>626688</v>
      </c>
      <c r="DD194" s="228">
        <v>698170</v>
      </c>
    </row>
    <row r="195" spans="1:108" ht="13.15" customHeight="1">
      <c r="C195" s="18"/>
      <c r="D195" t="s">
        <v>954</v>
      </c>
      <c r="T195" s="1294" t="s">
        <v>692</v>
      </c>
      <c r="U195" s="1294"/>
      <c r="W195" t="s">
        <v>955</v>
      </c>
      <c r="AH195" s="1294">
        <v>8</v>
      </c>
      <c r="AI195" s="1294"/>
      <c r="BC195" t="s">
        <v>956</v>
      </c>
      <c r="BN195" s="133" t="s">
        <v>957</v>
      </c>
      <c r="BS195">
        <v>6</v>
      </c>
      <c r="BT195" t="s">
        <v>958</v>
      </c>
      <c r="CB195" s="253" t="s">
        <v>945</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944</v>
      </c>
      <c r="CS195" s="226">
        <v>324988</v>
      </c>
      <c r="CT195" s="226">
        <v>374708</v>
      </c>
      <c r="CU195" s="226">
        <v>452000</v>
      </c>
      <c r="CV195" s="226">
        <v>578560</v>
      </c>
      <c r="CW195" s="226">
        <v>644552</v>
      </c>
      <c r="CX195" s="13"/>
      <c r="CY195" s="133" t="s">
        <v>944</v>
      </c>
      <c r="CZ195" s="226">
        <v>324988</v>
      </c>
      <c r="DA195" s="226">
        <v>374708</v>
      </c>
      <c r="DB195" s="226">
        <v>452000</v>
      </c>
      <c r="DC195" s="226">
        <v>578560</v>
      </c>
      <c r="DD195" s="226">
        <v>644552</v>
      </c>
    </row>
    <row r="196" spans="1:108" ht="13.15" customHeight="1">
      <c r="C196" s="18"/>
      <c r="D196" t="s">
        <v>959</v>
      </c>
      <c r="T196" s="1364" t="s">
        <v>843</v>
      </c>
      <c r="U196" s="1364"/>
      <c r="W196" t="s">
        <v>960</v>
      </c>
      <c r="AH196" s="1294">
        <v>15</v>
      </c>
      <c r="AI196" s="1294"/>
      <c r="BN196" s="133" t="s">
        <v>961</v>
      </c>
      <c r="BS196">
        <v>4</v>
      </c>
      <c r="BT196" t="s">
        <v>962</v>
      </c>
      <c r="CB196" s="253" t="s">
        <v>950</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949</v>
      </c>
      <c r="CS196" s="228">
        <v>353173</v>
      </c>
      <c r="CT196" s="228">
        <v>407205</v>
      </c>
      <c r="CU196" s="228">
        <v>491200</v>
      </c>
      <c r="CV196" s="228">
        <v>628736</v>
      </c>
      <c r="CW196" s="228">
        <v>700451</v>
      </c>
      <c r="CX196" s="13"/>
      <c r="CY196" s="133" t="s">
        <v>949</v>
      </c>
      <c r="CZ196" s="228">
        <v>353173</v>
      </c>
      <c r="DA196" s="228">
        <v>407205</v>
      </c>
      <c r="DB196" s="228">
        <v>491200</v>
      </c>
      <c r="DC196" s="228">
        <v>628736</v>
      </c>
      <c r="DD196" s="228">
        <v>700451</v>
      </c>
    </row>
    <row r="197" spans="1:108" ht="13.15" customHeight="1">
      <c r="C197" s="18"/>
      <c r="D197" s="3" t="s">
        <v>963</v>
      </c>
      <c r="T197" s="1364" t="s">
        <v>692</v>
      </c>
      <c r="U197" s="1364"/>
      <c r="W197" t="s">
        <v>964</v>
      </c>
      <c r="AH197" s="1294">
        <v>9</v>
      </c>
      <c r="AI197" s="1294"/>
      <c r="BC197" t="s">
        <v>309</v>
      </c>
      <c r="BN197" s="133" t="s">
        <v>965</v>
      </c>
      <c r="BS197">
        <v>2</v>
      </c>
      <c r="BT197" t="s">
        <v>966</v>
      </c>
      <c r="CB197" s="253" t="s">
        <v>953</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952</v>
      </c>
      <c r="CS197" s="226">
        <v>689665</v>
      </c>
      <c r="CT197" s="226">
        <v>795177</v>
      </c>
      <c r="CU197" s="226">
        <v>959200</v>
      </c>
      <c r="CV197" s="226">
        <v>1227776</v>
      </c>
      <c r="CW197" s="226">
        <v>1367819</v>
      </c>
      <c r="CX197" s="13"/>
      <c r="CY197" s="133" t="s">
        <v>952</v>
      </c>
      <c r="CZ197" s="226">
        <v>689665</v>
      </c>
      <c r="DA197" s="226">
        <v>795177</v>
      </c>
      <c r="DB197" s="226">
        <v>959200</v>
      </c>
      <c r="DC197" s="226">
        <v>1227776</v>
      </c>
      <c r="DD197" s="226">
        <v>1367819</v>
      </c>
    </row>
    <row r="198" spans="1:108" s="13" customFormat="1" ht="13.15" customHeight="1">
      <c r="A198"/>
      <c r="B198"/>
      <c r="C198" s="18"/>
      <c r="D198" s="3" t="s">
        <v>967</v>
      </c>
      <c r="E198"/>
      <c r="F198"/>
      <c r="G198"/>
      <c r="H198"/>
      <c r="I198"/>
      <c r="J198"/>
      <c r="K198"/>
      <c r="L198"/>
      <c r="M198"/>
      <c r="N198"/>
      <c r="O198"/>
      <c r="P198"/>
      <c r="Q198"/>
      <c r="R198"/>
      <c r="S198"/>
      <c r="T198" s="1364"/>
      <c r="U198" s="1364"/>
      <c r="V198"/>
      <c r="X198" s="1375" t="s">
        <v>968</v>
      </c>
      <c r="Y198" s="1375"/>
      <c r="Z198" s="1375"/>
      <c r="AA198" s="1375"/>
      <c r="AB198" s="1375"/>
      <c r="AC198" s="1375"/>
      <c r="AD198" s="1375"/>
      <c r="AE198" s="1375"/>
      <c r="AF198" s="1375"/>
      <c r="AG198" s="1375"/>
      <c r="AH198" s="1375"/>
      <c r="AI198" s="1375"/>
      <c r="AJ198" s="1375"/>
      <c r="AK198" s="1375"/>
      <c r="AL198" s="1375"/>
      <c r="AM198" s="1375"/>
      <c r="AN198" s="1375"/>
      <c r="AO198" s="1375"/>
      <c r="AP198" s="1375"/>
      <c r="AQ198" s="1375"/>
      <c r="AR198" s="1375"/>
      <c r="AS198" s="1375"/>
      <c r="AT198" s="1375"/>
      <c r="AU198"/>
      <c r="AV198"/>
      <c r="AW198"/>
      <c r="AX198"/>
      <c r="AY198"/>
      <c r="AZ198" s="25"/>
      <c r="BA198" s="25"/>
      <c r="BC198" s="13" t="s">
        <v>807</v>
      </c>
      <c r="BD198"/>
      <c r="BN198" s="133" t="s">
        <v>969</v>
      </c>
      <c r="BO198"/>
      <c r="BP198"/>
      <c r="BQ198"/>
      <c r="BR198"/>
      <c r="BS198">
        <v>4</v>
      </c>
      <c r="BT198" t="s">
        <v>970</v>
      </c>
      <c r="BU198"/>
      <c r="BV198" s="26"/>
      <c r="CB198" s="253" t="s">
        <v>958</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957</v>
      </c>
      <c r="CS198" s="228">
        <v>307732</v>
      </c>
      <c r="CT198" s="228">
        <v>354812</v>
      </c>
      <c r="CU198" s="228">
        <v>428000</v>
      </c>
      <c r="CV198" s="228">
        <v>547840</v>
      </c>
      <c r="CW198" s="228">
        <v>610328</v>
      </c>
      <c r="CY198" s="133" t="s">
        <v>957</v>
      </c>
      <c r="CZ198" s="228">
        <v>307732</v>
      </c>
      <c r="DA198" s="228">
        <v>354812</v>
      </c>
      <c r="DB198" s="228">
        <v>428000</v>
      </c>
      <c r="DC198" s="228">
        <v>547840</v>
      </c>
      <c r="DD198" s="228">
        <v>610328</v>
      </c>
    </row>
    <row r="199" spans="1:108" s="13" customFormat="1" ht="13.15" customHeight="1">
      <c r="A199"/>
      <c r="B199"/>
      <c r="C199" s="18"/>
      <c r="D199" s="84" t="s">
        <v>971</v>
      </c>
      <c r="E199"/>
      <c r="F199"/>
      <c r="G199"/>
      <c r="H199"/>
      <c r="I199"/>
      <c r="J199"/>
      <c r="K199"/>
      <c r="L199"/>
      <c r="M199"/>
      <c r="N199"/>
      <c r="O199"/>
      <c r="P199"/>
      <c r="Q199"/>
      <c r="R199"/>
      <c r="S199"/>
      <c r="T199" s="1294" t="s">
        <v>692</v>
      </c>
      <c r="U199" s="1294"/>
      <c r="V199"/>
      <c r="W199"/>
      <c r="X199" s="1375"/>
      <c r="Y199" s="1375"/>
      <c r="Z199" s="1375"/>
      <c r="AA199" s="1375"/>
      <c r="AB199" s="1375"/>
      <c r="AC199" s="1375"/>
      <c r="AD199" s="1375"/>
      <c r="AE199" s="1375"/>
      <c r="AF199" s="1375"/>
      <c r="AG199" s="1375"/>
      <c r="AH199" s="1375"/>
      <c r="AI199" s="1375"/>
      <c r="AJ199" s="1375"/>
      <c r="AK199" s="1375"/>
      <c r="AL199" s="1375"/>
      <c r="AM199" s="1375"/>
      <c r="AN199" s="1375"/>
      <c r="AO199" s="1375"/>
      <c r="AP199" s="1375"/>
      <c r="AQ199" s="1375"/>
      <c r="AR199" s="1375"/>
      <c r="AS199" s="1375"/>
      <c r="AT199" s="1375"/>
      <c r="AU199"/>
      <c r="AV199"/>
      <c r="AW199"/>
      <c r="AX199"/>
      <c r="AY199"/>
      <c r="AZ199" s="25"/>
      <c r="BA199" s="25"/>
      <c r="BC199" t="s">
        <v>794</v>
      </c>
      <c r="BD199"/>
      <c r="BN199" s="133" t="s">
        <v>972</v>
      </c>
      <c r="BO199"/>
      <c r="BP199"/>
      <c r="BQ199"/>
      <c r="BR199"/>
      <c r="BS199">
        <v>2</v>
      </c>
      <c r="BT199" s="27" t="s">
        <v>973</v>
      </c>
      <c r="BU199"/>
      <c r="BV199" s="26"/>
      <c r="CB199" s="253" t="s">
        <v>962</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961</v>
      </c>
      <c r="CS199" s="226">
        <v>404366</v>
      </c>
      <c r="CT199" s="226">
        <v>466230</v>
      </c>
      <c r="CU199" s="226">
        <v>562400</v>
      </c>
      <c r="CV199" s="226">
        <v>719872</v>
      </c>
      <c r="CW199" s="226">
        <v>801982</v>
      </c>
      <c r="CY199" s="133" t="s">
        <v>961</v>
      </c>
      <c r="CZ199" s="226">
        <v>404366</v>
      </c>
      <c r="DA199" s="226">
        <v>466230</v>
      </c>
      <c r="DB199" s="226">
        <v>562400</v>
      </c>
      <c r="DC199" s="226">
        <v>719872</v>
      </c>
      <c r="DD199" s="226">
        <v>801982</v>
      </c>
    </row>
    <row r="200" spans="1:108" s="13" customFormat="1" ht="13.15" customHeight="1">
      <c r="A200"/>
      <c r="B200"/>
      <c r="C200" s="18"/>
      <c r="D200" s="13" t="s">
        <v>974</v>
      </c>
      <c r="T200" s="1294" t="s">
        <v>692</v>
      </c>
      <c r="U200" s="1294"/>
      <c r="V200"/>
      <c r="W200"/>
      <c r="X200"/>
      <c r="Y200"/>
      <c r="AA200"/>
      <c r="AB200" s="1139" t="s">
        <v>975</v>
      </c>
      <c r="AC200"/>
      <c r="AF200"/>
      <c r="AG200"/>
      <c r="AH200" s="1"/>
      <c r="AJ200"/>
      <c r="AK200"/>
      <c r="AL200"/>
      <c r="AM200"/>
      <c r="AN200"/>
      <c r="AO200"/>
      <c r="AP200"/>
      <c r="AQ200"/>
      <c r="AR200"/>
      <c r="AS200"/>
      <c r="AU200"/>
      <c r="AV200"/>
      <c r="AW200"/>
      <c r="AX200"/>
      <c r="AY200"/>
      <c r="AZ200" s="25"/>
      <c r="BA200" s="25"/>
      <c r="BC200" s="3" t="s">
        <v>976</v>
      </c>
      <c r="BD200" s="339"/>
      <c r="BN200" s="133" t="s">
        <v>977</v>
      </c>
      <c r="BO200"/>
      <c r="BP200"/>
      <c r="BQ200"/>
      <c r="BR200"/>
      <c r="BS200">
        <v>2</v>
      </c>
      <c r="BT200" s="27" t="s">
        <v>978</v>
      </c>
      <c r="BU200"/>
      <c r="CB200" s="253" t="s">
        <v>966</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965</v>
      </c>
      <c r="CS200" s="227">
        <v>532060</v>
      </c>
      <c r="CT200" s="227">
        <v>613460</v>
      </c>
      <c r="CU200" s="228">
        <v>740000</v>
      </c>
      <c r="CV200" s="227">
        <v>947200</v>
      </c>
      <c r="CW200" s="227">
        <v>1055240</v>
      </c>
      <c r="CY200" s="133" t="s">
        <v>965</v>
      </c>
      <c r="CZ200" s="227">
        <v>532060</v>
      </c>
      <c r="DA200" s="227">
        <v>613460</v>
      </c>
      <c r="DB200" s="227">
        <v>740000</v>
      </c>
      <c r="DC200" s="227">
        <v>947200</v>
      </c>
      <c r="DD200" s="227">
        <v>1055240</v>
      </c>
    </row>
    <row r="201" spans="1:108" s="13" customFormat="1" ht="13.15" customHeight="1">
      <c r="A201"/>
      <c r="B201"/>
      <c r="C201" s="18"/>
      <c r="E201" s="3" t="s">
        <v>979</v>
      </c>
      <c r="V201"/>
      <c r="X201"/>
      <c r="Y201"/>
      <c r="Z201"/>
      <c r="AB201" s="1139" t="s">
        <v>980</v>
      </c>
      <c r="AC201"/>
      <c r="AH201" s="1"/>
      <c r="AJ201"/>
      <c r="AK201"/>
      <c r="AL201"/>
      <c r="AM201"/>
      <c r="AN201"/>
      <c r="AO201"/>
      <c r="AP201"/>
      <c r="AQ201"/>
      <c r="AR201"/>
      <c r="AS201"/>
      <c r="AU201"/>
      <c r="AV201"/>
      <c r="AW201"/>
      <c r="AX201"/>
      <c r="AY201"/>
      <c r="AZ201" s="25"/>
      <c r="BA201" s="25"/>
      <c r="BC201" s="3" t="s">
        <v>981</v>
      </c>
      <c r="BD201" s="339"/>
      <c r="BN201" s="133" t="s">
        <v>982</v>
      </c>
      <c r="BO201" s="26"/>
      <c r="BP201" s="27"/>
      <c r="BQ201" s="27"/>
      <c r="BR201" s="27"/>
      <c r="BS201">
        <v>6</v>
      </c>
      <c r="BT201" s="27" t="s">
        <v>983</v>
      </c>
      <c r="BU201"/>
      <c r="CB201" s="253" t="s">
        <v>970</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969</v>
      </c>
      <c r="CS201" s="226">
        <v>404366</v>
      </c>
      <c r="CT201" s="226">
        <v>466230</v>
      </c>
      <c r="CU201" s="226">
        <v>562400</v>
      </c>
      <c r="CV201" s="226">
        <v>719872</v>
      </c>
      <c r="CW201" s="226">
        <v>801982</v>
      </c>
      <c r="CY201" s="133" t="s">
        <v>969</v>
      </c>
      <c r="CZ201" s="226">
        <v>404366</v>
      </c>
      <c r="DA201" s="226">
        <v>466230</v>
      </c>
      <c r="DB201" s="226">
        <v>562400</v>
      </c>
      <c r="DC201" s="226">
        <v>719872</v>
      </c>
      <c r="DD201" s="226">
        <v>801982</v>
      </c>
    </row>
    <row r="202" spans="1:108" ht="13.15" customHeight="1">
      <c r="C202" s="18"/>
      <c r="AE202" s="7"/>
      <c r="BC202" t="s">
        <v>984</v>
      </c>
      <c r="BD202" s="339"/>
      <c r="BN202" s="133" t="s">
        <v>985</v>
      </c>
      <c r="BO202" s="13"/>
      <c r="BP202" s="27"/>
      <c r="BQ202" s="27"/>
      <c r="BR202" s="27"/>
      <c r="BS202">
        <v>7</v>
      </c>
      <c r="BT202" s="27" t="s">
        <v>986</v>
      </c>
      <c r="CB202" s="253" t="s">
        <v>973</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972</v>
      </c>
      <c r="CS202" s="227">
        <v>532060</v>
      </c>
      <c r="CT202" s="227">
        <v>613460</v>
      </c>
      <c r="CU202" s="227">
        <v>740000</v>
      </c>
      <c r="CV202" s="227">
        <v>947200</v>
      </c>
      <c r="CW202" s="227">
        <v>1055240</v>
      </c>
      <c r="CX202" s="13"/>
      <c r="CY202" s="133" t="s">
        <v>972</v>
      </c>
      <c r="CZ202" s="227">
        <v>532060</v>
      </c>
      <c r="DA202" s="227">
        <v>613460</v>
      </c>
      <c r="DB202" s="227">
        <v>740000</v>
      </c>
      <c r="DC202" s="227">
        <v>947200</v>
      </c>
      <c r="DD202" s="227">
        <v>1055240</v>
      </c>
    </row>
    <row r="203" spans="1:108" ht="13.15" customHeight="1">
      <c r="A203" s="2" t="s">
        <v>987</v>
      </c>
      <c r="C203" s="2" t="s">
        <v>988</v>
      </c>
      <c r="BC203" t="s">
        <v>989</v>
      </c>
      <c r="BN203" s="133" t="s">
        <v>990</v>
      </c>
      <c r="BO203" s="13"/>
      <c r="BP203" s="27"/>
      <c r="BQ203" s="27"/>
      <c r="BR203" s="27"/>
      <c r="BS203">
        <v>7</v>
      </c>
      <c r="BT203" s="27" t="s">
        <v>991</v>
      </c>
      <c r="CB203" s="253" t="s">
        <v>978</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977</v>
      </c>
      <c r="CS203" s="226">
        <v>404366</v>
      </c>
      <c r="CT203" s="226">
        <v>466230</v>
      </c>
      <c r="CU203" s="226">
        <v>562400</v>
      </c>
      <c r="CV203" s="226">
        <v>719872</v>
      </c>
      <c r="CW203" s="226">
        <v>801982</v>
      </c>
      <c r="CX203" s="13"/>
      <c r="CY203" s="133" t="s">
        <v>977</v>
      </c>
      <c r="CZ203" s="226">
        <v>404366</v>
      </c>
      <c r="DA203" s="226">
        <v>466230</v>
      </c>
      <c r="DB203" s="226">
        <v>562400</v>
      </c>
      <c r="DC203" s="226">
        <v>719872</v>
      </c>
      <c r="DD203" s="226">
        <v>801982</v>
      </c>
    </row>
    <row r="204" spans="1:108" ht="13.15" customHeight="1">
      <c r="D204" s="1320" t="s">
        <v>992</v>
      </c>
      <c r="E204" s="1320"/>
      <c r="F204" s="1320"/>
      <c r="G204" s="1320"/>
      <c r="H204" s="1320"/>
      <c r="I204" s="1320"/>
      <c r="J204" s="1320"/>
      <c r="K204" s="1320"/>
      <c r="L204" s="1320"/>
      <c r="M204" s="1320"/>
      <c r="P204" s="1378">
        <f>M26</f>
        <v>4257139</v>
      </c>
      <c r="Q204" s="1721"/>
      <c r="R204" s="1721"/>
      <c r="S204" s="1721"/>
      <c r="T204" s="1721"/>
      <c r="U204" s="1721"/>
      <c r="BC204" t="s">
        <v>993</v>
      </c>
      <c r="BN204" s="133" t="s">
        <v>994</v>
      </c>
      <c r="BS204">
        <v>6</v>
      </c>
      <c r="BT204" s="27" t="s">
        <v>995</v>
      </c>
      <c r="BU204" s="13"/>
      <c r="CB204" s="253" t="s">
        <v>983</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982</v>
      </c>
      <c r="CS204" s="228">
        <v>319236</v>
      </c>
      <c r="CT204" s="228">
        <v>368076</v>
      </c>
      <c r="CU204" s="228">
        <v>444000</v>
      </c>
      <c r="CV204" s="228">
        <v>568320</v>
      </c>
      <c r="CW204" s="228">
        <v>633144</v>
      </c>
      <c r="CX204" s="13"/>
      <c r="CY204" s="133" t="s">
        <v>982</v>
      </c>
      <c r="CZ204" s="228">
        <v>319236</v>
      </c>
      <c r="DA204" s="228">
        <v>368076</v>
      </c>
      <c r="DB204" s="228">
        <v>444000</v>
      </c>
      <c r="DC204" s="228">
        <v>568320</v>
      </c>
      <c r="DD204" s="228">
        <v>633144</v>
      </c>
    </row>
    <row r="205" spans="1:108" ht="13.15" customHeight="1">
      <c r="C205" s="18"/>
      <c r="D205" s="1719" t="s">
        <v>996</v>
      </c>
      <c r="E205" s="1320"/>
      <c r="F205" s="1320"/>
      <c r="G205" s="1320"/>
      <c r="H205" s="1320"/>
      <c r="I205" s="1320"/>
      <c r="J205" s="1320"/>
      <c r="K205" s="1320"/>
      <c r="L205" s="1320"/>
      <c r="M205" s="1320"/>
      <c r="P205" s="1721">
        <f>M27</f>
        <v>0</v>
      </c>
      <c r="Q205" s="1721"/>
      <c r="R205" s="1721"/>
      <c r="S205" s="1721"/>
      <c r="T205" s="1721"/>
      <c r="U205" s="1721"/>
      <c r="V205" s="19"/>
      <c r="W205" s="3" t="s">
        <v>997</v>
      </c>
      <c r="Z205" s="1747" t="s">
        <v>998</v>
      </c>
      <c r="AA205" s="1747"/>
      <c r="AB205" s="1747"/>
      <c r="AC205" s="1747"/>
      <c r="AD205" s="1747"/>
      <c r="AE205" s="1747"/>
      <c r="AF205" s="1747"/>
      <c r="AG205" s="1747"/>
      <c r="AH205" s="1747"/>
      <c r="AI205" s="1747"/>
      <c r="AJ205" s="1747"/>
      <c r="AK205" s="1747"/>
      <c r="AL205" s="1747"/>
      <c r="AM205" s="1747"/>
      <c r="AN205" s="1747"/>
      <c r="AP205" s="1297"/>
      <c r="AQ205" s="1297"/>
      <c r="BC205" t="s">
        <v>999</v>
      </c>
      <c r="BN205" s="133" t="s">
        <v>1000</v>
      </c>
      <c r="BS205">
        <v>4</v>
      </c>
      <c r="BT205" s="27" t="s">
        <v>1001</v>
      </c>
      <c r="BU205" s="13"/>
      <c r="CB205" s="253" t="s">
        <v>986</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985</v>
      </c>
      <c r="CS205" s="226">
        <v>352022</v>
      </c>
      <c r="CT205" s="226">
        <v>405878</v>
      </c>
      <c r="CU205" s="226">
        <v>489600</v>
      </c>
      <c r="CV205" s="226">
        <v>626688</v>
      </c>
      <c r="CW205" s="226">
        <v>698170</v>
      </c>
      <c r="CX205" s="13"/>
      <c r="CY205" s="133" t="s">
        <v>985</v>
      </c>
      <c r="CZ205" s="226">
        <v>352022</v>
      </c>
      <c r="DA205" s="226">
        <v>405878</v>
      </c>
      <c r="DB205" s="226">
        <v>489600</v>
      </c>
      <c r="DC205" s="226">
        <v>626688</v>
      </c>
      <c r="DD205" s="226">
        <v>698170</v>
      </c>
    </row>
    <row r="206" spans="1:108" ht="13.15" customHeight="1">
      <c r="D206" s="24"/>
      <c r="E206" s="24"/>
      <c r="F206" s="24"/>
      <c r="G206" s="24"/>
      <c r="H206" s="24"/>
      <c r="I206" s="24"/>
      <c r="J206" s="24"/>
      <c r="K206" s="24"/>
      <c r="L206" s="24"/>
      <c r="M206" s="24"/>
      <c r="N206" s="24"/>
      <c r="O206" s="24"/>
      <c r="P206" s="24"/>
      <c r="BC206" t="s">
        <v>1002</v>
      </c>
      <c r="BN206" s="133" t="s">
        <v>1003</v>
      </c>
      <c r="BS206">
        <v>5</v>
      </c>
      <c r="BT206" s="27" t="s">
        <v>1004</v>
      </c>
      <c r="BU206" s="13"/>
      <c r="CB206" s="253" t="s">
        <v>991</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990</v>
      </c>
      <c r="CS206" s="228">
        <v>352022</v>
      </c>
      <c r="CT206" s="228">
        <v>405878</v>
      </c>
      <c r="CU206" s="228">
        <v>489600</v>
      </c>
      <c r="CV206" s="228">
        <v>626688</v>
      </c>
      <c r="CW206" s="228">
        <v>698170</v>
      </c>
      <c r="CX206" s="13"/>
      <c r="CY206" s="133" t="s">
        <v>990</v>
      </c>
      <c r="CZ206" s="228">
        <v>352022</v>
      </c>
      <c r="DA206" s="228">
        <v>405878</v>
      </c>
      <c r="DB206" s="228">
        <v>489600</v>
      </c>
      <c r="DC206" s="228">
        <v>626688</v>
      </c>
      <c r="DD206" s="228">
        <v>698170</v>
      </c>
    </row>
    <row r="207" spans="1:108" ht="13.15" customHeight="1">
      <c r="A207" s="2" t="s">
        <v>1005</v>
      </c>
      <c r="C207" s="2" t="s">
        <v>1006</v>
      </c>
      <c r="BC207" s="340" t="s">
        <v>1007</v>
      </c>
      <c r="BN207" s="133" t="s">
        <v>1008</v>
      </c>
      <c r="BS207">
        <v>6</v>
      </c>
      <c r="BT207" s="27" t="s">
        <v>1009</v>
      </c>
      <c r="CB207" s="253" t="s">
        <v>995</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994</v>
      </c>
      <c r="CS207" s="226">
        <v>384234</v>
      </c>
      <c r="CT207" s="226">
        <v>443018</v>
      </c>
      <c r="CU207" s="226">
        <v>534400</v>
      </c>
      <c r="CV207" s="226">
        <v>684032</v>
      </c>
      <c r="CW207" s="226">
        <v>762054</v>
      </c>
      <c r="CX207" s="13"/>
      <c r="CY207" s="133" t="s">
        <v>994</v>
      </c>
      <c r="CZ207" s="226">
        <v>384234</v>
      </c>
      <c r="DA207" s="226">
        <v>443018</v>
      </c>
      <c r="DB207" s="226">
        <v>534400</v>
      </c>
      <c r="DC207" s="226">
        <v>684032</v>
      </c>
      <c r="DD207" s="226">
        <v>762054</v>
      </c>
    </row>
    <row r="208" spans="1:108" ht="13.15" customHeight="1">
      <c r="C208" s="18"/>
      <c r="D208" s="1377" t="s">
        <v>1010</v>
      </c>
      <c r="E208" s="1377"/>
      <c r="F208" s="1377"/>
      <c r="G208" s="1377"/>
      <c r="H208" s="1377"/>
      <c r="I208" s="1377"/>
      <c r="J208" s="1377"/>
      <c r="K208" s="1377"/>
      <c r="L208" s="1377"/>
      <c r="M208" s="1377"/>
      <c r="BC208" s="3" t="s">
        <v>1011</v>
      </c>
      <c r="BN208" s="133" t="s">
        <v>1012</v>
      </c>
      <c r="BS208">
        <v>7</v>
      </c>
      <c r="BT208" s="27" t="s">
        <v>1013</v>
      </c>
      <c r="CB208" s="253" t="s">
        <v>1001</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1000</v>
      </c>
      <c r="CS208" s="228">
        <v>384234</v>
      </c>
      <c r="CT208" s="228">
        <v>443018</v>
      </c>
      <c r="CU208" s="228">
        <v>534400</v>
      </c>
      <c r="CV208" s="228">
        <v>684032</v>
      </c>
      <c r="CW208" s="228">
        <v>762054</v>
      </c>
      <c r="CX208" s="13"/>
      <c r="CY208" s="133" t="s">
        <v>1000</v>
      </c>
      <c r="CZ208" s="228">
        <v>384234</v>
      </c>
      <c r="DA208" s="228">
        <v>443018</v>
      </c>
      <c r="DB208" s="228">
        <v>534400</v>
      </c>
      <c r="DC208" s="228">
        <v>684032</v>
      </c>
      <c r="DD208" s="228">
        <v>762054</v>
      </c>
    </row>
    <row r="209" spans="1:108" ht="13.15" customHeight="1">
      <c r="BC209" t="s">
        <v>1014</v>
      </c>
      <c r="BN209" s="133" t="s">
        <v>1015</v>
      </c>
      <c r="BS209">
        <v>7</v>
      </c>
      <c r="BT209" s="27" t="s">
        <v>1016</v>
      </c>
      <c r="CB209" s="253" t="s">
        <v>1004</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1003</v>
      </c>
      <c r="CS209" s="226">
        <v>307732</v>
      </c>
      <c r="CT209" s="226">
        <v>354812</v>
      </c>
      <c r="CU209" s="226">
        <v>428000</v>
      </c>
      <c r="CV209" s="226">
        <v>547840</v>
      </c>
      <c r="CW209" s="226">
        <v>610328</v>
      </c>
      <c r="CX209" s="13"/>
      <c r="CY209" s="133" t="s">
        <v>1003</v>
      </c>
      <c r="CZ209" s="226">
        <v>307732</v>
      </c>
      <c r="DA209" s="226">
        <v>354812</v>
      </c>
      <c r="DB209" s="226">
        <v>428000</v>
      </c>
      <c r="DC209" s="226">
        <v>547840</v>
      </c>
      <c r="DD209" s="226">
        <v>610328</v>
      </c>
    </row>
    <row r="210" spans="1:108" ht="13.15" customHeight="1">
      <c r="A210" s="2" t="s">
        <v>1017</v>
      </c>
      <c r="C210" s="2" t="s">
        <v>1018</v>
      </c>
      <c r="BC210" t="s">
        <v>1019</v>
      </c>
      <c r="BN210" s="133" t="s">
        <v>1020</v>
      </c>
      <c r="BS210">
        <v>5</v>
      </c>
      <c r="BT210" s="27" t="s">
        <v>1021</v>
      </c>
      <c r="CB210" s="253" t="s">
        <v>1009</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1008</v>
      </c>
      <c r="CS210" s="228">
        <v>331890</v>
      </c>
      <c r="CT210" s="228">
        <v>382666</v>
      </c>
      <c r="CU210" s="228">
        <v>461600</v>
      </c>
      <c r="CV210" s="228">
        <v>590848</v>
      </c>
      <c r="CW210" s="228">
        <v>658242</v>
      </c>
      <c r="CX210" s="13"/>
      <c r="CY210" s="133" t="s">
        <v>1008</v>
      </c>
      <c r="CZ210" s="228">
        <v>331890</v>
      </c>
      <c r="DA210" s="228">
        <v>382666</v>
      </c>
      <c r="DB210" s="228">
        <v>461600</v>
      </c>
      <c r="DC210" s="228">
        <v>590848</v>
      </c>
      <c r="DD210" s="228">
        <v>658242</v>
      </c>
    </row>
    <row r="211" spans="1:108" ht="13.15" customHeight="1">
      <c r="C211" s="18"/>
      <c r="D211" s="1377" t="s">
        <v>934</v>
      </c>
      <c r="E211" s="1377"/>
      <c r="F211" s="1377"/>
      <c r="G211" s="1377"/>
      <c r="H211" s="1377"/>
      <c r="I211" s="1377"/>
      <c r="J211" s="1377"/>
      <c r="K211" s="1377"/>
      <c r="L211" s="1377"/>
      <c r="M211" s="1377"/>
      <c r="BN211" s="133" t="s">
        <v>1022</v>
      </c>
      <c r="BS211">
        <v>7</v>
      </c>
      <c r="BT211" s="27" t="s">
        <v>1023</v>
      </c>
      <c r="CB211" s="253" t="s">
        <v>1013</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1012</v>
      </c>
      <c r="CS211" s="226">
        <v>352022</v>
      </c>
      <c r="CT211" s="226">
        <v>405878</v>
      </c>
      <c r="CU211" s="226">
        <v>489600</v>
      </c>
      <c r="CV211" s="226">
        <v>626688</v>
      </c>
      <c r="CW211" s="226">
        <v>698170</v>
      </c>
      <c r="CX211" s="13"/>
      <c r="CY211" s="133" t="s">
        <v>1012</v>
      </c>
      <c r="CZ211" s="226">
        <v>352022</v>
      </c>
      <c r="DA211" s="226">
        <v>405878</v>
      </c>
      <c r="DB211" s="226">
        <v>489600</v>
      </c>
      <c r="DC211" s="226">
        <v>626688</v>
      </c>
      <c r="DD211" s="226">
        <v>698170</v>
      </c>
    </row>
    <row r="212" spans="1:108" ht="13.15" customHeight="1">
      <c r="C212" s="18"/>
      <c r="D212" s="3" t="s">
        <v>1024</v>
      </c>
      <c r="Q212" s="1294"/>
      <c r="R212" s="1294"/>
      <c r="T212" s="1735">
        <f>IFERROR(Q212/AG440,0)</f>
        <v>0</v>
      </c>
      <c r="U212" s="1736"/>
      <c r="BC212" t="s">
        <v>309</v>
      </c>
      <c r="BI212" t="s">
        <v>998</v>
      </c>
      <c r="BN212" s="133" t="s">
        <v>1025</v>
      </c>
      <c r="BS212">
        <v>4</v>
      </c>
      <c r="BT212" s="27" t="s">
        <v>1026</v>
      </c>
      <c r="CB212" s="253" t="s">
        <v>1016</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1015</v>
      </c>
      <c r="CS212" s="228">
        <v>352022</v>
      </c>
      <c r="CT212" s="228">
        <v>405878</v>
      </c>
      <c r="CU212" s="228">
        <v>489600</v>
      </c>
      <c r="CV212" s="228">
        <v>626688</v>
      </c>
      <c r="CW212" s="228">
        <v>698170</v>
      </c>
      <c r="CX212" s="13"/>
      <c r="CY212" s="133" t="s">
        <v>1015</v>
      </c>
      <c r="CZ212" s="228">
        <v>352022</v>
      </c>
      <c r="DA212" s="228">
        <v>405878</v>
      </c>
      <c r="DB212" s="228">
        <v>489600</v>
      </c>
      <c r="DC212" s="228">
        <v>626688</v>
      </c>
      <c r="DD212" s="228">
        <v>698170</v>
      </c>
    </row>
    <row r="213" spans="1:108" ht="13.15" customHeight="1">
      <c r="D213" s="1034" t="s">
        <v>1027</v>
      </c>
      <c r="BC213" t="s">
        <v>1028</v>
      </c>
      <c r="BI213" s="3" t="s">
        <v>1029</v>
      </c>
      <c r="BN213" s="133" t="s">
        <v>1030</v>
      </c>
      <c r="BS213">
        <v>6</v>
      </c>
      <c r="BT213" s="27" t="s">
        <v>1031</v>
      </c>
      <c r="CB213" s="253" t="s">
        <v>1021</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1020</v>
      </c>
      <c r="CS213" s="226">
        <v>307732</v>
      </c>
      <c r="CT213" s="226">
        <v>354812</v>
      </c>
      <c r="CU213" s="226">
        <v>428000</v>
      </c>
      <c r="CV213" s="226">
        <v>547840</v>
      </c>
      <c r="CW213" s="226">
        <v>610328</v>
      </c>
      <c r="CX213" s="13"/>
      <c r="CY213" s="133" t="s">
        <v>1020</v>
      </c>
      <c r="CZ213" s="226">
        <v>307732</v>
      </c>
      <c r="DA213" s="226">
        <v>354812</v>
      </c>
      <c r="DB213" s="226">
        <v>428000</v>
      </c>
      <c r="DC213" s="226">
        <v>547840</v>
      </c>
      <c r="DD213" s="226">
        <v>610328</v>
      </c>
    </row>
    <row r="214" spans="1:108" ht="13.15" customHeight="1">
      <c r="D214" s="1738" t="s">
        <v>807</v>
      </c>
      <c r="E214" s="1738"/>
      <c r="F214" s="1738"/>
      <c r="G214" s="1738"/>
      <c r="H214" s="1738"/>
      <c r="I214" s="1738"/>
      <c r="J214" s="1738"/>
      <c r="K214" s="1738"/>
      <c r="L214" s="1738"/>
      <c r="M214" s="1738"/>
      <c r="N214" s="1738"/>
      <c r="O214" s="1738"/>
      <c r="P214" s="1738"/>
      <c r="Q214" s="1738"/>
      <c r="R214" s="1738"/>
      <c r="S214" s="1738"/>
      <c r="T214" s="1738"/>
      <c r="U214" s="1738"/>
      <c r="V214" s="1738"/>
      <c r="W214" s="1738"/>
      <c r="X214" s="1738"/>
      <c r="Y214" s="1738"/>
      <c r="Z214" s="1738"/>
      <c r="AU214" s="18"/>
      <c r="AV214" s="18"/>
      <c r="AW214" s="18"/>
      <c r="AX214" s="18"/>
      <c r="AY214" s="18"/>
      <c r="BC214" t="s">
        <v>1032</v>
      </c>
      <c r="BI214" s="3" t="s">
        <v>1033</v>
      </c>
      <c r="BN214" s="133" t="s">
        <v>1034</v>
      </c>
      <c r="BS214">
        <v>6</v>
      </c>
      <c r="BT214" s="27" t="s">
        <v>1035</v>
      </c>
      <c r="CB214" s="253" t="s">
        <v>1023</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1022</v>
      </c>
      <c r="CS214" s="228">
        <v>352022</v>
      </c>
      <c r="CT214" s="228">
        <v>405878</v>
      </c>
      <c r="CU214" s="228">
        <v>489600</v>
      </c>
      <c r="CV214" s="228">
        <v>626688</v>
      </c>
      <c r="CW214" s="228">
        <v>698170</v>
      </c>
      <c r="CX214" s="13"/>
      <c r="CY214" s="133" t="s">
        <v>1022</v>
      </c>
      <c r="CZ214" s="228">
        <v>352022</v>
      </c>
      <c r="DA214" s="228">
        <v>405878</v>
      </c>
      <c r="DB214" s="228">
        <v>489600</v>
      </c>
      <c r="DC214" s="228">
        <v>626688</v>
      </c>
      <c r="DD214" s="228">
        <v>698170</v>
      </c>
    </row>
    <row r="215" spans="1:108" ht="13.15" customHeight="1">
      <c r="D215" s="3" t="s">
        <v>1036</v>
      </c>
      <c r="Z215" s="32"/>
      <c r="AB215" s="1737"/>
      <c r="AC215" s="1737"/>
      <c r="AD215" s="1737"/>
      <c r="AE215" s="1737"/>
      <c r="AF215" s="1737"/>
      <c r="AG215" s="1737"/>
      <c r="AH215" s="1737"/>
      <c r="AI215" s="1737"/>
      <c r="AJ215" s="1737"/>
      <c r="AK215" s="1737"/>
      <c r="AL215" s="1737"/>
      <c r="AM215" s="18"/>
      <c r="AN215" s="18"/>
      <c r="AO215" s="18"/>
      <c r="AP215" s="18"/>
      <c r="AQ215" s="18"/>
      <c r="AR215" s="18"/>
      <c r="AS215" s="18"/>
      <c r="AT215" s="18"/>
      <c r="AU215" s="18"/>
      <c r="AV215" s="18"/>
      <c r="AW215" s="18"/>
      <c r="AX215" s="18"/>
      <c r="AY215" s="18"/>
      <c r="BC215" t="s">
        <v>1037</v>
      </c>
      <c r="BI215" s="3" t="s">
        <v>1038</v>
      </c>
      <c r="CB215" s="253" t="s">
        <v>1026</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1025</v>
      </c>
      <c r="CS215" s="226">
        <v>404366</v>
      </c>
      <c r="CT215" s="226">
        <v>466230</v>
      </c>
      <c r="CU215" s="226">
        <v>562400</v>
      </c>
      <c r="CV215" s="226">
        <v>719872</v>
      </c>
      <c r="CW215" s="226">
        <v>801982</v>
      </c>
      <c r="CX215" s="13"/>
      <c r="CY215" s="133" t="s">
        <v>1025</v>
      </c>
      <c r="CZ215" s="226">
        <v>404366</v>
      </c>
      <c r="DA215" s="226">
        <v>466230</v>
      </c>
      <c r="DB215" s="226">
        <v>562400</v>
      </c>
      <c r="DC215" s="226">
        <v>719872</v>
      </c>
      <c r="DD215" s="226">
        <v>801982</v>
      </c>
    </row>
    <row r="216" spans="1:108" ht="13.15" customHeight="1">
      <c r="D216" s="3" t="s">
        <v>1039</v>
      </c>
      <c r="Z216" s="32"/>
      <c r="AB216" s="1737"/>
      <c r="AC216" s="1737"/>
      <c r="AD216" s="1737"/>
      <c r="AE216" s="1737"/>
      <c r="AF216" s="1737"/>
      <c r="AG216" s="1737"/>
      <c r="AH216" s="1737"/>
      <c r="AI216" s="1737"/>
      <c r="AJ216" s="1737"/>
      <c r="AK216" s="1737"/>
      <c r="AL216" s="1737"/>
      <c r="AM216" s="18"/>
      <c r="AN216" s="18"/>
      <c r="AO216" s="18"/>
      <c r="AP216" s="18"/>
      <c r="AQ216" s="18"/>
      <c r="AR216" s="18"/>
      <c r="AS216" s="18"/>
      <c r="AT216" s="18"/>
      <c r="AU216" s="18"/>
      <c r="AV216" s="18"/>
      <c r="AW216" s="18"/>
      <c r="AX216" s="18"/>
      <c r="AY216" s="18"/>
      <c r="BC216" t="s">
        <v>1040</v>
      </c>
      <c r="BI216" t="s">
        <v>1041</v>
      </c>
      <c r="CB216" s="253" t="s">
        <v>1031</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1030</v>
      </c>
      <c r="CS216" s="228">
        <v>331890</v>
      </c>
      <c r="CT216" s="228">
        <v>382666</v>
      </c>
      <c r="CU216" s="228">
        <v>461600</v>
      </c>
      <c r="CV216" s="228">
        <v>590848</v>
      </c>
      <c r="CW216" s="228">
        <v>658242</v>
      </c>
      <c r="CX216" s="13"/>
      <c r="CY216" s="133" t="s">
        <v>1030</v>
      </c>
      <c r="CZ216" s="228">
        <v>331890</v>
      </c>
      <c r="DA216" s="228">
        <v>382666</v>
      </c>
      <c r="DB216" s="228">
        <v>461600</v>
      </c>
      <c r="DC216" s="228">
        <v>590848</v>
      </c>
      <c r="DD216" s="228">
        <v>658242</v>
      </c>
    </row>
    <row r="217" spans="1:108" ht="13.1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1042</v>
      </c>
      <c r="BI217" t="s">
        <v>1043</v>
      </c>
      <c r="CB217" s="253" t="s">
        <v>1035</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1034</v>
      </c>
      <c r="CS217" s="226">
        <v>331890</v>
      </c>
      <c r="CT217" s="226">
        <v>382666</v>
      </c>
      <c r="CU217" s="226">
        <v>461600</v>
      </c>
      <c r="CV217" s="226">
        <v>590848</v>
      </c>
      <c r="CW217" s="226">
        <v>658242</v>
      </c>
      <c r="CX217" s="13"/>
      <c r="CY217" s="133" t="s">
        <v>1034</v>
      </c>
      <c r="CZ217" s="226">
        <v>331890</v>
      </c>
      <c r="DA217" s="226">
        <v>382666</v>
      </c>
      <c r="DB217" s="226">
        <v>461600</v>
      </c>
      <c r="DC217" s="226">
        <v>590848</v>
      </c>
      <c r="DD217" s="226">
        <v>658242</v>
      </c>
    </row>
    <row r="218" spans="1:108" ht="13.15" customHeight="1">
      <c r="A218" s="2" t="s">
        <v>1044</v>
      </c>
      <c r="C218" s="2" t="s">
        <v>1045</v>
      </c>
      <c r="D218" s="19"/>
      <c r="AC218" s="2" t="s">
        <v>1046</v>
      </c>
      <c r="BC218" t="s">
        <v>1047</v>
      </c>
    </row>
    <row r="219" spans="1:108" ht="13.15" customHeight="1">
      <c r="A219" s="2"/>
      <c r="C219" s="2"/>
      <c r="D219" s="3" t="s">
        <v>1048</v>
      </c>
      <c r="AZ219" s="3"/>
      <c r="BA219" s="3"/>
      <c r="BC219" t="s">
        <v>1049</v>
      </c>
    </row>
    <row r="220" spans="1:108" ht="13.15" customHeight="1">
      <c r="A220" s="2"/>
      <c r="C220" s="2"/>
      <c r="D220" s="1377" t="s">
        <v>993</v>
      </c>
      <c r="E220" s="1377"/>
      <c r="F220" s="1377"/>
      <c r="G220" s="1377"/>
      <c r="H220" s="1377"/>
      <c r="I220" s="1377"/>
      <c r="J220" s="1377"/>
      <c r="K220" s="1377"/>
      <c r="L220" s="1377"/>
      <c r="M220" s="1377"/>
      <c r="N220" s="1377"/>
      <c r="O220" s="1377"/>
      <c r="P220" s="1377"/>
      <c r="Q220" s="1377"/>
      <c r="R220" s="1377"/>
      <c r="S220" s="1377"/>
      <c r="T220" s="1377"/>
      <c r="U220" s="1377"/>
      <c r="V220" s="1377"/>
      <c r="W220" s="1377"/>
      <c r="X220" s="1377"/>
      <c r="Y220" s="1377"/>
      <c r="Z220" s="1377"/>
      <c r="AC220" s="1691" t="s">
        <v>795</v>
      </c>
      <c r="AD220" s="1691"/>
      <c r="AE220" s="1691"/>
      <c r="AF220" s="1691"/>
      <c r="AG220" s="1691"/>
      <c r="AH220" s="1691"/>
      <c r="AI220" s="1691"/>
      <c r="AJ220" s="1691"/>
      <c r="AK220" s="1691"/>
      <c r="AL220" s="1691"/>
      <c r="AM220" s="1691"/>
      <c r="AN220" s="1691"/>
      <c r="AO220" s="1691"/>
      <c r="AP220" s="1691"/>
      <c r="AQ220" s="1691"/>
      <c r="BA220" s="3"/>
      <c r="BC220" t="s">
        <v>1050</v>
      </c>
    </row>
    <row r="221" spans="1:108" ht="13.15" customHeight="1">
      <c r="A221" s="2"/>
      <c r="B221" s="13"/>
      <c r="C221" s="2"/>
      <c r="BA221" s="3"/>
    </row>
    <row r="222" spans="1:108" ht="13.15" customHeight="1">
      <c r="A222" s="1381" t="s">
        <v>1051</v>
      </c>
      <c r="B222" s="1381"/>
      <c r="C222" s="1381"/>
      <c r="D222" s="1381"/>
      <c r="E222" s="1381"/>
      <c r="F222" s="1381"/>
      <c r="G222" s="1381"/>
      <c r="H222" s="1381"/>
      <c r="I222" s="1381"/>
      <c r="J222" s="1381"/>
      <c r="K222" s="1381"/>
      <c r="L222" s="1381"/>
      <c r="M222" s="1381"/>
      <c r="N222" s="1381"/>
      <c r="O222" s="1381"/>
      <c r="P222" s="1381"/>
      <c r="Q222" s="1381"/>
      <c r="R222" s="1381"/>
      <c r="S222" s="1381"/>
      <c r="T222" s="1381"/>
      <c r="U222" s="1381"/>
      <c r="V222" s="1381"/>
      <c r="W222" s="1381"/>
      <c r="X222" s="1381"/>
      <c r="Y222" s="1381"/>
      <c r="Z222" s="1381"/>
      <c r="AA222" s="1381"/>
      <c r="AB222" s="1381"/>
      <c r="AC222" s="1381"/>
      <c r="AD222" s="1381"/>
      <c r="AE222" s="1381"/>
      <c r="AF222" s="1381"/>
      <c r="AG222" s="1381"/>
      <c r="AH222" s="1381"/>
      <c r="AI222" s="1381"/>
      <c r="AJ222" s="1381"/>
      <c r="AK222" s="1381"/>
      <c r="AL222" s="1381"/>
      <c r="AM222" s="1381"/>
      <c r="AN222" s="1381"/>
      <c r="AO222" s="1381"/>
      <c r="AP222" s="1381"/>
      <c r="AQ222" s="1381"/>
      <c r="AR222" s="1381"/>
      <c r="AS222" s="1381"/>
      <c r="AT222" s="1381"/>
      <c r="AU222" s="70"/>
      <c r="AV222" s="70"/>
      <c r="AW222" s="70"/>
      <c r="AX222" s="70"/>
      <c r="AY222" s="70"/>
      <c r="AZ222" s="3"/>
      <c r="BA222" s="3"/>
      <c r="BP222" s="3"/>
    </row>
    <row r="223" spans="1:108" ht="13.15" customHeight="1">
      <c r="A223" s="1381"/>
      <c r="B223" s="1381"/>
      <c r="C223" s="1381"/>
      <c r="D223" s="1381"/>
      <c r="E223" s="1381"/>
      <c r="F223" s="1381"/>
      <c r="G223" s="1381"/>
      <c r="H223" s="1381"/>
      <c r="I223" s="1381"/>
      <c r="J223" s="1381"/>
      <c r="K223" s="1381"/>
      <c r="L223" s="1381"/>
      <c r="M223" s="1381"/>
      <c r="N223" s="1381"/>
      <c r="O223" s="1381"/>
      <c r="P223" s="1381"/>
      <c r="Q223" s="1381"/>
      <c r="R223" s="1381"/>
      <c r="S223" s="1381"/>
      <c r="T223" s="1381"/>
      <c r="U223" s="1381"/>
      <c r="V223" s="1381"/>
      <c r="W223" s="1381"/>
      <c r="X223" s="1381"/>
      <c r="Y223" s="1381"/>
      <c r="Z223" s="1381"/>
      <c r="AA223" s="1381"/>
      <c r="AB223" s="1381"/>
      <c r="AC223" s="1381"/>
      <c r="AD223" s="1381"/>
      <c r="AE223" s="1381"/>
      <c r="AF223" s="1381"/>
      <c r="AG223" s="1381"/>
      <c r="AH223" s="1381"/>
      <c r="AI223" s="1381"/>
      <c r="AJ223" s="1381"/>
      <c r="AK223" s="1381"/>
      <c r="AL223" s="1381"/>
      <c r="AM223" s="1381"/>
      <c r="AN223" s="1381"/>
      <c r="AO223" s="1381"/>
      <c r="AP223" s="1381"/>
      <c r="AQ223" s="1381"/>
      <c r="AR223" s="1381"/>
      <c r="AS223" s="1381"/>
      <c r="AT223" s="1381"/>
      <c r="BA223" s="3"/>
      <c r="BB223" s="3"/>
      <c r="BQ223" s="3"/>
    </row>
    <row r="224" spans="1:108" ht="13.15" customHeight="1">
      <c r="AZ224" s="3"/>
      <c r="BA224" s="3"/>
      <c r="BB224" s="3"/>
      <c r="BQ224" s="3"/>
    </row>
    <row r="225" spans="1:59" ht="13.15" customHeight="1">
      <c r="A225" s="2" t="s">
        <v>868</v>
      </c>
      <c r="B225" s="2"/>
      <c r="C225" s="2" t="s">
        <v>1052</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15" customHeight="1">
      <c r="B226" s="3"/>
      <c r="D226" s="3" t="s">
        <v>1053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4" t="s">
        <v>843</v>
      </c>
      <c r="AJ226" s="1294"/>
      <c r="AL226" s="3"/>
      <c r="AM226" s="3"/>
      <c r="AN226" s="3"/>
      <c r="AO226" s="3"/>
      <c r="AP226" s="3"/>
      <c r="AQ226" s="3"/>
      <c r="AR226" s="3"/>
      <c r="AS226" s="3"/>
      <c r="AT226" s="3"/>
      <c r="AU226" s="3"/>
      <c r="AV226" s="3"/>
      <c r="AW226" s="3"/>
      <c r="AX226" s="3"/>
      <c r="AY226" s="3"/>
      <c r="AZ226" s="3"/>
      <c r="BB226" s="136" t="s">
        <v>1054</v>
      </c>
      <c r="BG226" s="166">
        <f>IF(AND(AND($M$249="for profit",$M$257="for profit",$M$265="nonprofit")),2,0)</f>
        <v>0</v>
      </c>
    </row>
    <row r="227" spans="1:59" ht="13.15" customHeight="1">
      <c r="B227" s="3"/>
      <c r="D227" s="3" t="s">
        <v>1055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4" t="s">
        <v>843</v>
      </c>
      <c r="AJ227" s="1294"/>
      <c r="AL227" s="3"/>
      <c r="AM227" s="3"/>
      <c r="AN227" s="3"/>
      <c r="AO227" s="3"/>
      <c r="AP227" s="3"/>
      <c r="AQ227" s="3"/>
      <c r="AR227" s="3"/>
      <c r="AS227" s="3"/>
      <c r="AT227" s="3"/>
      <c r="AU227" s="3"/>
      <c r="AV227" s="3"/>
      <c r="AW227" s="3"/>
      <c r="AX227" s="3"/>
      <c r="AY227" s="3"/>
      <c r="BA227" s="3"/>
      <c r="BB227" s="136" t="s">
        <v>1054</v>
      </c>
      <c r="BG227" s="166">
        <f>IF(AND(AND($M$249="for profit",$M$257="nonprofit",$M$265="for profit")),2,0)</f>
        <v>0</v>
      </c>
    </row>
    <row r="228" spans="1:59" ht="13.15" customHeight="1">
      <c r="B228" s="3"/>
      <c r="D228" s="3" t="s">
        <v>1056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4" t="s">
        <v>843</v>
      </c>
      <c r="AJ228" s="1294"/>
      <c r="AL228" s="3"/>
      <c r="AM228" s="3"/>
      <c r="AN228" s="3"/>
      <c r="AO228" s="3"/>
      <c r="AP228" s="3"/>
      <c r="AQ228" s="3"/>
      <c r="AR228" s="3"/>
      <c r="AS228" s="3"/>
      <c r="AT228" s="3"/>
      <c r="AU228" s="3"/>
      <c r="AV228" s="3"/>
      <c r="AW228" s="3"/>
      <c r="AX228" s="3"/>
      <c r="AY228" s="3"/>
      <c r="AZ228" s="3"/>
      <c r="BA228" s="3"/>
      <c r="BB228" s="136" t="s">
        <v>1054</v>
      </c>
      <c r="BG228" s="166">
        <f>IF(AND(AND($M$249="nonprofit",$M$257="for profit",$M$265="for profit")),2,0)</f>
        <v>0</v>
      </c>
    </row>
    <row r="229" spans="1:59" ht="13.15" customHeight="1">
      <c r="B229" s="3"/>
      <c r="D229" s="3" t="s">
        <v>1057</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4" t="s">
        <v>807</v>
      </c>
      <c r="AJ229" s="1294"/>
      <c r="AL229" s="3"/>
      <c r="AM229" s="3"/>
      <c r="AN229" s="3"/>
      <c r="AO229" s="3"/>
      <c r="AP229" s="3"/>
      <c r="AQ229" s="3"/>
      <c r="AR229" s="3"/>
      <c r="AS229" s="3"/>
      <c r="AT229" s="3"/>
      <c r="AU229" s="3"/>
      <c r="AV229" s="3"/>
      <c r="AW229" s="3"/>
      <c r="AX229" s="3"/>
      <c r="AY229" s="3"/>
      <c r="BA229" s="3"/>
      <c r="BB229" s="136" t="s">
        <v>1054</v>
      </c>
      <c r="BG229" s="166">
        <f>IF(AND(AND($M$249="for profit",$M$257="nonprofit",$M$265="(select one)")),2,0)</f>
        <v>0</v>
      </c>
    </row>
    <row r="230" spans="1:59" ht="13.1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1054</v>
      </c>
      <c r="BG230" s="165">
        <f>IF(AND(AND($M$249="nonprofit",$M$257="for profit",$M$265="(select one)")),2,0)</f>
        <v>2</v>
      </c>
    </row>
    <row r="231" spans="1:59" ht="13.15" customHeight="1">
      <c r="A231" s="2" t="s">
        <v>909</v>
      </c>
      <c r="B231" s="3"/>
      <c r="C231" s="2" t="s">
        <v>1058</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15" customHeight="1">
      <c r="D232" s="3" t="s">
        <v>1059</v>
      </c>
      <c r="E232" s="3"/>
      <c r="F232" s="3"/>
      <c r="G232" s="3"/>
      <c r="H232" s="3"/>
      <c r="I232" s="3"/>
      <c r="J232" s="3"/>
      <c r="K232" s="3"/>
      <c r="M232" s="1471" t="str">
        <f>H16</f>
        <v>Standard Buchanan Venture LP</v>
      </c>
      <c r="N232" s="1471"/>
      <c r="O232" s="1471"/>
      <c r="P232" s="1471"/>
      <c r="Q232" s="1471"/>
      <c r="R232" s="1471"/>
      <c r="S232" s="1471"/>
      <c r="T232" s="1471"/>
      <c r="U232" s="1471"/>
      <c r="V232" s="1471"/>
      <c r="W232" s="1471"/>
      <c r="X232" s="1471"/>
      <c r="Y232" s="1471"/>
      <c r="Z232" s="1471"/>
      <c r="AA232" s="1471"/>
      <c r="AB232" s="1471"/>
      <c r="AC232" s="1471"/>
      <c r="AD232" s="1471"/>
      <c r="AE232" s="1471"/>
      <c r="AF232" s="1471"/>
      <c r="AG232" s="1471"/>
      <c r="AH232" s="1471"/>
      <c r="AI232" s="1471"/>
      <c r="AJ232" s="1471"/>
      <c r="AK232" s="1471"/>
      <c r="AZ232" s="3"/>
      <c r="BA232" s="3"/>
      <c r="BB232" s="137" t="s">
        <v>1054</v>
      </c>
      <c r="BG232" s="166">
        <f>IF(AND(AND($M$249="nonprofit",$M$257="nonprofit",$M$265="for profit")),2,0)</f>
        <v>0</v>
      </c>
    </row>
    <row r="233" spans="1:59" ht="13.15" customHeight="1">
      <c r="D233" s="3" t="s">
        <v>1060</v>
      </c>
      <c r="E233" s="3"/>
      <c r="F233" s="3"/>
      <c r="G233" s="3"/>
      <c r="H233" s="3"/>
      <c r="I233" s="3"/>
      <c r="J233" s="3"/>
      <c r="K233" s="3"/>
      <c r="M233" s="1377" t="s">
        <v>1061</v>
      </c>
      <c r="N233" s="1377"/>
      <c r="O233" s="1377"/>
      <c r="P233" s="1377"/>
      <c r="Q233" s="1377"/>
      <c r="R233" s="1377"/>
      <c r="S233" s="1377"/>
      <c r="T233" s="1377"/>
      <c r="U233" s="1377"/>
      <c r="V233" s="1377"/>
      <c r="W233" s="1377"/>
      <c r="X233" s="1377"/>
      <c r="Y233" s="1377"/>
      <c r="Z233" s="1377"/>
      <c r="AA233" s="1377"/>
      <c r="AB233" s="1377"/>
      <c r="AC233" s="1377"/>
      <c r="AD233" s="1377"/>
      <c r="AE233" s="1377"/>
      <c r="BB233" s="137" t="s">
        <v>1054</v>
      </c>
      <c r="BG233" s="166">
        <f>IF(AND(AND($M$249="nonprofit",$M$257="for profit",$M$265="nonprofit")),2,0)</f>
        <v>0</v>
      </c>
    </row>
    <row r="234" spans="1:59" ht="13.15" customHeight="1">
      <c r="D234" s="3" t="s">
        <v>928</v>
      </c>
      <c r="E234" s="3"/>
      <c r="M234" s="1377" t="s">
        <v>1062</v>
      </c>
      <c r="N234" s="1377"/>
      <c r="O234" s="1377"/>
      <c r="P234" s="1377"/>
      <c r="Q234" s="1377"/>
      <c r="R234" s="1377"/>
      <c r="S234" s="1377"/>
      <c r="T234" s="1377"/>
      <c r="V234" s="923" t="s">
        <v>1063</v>
      </c>
      <c r="W234" s="1395" t="s">
        <v>1064</v>
      </c>
      <c r="X234" s="1395"/>
      <c r="Y234" s="3" t="s">
        <v>932</v>
      </c>
      <c r="AC234" s="1377">
        <v>20036</v>
      </c>
      <c r="AD234" s="1377"/>
      <c r="AE234" s="1377"/>
      <c r="AU234" s="3"/>
      <c r="AV234" s="3"/>
      <c r="AW234" s="3"/>
      <c r="AX234" s="3"/>
      <c r="AY234" s="3"/>
      <c r="AZ234" s="3"/>
      <c r="BB234" s="137" t="s">
        <v>1054</v>
      </c>
      <c r="BG234" s="165">
        <f>IF(AND(AND($M$249="for profit",$M$257="nonprofit",$M$265="nonprofit")),2,0)</f>
        <v>0</v>
      </c>
    </row>
    <row r="235" spans="1:59" ht="13.15" customHeight="1">
      <c r="D235" s="3" t="s">
        <v>1065</v>
      </c>
      <c r="E235" s="3"/>
      <c r="F235" s="3"/>
      <c r="G235" s="3"/>
      <c r="H235" s="3"/>
      <c r="I235" s="3"/>
      <c r="J235" s="3"/>
      <c r="K235" s="1160"/>
      <c r="M235" s="1377" t="s">
        <v>1066</v>
      </c>
      <c r="N235" s="1377"/>
      <c r="O235" s="1377"/>
      <c r="P235" s="1377"/>
      <c r="Q235" s="1377"/>
      <c r="R235" s="1377"/>
      <c r="S235" s="1377"/>
      <c r="T235" s="1377"/>
      <c r="U235" s="1377"/>
      <c r="V235" s="1377"/>
      <c r="W235" s="1377"/>
      <c r="X235" s="1377"/>
      <c r="Y235" s="1377"/>
      <c r="Z235" s="1377"/>
      <c r="AA235" s="1377"/>
      <c r="AB235" s="1377"/>
      <c r="AC235" s="1377"/>
      <c r="AD235" s="1377"/>
      <c r="AE235" s="1377"/>
      <c r="AI235" s="3"/>
      <c r="AJ235" s="3"/>
      <c r="AK235" s="3"/>
      <c r="AL235" s="3"/>
      <c r="AM235" s="3"/>
      <c r="AN235" s="3"/>
      <c r="AO235" s="3"/>
      <c r="AP235" s="3"/>
      <c r="AQ235" s="3"/>
      <c r="AR235" s="3"/>
      <c r="AS235" s="3"/>
      <c r="AT235" s="3"/>
      <c r="BB235" s="137"/>
      <c r="BG235" s="136"/>
    </row>
    <row r="236" spans="1:59" ht="13.15" customHeight="1">
      <c r="D236" s="3" t="s">
        <v>1067</v>
      </c>
      <c r="E236" s="3"/>
      <c r="F236" s="3"/>
      <c r="M236" s="1308" t="s">
        <v>1068</v>
      </c>
      <c r="N236" s="1308"/>
      <c r="O236" s="1308"/>
      <c r="P236" s="1308"/>
      <c r="Q236" s="1308"/>
      <c r="R236" s="1308"/>
      <c r="S236" s="3" t="s">
        <v>1069</v>
      </c>
      <c r="T236" s="3"/>
      <c r="U236" s="1395"/>
      <c r="V236" s="1395"/>
      <c r="W236" s="1395"/>
      <c r="X236" s="3" t="s">
        <v>1070</v>
      </c>
      <c r="Z236" s="1308"/>
      <c r="AA236" s="1308"/>
      <c r="AB236" s="1308"/>
      <c r="AC236" s="1308"/>
      <c r="AD236" s="1308"/>
      <c r="AE236" s="1308"/>
      <c r="AU236" s="3"/>
      <c r="AV236" s="3"/>
      <c r="AW236" s="3"/>
      <c r="AX236" s="3"/>
      <c r="AY236" s="3"/>
      <c r="AZ236" s="3"/>
      <c r="BB236" s="136" t="s">
        <v>1071</v>
      </c>
      <c r="BG236" s="166">
        <f>IF(AND(AND($M$249="nonprofit",$M$257="nonprofit",$M$265="(select one)")),1,0)</f>
        <v>0</v>
      </c>
    </row>
    <row r="237" spans="1:59" ht="13.15" customHeight="1">
      <c r="D237" s="3" t="s">
        <v>1072</v>
      </c>
      <c r="E237" s="3"/>
      <c r="F237" s="3"/>
      <c r="M237" s="1724" t="s">
        <v>1073</v>
      </c>
      <c r="N237" s="1724"/>
      <c r="O237" s="1724"/>
      <c r="P237" s="1724"/>
      <c r="Q237" s="1724"/>
      <c r="R237" s="1724"/>
      <c r="S237" s="1724"/>
      <c r="T237" s="1724"/>
      <c r="U237" s="1724"/>
      <c r="V237" s="1724"/>
      <c r="W237" s="1724"/>
      <c r="X237" s="1724"/>
      <c r="Y237" s="1724"/>
      <c r="Z237" s="1724"/>
      <c r="AA237" s="1724"/>
      <c r="AB237" s="1724"/>
      <c r="AC237" s="1724"/>
      <c r="AD237" s="1724"/>
      <c r="AE237" s="1724"/>
      <c r="AF237" s="3"/>
      <c r="AG237" s="3"/>
      <c r="AH237" s="3"/>
      <c r="AI237" s="3"/>
      <c r="AJ237" s="3"/>
      <c r="AK237" s="3"/>
      <c r="AL237" s="3"/>
      <c r="AM237" s="3"/>
      <c r="AN237" s="3"/>
      <c r="AO237" s="3"/>
      <c r="AP237" s="3"/>
      <c r="AQ237" s="3"/>
      <c r="AR237" s="3"/>
      <c r="AS237" s="3"/>
      <c r="AT237" s="3"/>
      <c r="AU237" s="3"/>
      <c r="AV237" s="3"/>
      <c r="AW237" s="3"/>
      <c r="AX237" s="3"/>
      <c r="AY237" s="3"/>
      <c r="BB237" s="136" t="s">
        <v>1071</v>
      </c>
      <c r="BG237" s="166">
        <f>IF(AND(AND($M$249="nonprofit",$M$257="nonprofit",$M$265="nonprofit")),1,0)</f>
        <v>0</v>
      </c>
    </row>
    <row r="238" spans="1:59" ht="13.15" customHeight="1">
      <c r="A238" s="2" t="s">
        <v>987</v>
      </c>
      <c r="C238" s="2" t="s">
        <v>1074</v>
      </c>
      <c r="M238" s="1310" t="s">
        <v>1042</v>
      </c>
      <c r="N238" s="1310"/>
      <c r="O238" s="1310"/>
      <c r="P238" s="1310"/>
      <c r="Q238" s="1310"/>
      <c r="R238" s="1310"/>
      <c r="S238" s="1310"/>
      <c r="T238" s="1310"/>
      <c r="U238" s="136" t="s">
        <v>1075</v>
      </c>
      <c r="V238" s="136"/>
      <c r="W238" s="136"/>
      <c r="X238" s="136"/>
      <c r="Y238" s="136"/>
      <c r="Z238" s="136"/>
      <c r="AA238" s="1725" t="s">
        <v>1076</v>
      </c>
      <c r="AB238" s="1716"/>
      <c r="AC238" s="1716"/>
      <c r="AD238" s="1716"/>
      <c r="AE238" s="1716"/>
      <c r="AF238" s="1716"/>
      <c r="AG238" s="1716"/>
      <c r="AH238" s="1716"/>
      <c r="AI238" s="1716"/>
      <c r="AJ238" s="1716"/>
      <c r="AK238" s="1716"/>
      <c r="AL238" s="3"/>
      <c r="AM238" s="3"/>
      <c r="AN238" s="3"/>
      <c r="AO238" s="3"/>
      <c r="AP238" s="3"/>
      <c r="AQ238" s="3"/>
      <c r="AR238" s="3"/>
      <c r="AS238" s="3"/>
      <c r="AT238" s="3"/>
      <c r="AU238" s="3"/>
      <c r="AV238" s="3"/>
      <c r="AW238" s="3"/>
      <c r="AX238" s="3"/>
      <c r="AY238" s="3"/>
      <c r="BB238" s="136" t="s">
        <v>1071</v>
      </c>
      <c r="BG238" s="166">
        <f>IF(AND(AND($M$249="nonprofit",$M$257="(select one)",$M$265="(select one)")),1,0)</f>
        <v>0</v>
      </c>
    </row>
    <row r="239" spans="1:59" ht="13.15" customHeight="1">
      <c r="D239" t="s">
        <v>1077</v>
      </c>
      <c r="M239" s="1333"/>
      <c r="N239" s="1333"/>
      <c r="O239" s="1333"/>
      <c r="P239" s="1333"/>
      <c r="Q239" s="1333"/>
      <c r="R239" s="1333"/>
      <c r="S239" s="1333"/>
      <c r="T239" s="1333"/>
      <c r="U239" s="1333"/>
      <c r="V239" s="1333"/>
      <c r="W239" s="1333"/>
      <c r="X239" s="1333"/>
      <c r="Y239" s="1333"/>
      <c r="Z239" s="1333"/>
      <c r="AA239" s="1333"/>
      <c r="AB239" s="1333"/>
      <c r="AC239" s="1333"/>
      <c r="AD239" s="1333"/>
      <c r="AE239" s="1333"/>
      <c r="AF239" s="3"/>
      <c r="AG239" s="3"/>
      <c r="AH239" s="3"/>
      <c r="AI239" s="3"/>
      <c r="AJ239" s="3"/>
      <c r="AK239" s="3"/>
      <c r="AL239" s="3"/>
      <c r="AM239" s="3"/>
      <c r="AN239" s="3"/>
      <c r="AO239" s="3"/>
      <c r="AP239" s="3"/>
      <c r="AQ239" s="3"/>
      <c r="AR239" s="3"/>
      <c r="AS239" s="3"/>
      <c r="AT239" s="3"/>
      <c r="BB239" s="136" t="s">
        <v>1078</v>
      </c>
      <c r="BG239" s="166">
        <f>IF(AND(AND($M$249="for profit",$M$257="for profit",$M$265="(select one)")),3,0)</f>
        <v>0</v>
      </c>
    </row>
    <row r="240" spans="1:59" ht="13.15" customHeight="1">
      <c r="D240" s="3"/>
      <c r="BB240" s="136" t="s">
        <v>1078</v>
      </c>
      <c r="BG240" s="166">
        <f>IF(AND(AND($M$249="for profit",$M$257="for profit",$M$265="for profit")),3,0)</f>
        <v>0</v>
      </c>
    </row>
    <row r="241" spans="1:67" ht="13.15" customHeight="1">
      <c r="A241" s="2" t="s">
        <v>1005</v>
      </c>
      <c r="C241" s="2" t="s">
        <v>1079</v>
      </c>
      <c r="D241" s="3"/>
      <c r="L241" s="7"/>
      <c r="M241" s="7"/>
      <c r="N241" s="7"/>
      <c r="AU241" s="3"/>
      <c r="AV241" s="3"/>
      <c r="AW241" s="3"/>
      <c r="AX241" s="3"/>
      <c r="AY241" s="3"/>
      <c r="BB241" s="136" t="s">
        <v>1078</v>
      </c>
      <c r="BG241" s="166">
        <f>IF(AND(AND($M$249="for profit",$M$257="(select one)",$M$265="(select one)")),3,0)</f>
        <v>0</v>
      </c>
    </row>
    <row r="242" spans="1:67" ht="13.1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15" customHeight="1">
      <c r="A243" s="1160"/>
      <c r="B243" s="3"/>
      <c r="C243" s="48" t="s">
        <v>1080</v>
      </c>
      <c r="D243" s="3" t="s">
        <v>1081</v>
      </c>
      <c r="E243" s="3"/>
      <c r="F243" s="3"/>
      <c r="G243" s="3"/>
      <c r="H243" s="3"/>
      <c r="I243" s="3"/>
      <c r="J243" s="3"/>
      <c r="K243" s="3"/>
      <c r="L243" s="3"/>
      <c r="M243" s="1379" t="s">
        <v>1082</v>
      </c>
      <c r="N243" s="1379"/>
      <c r="O243" s="1379"/>
      <c r="P243" s="1379"/>
      <c r="Q243" s="1379"/>
      <c r="R243" s="1379"/>
      <c r="S243" s="1379"/>
      <c r="T243" s="1379"/>
      <c r="U243" s="1379"/>
      <c r="V243" s="1379"/>
      <c r="W243" s="1379"/>
      <c r="X243" s="1379"/>
      <c r="Y243" s="1379"/>
      <c r="Z243" s="1379"/>
      <c r="AA243" s="1379"/>
      <c r="AB243" s="1379"/>
      <c r="AC243" s="1379"/>
      <c r="AD243" s="1379"/>
      <c r="AE243" s="1379"/>
      <c r="AF243" s="1379" t="s">
        <v>309</v>
      </c>
      <c r="AG243" s="1379"/>
      <c r="AH243" s="1379"/>
      <c r="AI243" s="1379"/>
      <c r="AJ243" s="1379"/>
      <c r="AK243" s="1379"/>
      <c r="AU243" s="3"/>
      <c r="AV243" s="3"/>
      <c r="AW243" s="3"/>
      <c r="AX243" s="3"/>
      <c r="AY243" s="3"/>
      <c r="BG243">
        <f>SUM(BG226:BG241)</f>
        <v>2</v>
      </c>
    </row>
    <row r="244" spans="1:67" ht="13.15" customHeight="1">
      <c r="A244" s="1160"/>
      <c r="B244" s="3"/>
      <c r="C244" s="3"/>
      <c r="D244" s="3" t="s">
        <v>1060</v>
      </c>
      <c r="E244" s="3"/>
      <c r="F244" s="3"/>
      <c r="G244" s="3"/>
      <c r="H244" s="3"/>
      <c r="I244" s="3"/>
      <c r="J244" s="3"/>
      <c r="K244" s="3"/>
      <c r="L244" s="3"/>
      <c r="M244" s="1377" t="s">
        <v>1083</v>
      </c>
      <c r="N244" s="1377"/>
      <c r="O244" s="1377"/>
      <c r="P244" s="1377"/>
      <c r="Q244" s="1377"/>
      <c r="R244" s="1377"/>
      <c r="S244" s="1377"/>
      <c r="T244" s="1377"/>
      <c r="U244" s="1377"/>
      <c r="V244" s="1377"/>
      <c r="W244" s="1377"/>
      <c r="X244" s="1377"/>
      <c r="Y244" s="1377"/>
      <c r="Z244" s="1377"/>
      <c r="AA244" s="1377"/>
      <c r="AB244" s="1377"/>
      <c r="AC244" s="1377"/>
      <c r="AD244" s="1377"/>
      <c r="AE244" s="1377"/>
      <c r="AF244" s="3" t="s">
        <v>1084</v>
      </c>
      <c r="AL244" s="3"/>
      <c r="AM244" s="3"/>
      <c r="AN244" s="3"/>
      <c r="AO244" s="3"/>
      <c r="AP244" s="3"/>
      <c r="AQ244" s="3"/>
      <c r="AR244" s="3"/>
      <c r="AS244" s="3"/>
      <c r="AT244" s="3"/>
      <c r="BB244" t="s">
        <v>309</v>
      </c>
      <c r="BG244">
        <v>1</v>
      </c>
      <c r="BH244" t="s">
        <v>1085</v>
      </c>
    </row>
    <row r="245" spans="1:67" ht="13.15" customHeight="1">
      <c r="A245" s="1160"/>
      <c r="B245" s="3"/>
      <c r="C245" s="3"/>
      <c r="D245" s="3" t="s">
        <v>928</v>
      </c>
      <c r="E245" s="3"/>
      <c r="M245" s="1377" t="s">
        <v>883</v>
      </c>
      <c r="N245" s="1377"/>
      <c r="O245" s="1377"/>
      <c r="P245" s="1377"/>
      <c r="Q245" s="1377"/>
      <c r="R245" s="1377"/>
      <c r="S245" s="1377"/>
      <c r="T245" s="1377"/>
      <c r="V245" s="923" t="s">
        <v>1063</v>
      </c>
      <c r="W245" s="1395" t="s">
        <v>1086</v>
      </c>
      <c r="X245" s="1395"/>
      <c r="Y245" s="3" t="s">
        <v>932</v>
      </c>
      <c r="AC245" s="1377">
        <v>90067</v>
      </c>
      <c r="AD245" s="1377"/>
      <c r="AE245" s="1377"/>
      <c r="AF245" s="3" t="s">
        <v>1087</v>
      </c>
      <c r="AU245" s="3"/>
      <c r="AV245" s="3"/>
      <c r="AW245" s="3"/>
      <c r="AX245" s="3"/>
      <c r="AY245" s="3"/>
      <c r="BB245" s="3" t="s">
        <v>1088</v>
      </c>
      <c r="BG245">
        <v>2</v>
      </c>
      <c r="BH245" t="s">
        <v>1040</v>
      </c>
      <c r="BO245" s="1161" t="str">
        <f>VLOOKUP(BG243,BG244:BH247,2,FALSE)</f>
        <v>Joint Venture</v>
      </c>
    </row>
    <row r="246" spans="1:67" ht="13.15" customHeight="1">
      <c r="A246" s="1160"/>
      <c r="B246" s="3"/>
      <c r="C246" s="3"/>
      <c r="D246" s="3" t="s">
        <v>1065</v>
      </c>
      <c r="E246" s="3"/>
      <c r="F246" s="3"/>
      <c r="G246" s="3"/>
      <c r="H246" s="3"/>
      <c r="I246" s="3"/>
      <c r="J246" s="3"/>
      <c r="K246" s="3"/>
      <c r="L246" s="1160"/>
      <c r="M246" s="1377" t="s">
        <v>1089</v>
      </c>
      <c r="N246" s="1377"/>
      <c r="O246" s="1377"/>
      <c r="P246" s="1377"/>
      <c r="Q246" s="1377"/>
      <c r="R246" s="1377"/>
      <c r="S246" s="1377"/>
      <c r="T246" s="1377"/>
      <c r="U246" s="1377"/>
      <c r="V246" s="1377"/>
      <c r="W246" s="1377"/>
      <c r="X246" s="1377"/>
      <c r="Y246" s="1377"/>
      <c r="Z246" s="1377"/>
      <c r="AA246" s="1377"/>
      <c r="AB246" s="1377"/>
      <c r="AC246" s="1377"/>
      <c r="AD246" s="1377"/>
      <c r="AE246" s="1377"/>
      <c r="AH246" s="1718">
        <v>4.0000000000000001E-3</v>
      </c>
      <c r="AI246" s="1718"/>
      <c r="AJ246" s="1718"/>
      <c r="AK246" s="1718"/>
      <c r="AL246" s="3"/>
      <c r="AM246" s="3"/>
      <c r="AN246" s="3"/>
      <c r="AO246" s="3"/>
      <c r="AP246" s="3"/>
      <c r="AQ246" s="3"/>
      <c r="AR246" s="3"/>
      <c r="AS246" s="3"/>
      <c r="AT246" s="3"/>
      <c r="BB246" s="3" t="s">
        <v>1090</v>
      </c>
      <c r="BG246">
        <v>3</v>
      </c>
      <c r="BH246" t="s">
        <v>1091</v>
      </c>
      <c r="BN246" s="3"/>
    </row>
    <row r="247" spans="1:67" ht="13.15" customHeight="1">
      <c r="A247" s="1160"/>
      <c r="B247" s="3"/>
      <c r="C247" s="3"/>
      <c r="D247" s="3" t="s">
        <v>1067</v>
      </c>
      <c r="E247" s="3"/>
      <c r="F247" s="3"/>
      <c r="M247" s="1308" t="s">
        <v>1092</v>
      </c>
      <c r="N247" s="1308"/>
      <c r="O247" s="1308"/>
      <c r="P247" s="1308"/>
      <c r="Q247" s="1308"/>
      <c r="R247" s="1308"/>
      <c r="S247" s="3" t="s">
        <v>1069</v>
      </c>
      <c r="T247" s="3"/>
      <c r="U247" s="1395"/>
      <c r="V247" s="1395"/>
      <c r="W247" s="1395"/>
      <c r="X247" s="3" t="s">
        <v>1070</v>
      </c>
      <c r="Z247" s="1308"/>
      <c r="AA247" s="1308"/>
      <c r="AB247" s="1308"/>
      <c r="AC247" s="1308"/>
      <c r="AD247" s="1308"/>
      <c r="AE247" s="1308"/>
      <c r="AU247" s="3"/>
      <c r="AV247" s="3"/>
      <c r="AW247" s="3"/>
      <c r="AX247" s="3"/>
      <c r="AY247" s="3"/>
      <c r="BG247">
        <v>0</v>
      </c>
      <c r="BH247" s="3" t="str">
        <f>""</f>
        <v/>
      </c>
      <c r="BN247" s="3"/>
    </row>
    <row r="248" spans="1:67" ht="13.15" customHeight="1">
      <c r="A248" s="1160"/>
      <c r="B248" s="3"/>
      <c r="C248" s="3"/>
      <c r="D248" s="3" t="s">
        <v>1072</v>
      </c>
      <c r="E248" s="3"/>
      <c r="F248" s="3"/>
      <c r="M248" s="1724" t="s">
        <v>1093</v>
      </c>
      <c r="N248" s="1724"/>
      <c r="O248" s="1724"/>
      <c r="P248" s="1724"/>
      <c r="Q248" s="1724"/>
      <c r="R248" s="1724"/>
      <c r="S248" s="1724"/>
      <c r="T248" s="1724"/>
      <c r="U248" s="1724"/>
      <c r="V248" s="1724"/>
      <c r="W248" s="1724"/>
      <c r="X248" s="1724"/>
      <c r="Y248" s="1724"/>
      <c r="Z248" s="1724"/>
      <c r="AA248" s="1724"/>
      <c r="AB248" s="1724"/>
      <c r="AC248" s="1724"/>
      <c r="AD248" s="1724"/>
      <c r="AE248" s="1724"/>
      <c r="AG248" s="3"/>
      <c r="AH248" s="3"/>
      <c r="AI248" s="3"/>
      <c r="AJ248" s="3"/>
      <c r="AK248" s="3"/>
      <c r="AL248" s="3"/>
      <c r="AM248" s="3"/>
      <c r="AN248" s="3"/>
      <c r="AO248" s="3"/>
      <c r="AP248" s="3"/>
      <c r="AQ248" s="3"/>
      <c r="AR248" s="3"/>
      <c r="AS248" s="3"/>
      <c r="AT248" s="3"/>
      <c r="BN248" s="3"/>
    </row>
    <row r="249" spans="1:67" ht="13.15" customHeight="1">
      <c r="A249" s="12"/>
      <c r="B249" s="3"/>
      <c r="C249" s="48"/>
      <c r="D249" s="3" t="s">
        <v>1094</v>
      </c>
      <c r="E249" s="3"/>
      <c r="F249" s="3"/>
      <c r="G249" s="3"/>
      <c r="H249" s="3"/>
      <c r="I249" s="3"/>
      <c r="J249" s="3"/>
      <c r="K249" s="3"/>
      <c r="L249" s="3"/>
      <c r="M249" s="1310" t="s">
        <v>1085</v>
      </c>
      <c r="N249" s="1310"/>
      <c r="O249" s="1310"/>
      <c r="P249" s="1310"/>
      <c r="Q249" s="1310"/>
      <c r="R249" s="1310"/>
      <c r="S249" s="1310"/>
      <c r="T249" s="1310"/>
      <c r="U249" s="136" t="s">
        <v>1075</v>
      </c>
      <c r="V249" s="136"/>
      <c r="W249" s="136"/>
      <c r="X249" s="136"/>
      <c r="Y249" s="136"/>
      <c r="Z249" s="136"/>
      <c r="AA249" s="1716" t="s">
        <v>1095</v>
      </c>
      <c r="AB249" s="1716"/>
      <c r="AC249" s="1716"/>
      <c r="AD249" s="1716"/>
      <c r="AE249" s="1716"/>
      <c r="AF249" s="1716"/>
      <c r="AG249" s="1716"/>
      <c r="AH249" s="1716"/>
      <c r="AI249" s="1716"/>
      <c r="AJ249" s="1716"/>
      <c r="AK249" s="1716"/>
      <c r="BN249" s="3"/>
    </row>
    <row r="250" spans="1:67" ht="13.15" customHeight="1">
      <c r="A250" s="1160"/>
      <c r="B250" s="3"/>
      <c r="C250" s="3"/>
      <c r="D250" s="3"/>
      <c r="E250" s="3"/>
      <c r="F250" s="3"/>
      <c r="G250" s="3"/>
      <c r="H250" s="3"/>
      <c r="I250" s="3"/>
      <c r="J250" s="3"/>
      <c r="K250" s="3"/>
      <c r="L250" s="3"/>
      <c r="AG250" s="3"/>
      <c r="AH250" s="3"/>
      <c r="AI250" s="3"/>
      <c r="AJ250" s="3"/>
      <c r="BN250" s="3"/>
    </row>
    <row r="251" spans="1:67" ht="13.15" customHeight="1">
      <c r="A251" s="2"/>
      <c r="B251" s="3"/>
      <c r="C251" s="48" t="s">
        <v>1096</v>
      </c>
      <c r="D251" s="3" t="s">
        <v>1097</v>
      </c>
      <c r="E251" s="3"/>
      <c r="F251" s="3"/>
      <c r="G251" s="3"/>
      <c r="H251" s="3"/>
      <c r="I251" s="3"/>
      <c r="J251" s="3"/>
      <c r="K251" s="3"/>
      <c r="L251" s="3"/>
      <c r="M251" s="1379" t="s">
        <v>1098</v>
      </c>
      <c r="N251" s="1379"/>
      <c r="O251" s="1379"/>
      <c r="P251" s="1379"/>
      <c r="Q251" s="1379"/>
      <c r="R251" s="1379"/>
      <c r="S251" s="1379"/>
      <c r="T251" s="1379"/>
      <c r="U251" s="1379"/>
      <c r="V251" s="1379"/>
      <c r="W251" s="1379"/>
      <c r="X251" s="1379"/>
      <c r="Y251" s="1379"/>
      <c r="Z251" s="1379"/>
      <c r="AA251" s="1379"/>
      <c r="AB251" s="1379"/>
      <c r="AC251" s="1379"/>
      <c r="AD251" s="1379"/>
      <c r="AE251" s="1379"/>
      <c r="AF251" s="1379" t="s">
        <v>309</v>
      </c>
      <c r="AG251" s="1379"/>
      <c r="AH251" s="1379"/>
      <c r="AI251" s="1379"/>
      <c r="AJ251" s="1379"/>
      <c r="AK251" s="1379"/>
      <c r="AU251" s="3"/>
      <c r="AV251" s="3"/>
      <c r="AW251" s="3"/>
      <c r="AX251" s="3"/>
      <c r="AY251" s="3"/>
      <c r="BN251" s="3"/>
    </row>
    <row r="252" spans="1:67" ht="13.15" customHeight="1">
      <c r="A252" s="1160"/>
      <c r="B252" s="3"/>
      <c r="C252" s="3"/>
      <c r="D252" s="3" t="s">
        <v>1060</v>
      </c>
      <c r="E252" s="3"/>
      <c r="F252" s="3"/>
      <c r="G252" s="3"/>
      <c r="H252" s="3"/>
      <c r="I252" s="3"/>
      <c r="J252" s="3"/>
      <c r="K252" s="3"/>
      <c r="L252" s="3"/>
      <c r="M252" s="1377" t="s">
        <v>1061</v>
      </c>
      <c r="N252" s="1377"/>
      <c r="O252" s="1377"/>
      <c r="P252" s="1377"/>
      <c r="Q252" s="1377"/>
      <c r="R252" s="1377"/>
      <c r="S252" s="1377"/>
      <c r="T252" s="1377"/>
      <c r="U252" s="1377"/>
      <c r="V252" s="1377"/>
      <c r="W252" s="1377"/>
      <c r="X252" s="1377"/>
      <c r="Y252" s="1377"/>
      <c r="Z252" s="1377"/>
      <c r="AA252" s="1377"/>
      <c r="AB252" s="1377"/>
      <c r="AC252" s="1377"/>
      <c r="AD252" s="1377"/>
      <c r="AE252" s="1377"/>
      <c r="AF252" s="3" t="s">
        <v>1084</v>
      </c>
      <c r="AL252" s="3"/>
      <c r="AM252" s="3"/>
      <c r="AN252" s="3"/>
      <c r="AO252" s="3"/>
      <c r="AP252" s="3"/>
      <c r="AQ252" s="3"/>
      <c r="AR252" s="3"/>
      <c r="AS252" s="3"/>
      <c r="AT252" s="3"/>
      <c r="BN252" s="3"/>
    </row>
    <row r="253" spans="1:67" ht="13.15" customHeight="1">
      <c r="A253" s="1160"/>
      <c r="B253" s="3"/>
      <c r="C253" s="3"/>
      <c r="D253" s="3" t="s">
        <v>928</v>
      </c>
      <c r="E253" s="3"/>
      <c r="M253" s="1377" t="s">
        <v>1062</v>
      </c>
      <c r="N253" s="1377"/>
      <c r="O253" s="1377"/>
      <c r="P253" s="1377"/>
      <c r="Q253" s="1377"/>
      <c r="R253" s="1377"/>
      <c r="S253" s="1377"/>
      <c r="T253" s="1377"/>
      <c r="V253" s="923" t="s">
        <v>1063</v>
      </c>
      <c r="W253" s="1395"/>
      <c r="X253" s="1395"/>
      <c r="Y253" s="3" t="s">
        <v>932</v>
      </c>
      <c r="AC253" s="1377"/>
      <c r="AD253" s="1377"/>
      <c r="AE253" s="1377"/>
      <c r="AF253" s="3" t="s">
        <v>1087</v>
      </c>
      <c r="AU253" s="3"/>
      <c r="AV253" s="3"/>
      <c r="AW253" s="3"/>
      <c r="AX253" s="3"/>
      <c r="AY253" s="3"/>
      <c r="BN253" s="3"/>
    </row>
    <row r="254" spans="1:67" ht="13.15" customHeight="1">
      <c r="A254" s="1160"/>
      <c r="B254" s="3"/>
      <c r="C254" s="3"/>
      <c r="D254" s="3" t="s">
        <v>1065</v>
      </c>
      <c r="E254" s="3"/>
      <c r="F254" s="3"/>
      <c r="G254" s="3"/>
      <c r="H254" s="3"/>
      <c r="I254" s="3"/>
      <c r="J254" s="3"/>
      <c r="K254" s="3"/>
      <c r="L254" s="1160"/>
      <c r="M254" s="1377" t="s">
        <v>1066</v>
      </c>
      <c r="N254" s="1377"/>
      <c r="O254" s="1377"/>
      <c r="P254" s="1377"/>
      <c r="Q254" s="1377"/>
      <c r="R254" s="1377"/>
      <c r="S254" s="1377"/>
      <c r="T254" s="1377"/>
      <c r="U254" s="1377"/>
      <c r="V254" s="1377"/>
      <c r="W254" s="1377"/>
      <c r="X254" s="1377"/>
      <c r="Y254" s="1377"/>
      <c r="Z254" s="1377"/>
      <c r="AA254" s="1377"/>
      <c r="AB254" s="1377"/>
      <c r="AC254" s="1377"/>
      <c r="AD254" s="1377"/>
      <c r="AE254" s="1377"/>
      <c r="AH254" s="1718">
        <v>6.0000000000000001E-3</v>
      </c>
      <c r="AI254" s="1718"/>
      <c r="AJ254" s="1718"/>
      <c r="AK254" s="1718"/>
      <c r="AL254" s="3"/>
      <c r="AM254" s="3"/>
      <c r="AN254" s="3"/>
      <c r="AO254" s="3"/>
      <c r="AP254" s="3"/>
      <c r="AQ254" s="3"/>
      <c r="AR254" s="3"/>
      <c r="AS254" s="3"/>
      <c r="AT254" s="3"/>
    </row>
    <row r="255" spans="1:67" ht="13.15" customHeight="1">
      <c r="A255" s="1160"/>
      <c r="B255" s="3"/>
      <c r="C255" s="3"/>
      <c r="D255" s="3" t="s">
        <v>1067</v>
      </c>
      <c r="E255" s="3"/>
      <c r="F255" s="3"/>
      <c r="M255" s="1308" t="s">
        <v>1068</v>
      </c>
      <c r="N255" s="1308"/>
      <c r="O255" s="1308"/>
      <c r="P255" s="1308"/>
      <c r="Q255" s="1308"/>
      <c r="R255" s="1308"/>
      <c r="S255" s="3" t="s">
        <v>1069</v>
      </c>
      <c r="T255" s="3"/>
      <c r="U255" s="1395"/>
      <c r="V255" s="1395"/>
      <c r="W255" s="1395"/>
      <c r="X255" s="3" t="s">
        <v>1070</v>
      </c>
      <c r="Z255" s="1308"/>
      <c r="AA255" s="1308"/>
      <c r="AB255" s="1308"/>
      <c r="AC255" s="1308"/>
      <c r="AD255" s="1308"/>
      <c r="AE255" s="1308"/>
      <c r="AU255" s="3"/>
      <c r="AV255" s="3"/>
      <c r="AW255" s="3"/>
      <c r="AX255" s="3"/>
      <c r="AY255" s="3"/>
      <c r="BN255" s="3"/>
    </row>
    <row r="256" spans="1:67" ht="13.15" customHeight="1">
      <c r="A256" s="1160"/>
      <c r="B256" s="3"/>
      <c r="C256" s="3"/>
      <c r="D256" s="3" t="s">
        <v>1072</v>
      </c>
      <c r="E256" s="3"/>
      <c r="F256" s="3"/>
      <c r="M256" s="1724" t="s">
        <v>1073</v>
      </c>
      <c r="N256" s="1724"/>
      <c r="O256" s="1724"/>
      <c r="P256" s="1724"/>
      <c r="Q256" s="1724"/>
      <c r="R256" s="1724"/>
      <c r="S256" s="1724"/>
      <c r="T256" s="1724"/>
      <c r="U256" s="1724"/>
      <c r="V256" s="1724"/>
      <c r="W256" s="1724"/>
      <c r="X256" s="1724"/>
      <c r="Y256" s="1724"/>
      <c r="Z256" s="1724"/>
      <c r="AA256" s="1724"/>
      <c r="AB256" s="1724"/>
      <c r="AC256" s="1724"/>
      <c r="AD256" s="1724"/>
      <c r="AE256" s="1724"/>
      <c r="AG256" s="3"/>
      <c r="AH256" s="3"/>
      <c r="AI256" s="3"/>
      <c r="AJ256" s="3"/>
      <c r="AK256" s="3"/>
      <c r="AL256" s="3"/>
      <c r="AM256" s="3"/>
      <c r="AN256" s="3"/>
      <c r="AO256" s="3"/>
      <c r="AP256" s="3"/>
      <c r="AQ256" s="3"/>
      <c r="AR256" s="3"/>
      <c r="AS256" s="3"/>
      <c r="AT256" s="3"/>
      <c r="AU256" s="3"/>
      <c r="AV256" s="3"/>
      <c r="AW256" s="3"/>
      <c r="AX256" s="3"/>
      <c r="AY256" s="3"/>
      <c r="BN256" s="3"/>
    </row>
    <row r="257" spans="1:51" ht="13.15" customHeight="1">
      <c r="A257" s="12"/>
      <c r="B257" s="3"/>
      <c r="C257" s="48"/>
      <c r="D257" s="3" t="s">
        <v>1094</v>
      </c>
      <c r="E257" s="3"/>
      <c r="F257" s="3"/>
      <c r="G257" s="3"/>
      <c r="H257" s="3"/>
      <c r="I257" s="3"/>
      <c r="J257" s="3"/>
      <c r="K257" s="3"/>
      <c r="L257" s="3"/>
      <c r="M257" s="1310" t="s">
        <v>1091</v>
      </c>
      <c r="N257" s="1310"/>
      <c r="O257" s="1310"/>
      <c r="P257" s="1310"/>
      <c r="Q257" s="1310"/>
      <c r="R257" s="1310"/>
      <c r="S257" s="1310"/>
      <c r="T257" s="1310"/>
      <c r="U257" s="136" t="s">
        <v>1075</v>
      </c>
      <c r="V257" s="136"/>
      <c r="W257" s="136"/>
      <c r="X257" s="136"/>
      <c r="Y257" s="136"/>
      <c r="Z257" s="136"/>
      <c r="AA257" s="1716"/>
      <c r="AB257" s="1716"/>
      <c r="AC257" s="1716"/>
      <c r="AD257" s="1716"/>
      <c r="AE257" s="1716"/>
      <c r="AF257" s="1716"/>
      <c r="AG257" s="1716"/>
      <c r="AH257" s="1716"/>
      <c r="AI257" s="1716"/>
      <c r="AJ257" s="1716"/>
      <c r="AK257" s="1716"/>
      <c r="AL257" s="3"/>
      <c r="AM257" s="3"/>
      <c r="AN257" s="3"/>
      <c r="AO257" s="3"/>
      <c r="AP257" s="3"/>
      <c r="AQ257" s="3"/>
      <c r="AR257" s="3"/>
      <c r="AS257" s="3"/>
      <c r="AT257" s="3"/>
      <c r="AU257" s="3"/>
      <c r="AV257" s="3"/>
      <c r="AW257" s="3"/>
      <c r="AX257" s="3"/>
      <c r="AY257" s="3"/>
    </row>
    <row r="258" spans="1:51" ht="13.1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15" customHeight="1">
      <c r="A259" s="12"/>
      <c r="B259" s="3"/>
      <c r="C259" s="48" t="s">
        <v>1099</v>
      </c>
      <c r="D259" s="3" t="s">
        <v>1081</v>
      </c>
      <c r="E259" s="3"/>
      <c r="F259" s="3"/>
      <c r="G259" s="3"/>
      <c r="H259" s="3"/>
      <c r="I259" s="3"/>
      <c r="J259" s="3"/>
      <c r="K259" s="3"/>
      <c r="L259" s="3"/>
      <c r="M259" s="1379"/>
      <c r="N259" s="1379"/>
      <c r="O259" s="1379"/>
      <c r="P259" s="1379"/>
      <c r="Q259" s="1379"/>
      <c r="R259" s="1379"/>
      <c r="S259" s="1379"/>
      <c r="T259" s="1379"/>
      <c r="U259" s="1379"/>
      <c r="V259" s="1379"/>
      <c r="W259" s="1379"/>
      <c r="X259" s="1379"/>
      <c r="Y259" s="1379"/>
      <c r="Z259" s="1379"/>
      <c r="AA259" s="1379"/>
      <c r="AB259" s="1379"/>
      <c r="AC259" s="1379"/>
      <c r="AD259" s="1379"/>
      <c r="AE259" s="1379"/>
      <c r="AF259" s="1379" t="s">
        <v>309</v>
      </c>
      <c r="AG259" s="1379"/>
      <c r="AH259" s="1379"/>
      <c r="AI259" s="1379"/>
      <c r="AJ259" s="1379"/>
      <c r="AK259" s="1379"/>
      <c r="AL259" s="3"/>
      <c r="AM259" s="3"/>
      <c r="AN259" s="3"/>
      <c r="AO259" s="3"/>
      <c r="AP259" s="3"/>
      <c r="AQ259" s="3"/>
      <c r="AR259" s="3"/>
      <c r="AS259" s="3"/>
      <c r="AT259" s="3"/>
      <c r="AU259" s="3"/>
      <c r="AV259" s="3"/>
      <c r="AW259" s="3"/>
      <c r="AX259" s="3"/>
      <c r="AY259" s="3"/>
    </row>
    <row r="260" spans="1:51" ht="13.15" customHeight="1">
      <c r="A260" s="12"/>
      <c r="B260" s="3"/>
      <c r="C260" s="3"/>
      <c r="D260" s="3" t="s">
        <v>1060</v>
      </c>
      <c r="E260" s="3"/>
      <c r="F260" s="3"/>
      <c r="G260" s="3"/>
      <c r="H260" s="3"/>
      <c r="I260" s="3"/>
      <c r="J260" s="3"/>
      <c r="K260" s="3"/>
      <c r="L260" s="3"/>
      <c r="M260" s="1377"/>
      <c r="N260" s="1377"/>
      <c r="O260" s="1377"/>
      <c r="P260" s="1377"/>
      <c r="Q260" s="1377"/>
      <c r="R260" s="1377"/>
      <c r="S260" s="1377"/>
      <c r="T260" s="1377"/>
      <c r="U260" s="1377"/>
      <c r="V260" s="1377"/>
      <c r="W260" s="1377"/>
      <c r="X260" s="1377"/>
      <c r="Y260" s="1377"/>
      <c r="Z260" s="1377"/>
      <c r="AA260" s="1377"/>
      <c r="AB260" s="1377"/>
      <c r="AC260" s="1377"/>
      <c r="AD260" s="1377"/>
      <c r="AE260" s="1377"/>
      <c r="AF260" s="3" t="s">
        <v>1084</v>
      </c>
      <c r="AL260" s="3"/>
      <c r="AM260" s="3"/>
      <c r="AN260" s="3"/>
      <c r="AO260" s="3"/>
      <c r="AP260" s="3"/>
      <c r="AQ260" s="3"/>
      <c r="AR260" s="3"/>
      <c r="AS260" s="3"/>
      <c r="AT260" s="3"/>
      <c r="AU260" s="3"/>
      <c r="AV260" s="3"/>
      <c r="AW260" s="3"/>
      <c r="AX260" s="3"/>
      <c r="AY260" s="3"/>
    </row>
    <row r="261" spans="1:51" ht="13.15" customHeight="1">
      <c r="A261" s="12"/>
      <c r="B261" s="3"/>
      <c r="C261" s="3"/>
      <c r="D261" s="3" t="s">
        <v>928</v>
      </c>
      <c r="E261" s="3"/>
      <c r="M261" s="1377"/>
      <c r="N261" s="1377"/>
      <c r="O261" s="1377"/>
      <c r="P261" s="1377"/>
      <c r="Q261" s="1377"/>
      <c r="R261" s="1377"/>
      <c r="S261" s="1377"/>
      <c r="T261" s="1377"/>
      <c r="V261" s="923" t="s">
        <v>1063</v>
      </c>
      <c r="W261" s="1395"/>
      <c r="X261" s="1395"/>
      <c r="Y261" s="3" t="s">
        <v>932</v>
      </c>
      <c r="AC261" s="1377"/>
      <c r="AD261" s="1377"/>
      <c r="AE261" s="1377"/>
      <c r="AF261" s="3" t="s">
        <v>1087</v>
      </c>
      <c r="AL261" s="3"/>
      <c r="AM261" s="3"/>
      <c r="AN261" s="3"/>
      <c r="AO261" s="3"/>
      <c r="AP261" s="3"/>
      <c r="AQ261" s="3"/>
      <c r="AR261" s="3"/>
      <c r="AS261" s="3"/>
      <c r="AT261" s="3"/>
      <c r="AU261" s="3"/>
      <c r="AV261" s="3"/>
      <c r="AW261" s="3"/>
      <c r="AX261" s="3"/>
      <c r="AY261" s="3"/>
    </row>
    <row r="262" spans="1:51" ht="13.15" customHeight="1">
      <c r="A262" s="12"/>
      <c r="B262" s="3"/>
      <c r="C262" s="3"/>
      <c r="D262" s="3" t="s">
        <v>1065</v>
      </c>
      <c r="E262" s="3"/>
      <c r="F262" s="3"/>
      <c r="G262" s="3"/>
      <c r="H262" s="3"/>
      <c r="I262" s="3"/>
      <c r="J262" s="3"/>
      <c r="K262" s="3"/>
      <c r="L262" s="1160"/>
      <c r="M262" s="1377"/>
      <c r="N262" s="1377"/>
      <c r="O262" s="1377"/>
      <c r="P262" s="1377"/>
      <c r="Q262" s="1377"/>
      <c r="R262" s="1377"/>
      <c r="S262" s="1377"/>
      <c r="T262" s="1377"/>
      <c r="U262" s="1377"/>
      <c r="V262" s="1377"/>
      <c r="W262" s="1377"/>
      <c r="X262" s="1377"/>
      <c r="Y262" s="1377"/>
      <c r="Z262" s="1377"/>
      <c r="AA262" s="1377"/>
      <c r="AB262" s="1377"/>
      <c r="AC262" s="1377"/>
      <c r="AD262" s="1377"/>
      <c r="AE262" s="1377"/>
      <c r="AH262" s="1718"/>
      <c r="AI262" s="1718"/>
      <c r="AJ262" s="1718"/>
      <c r="AK262" s="1718"/>
      <c r="AL262" s="3"/>
      <c r="AM262" s="3"/>
      <c r="AN262" s="3"/>
      <c r="AO262" s="3"/>
      <c r="AP262" s="3"/>
      <c r="AQ262" s="3"/>
      <c r="AR262" s="3"/>
      <c r="AS262" s="3"/>
      <c r="AT262" s="3"/>
      <c r="AU262" s="3"/>
      <c r="AV262" s="3"/>
      <c r="AW262" s="3"/>
      <c r="AX262" s="3"/>
      <c r="AY262" s="3"/>
    </row>
    <row r="263" spans="1:51" ht="13.15" customHeight="1">
      <c r="A263" s="12"/>
      <c r="B263" s="3"/>
      <c r="C263" s="3"/>
      <c r="D263" s="3" t="s">
        <v>1067</v>
      </c>
      <c r="E263" s="3"/>
      <c r="F263" s="3"/>
      <c r="M263" s="1308"/>
      <c r="N263" s="1308"/>
      <c r="O263" s="1308"/>
      <c r="P263" s="1308"/>
      <c r="Q263" s="1308"/>
      <c r="R263" s="1308"/>
      <c r="S263" s="3" t="s">
        <v>1069</v>
      </c>
      <c r="T263" s="3"/>
      <c r="U263" s="1395"/>
      <c r="V263" s="1395"/>
      <c r="W263" s="1395"/>
      <c r="X263" s="3" t="s">
        <v>1070</v>
      </c>
      <c r="Z263" s="1308"/>
      <c r="AA263" s="1308"/>
      <c r="AB263" s="1308"/>
      <c r="AC263" s="1308"/>
      <c r="AD263" s="1308"/>
      <c r="AE263" s="1308"/>
      <c r="AL263" s="3"/>
      <c r="AM263" s="3"/>
      <c r="AN263" s="3"/>
      <c r="AO263" s="3"/>
      <c r="AP263" s="3"/>
      <c r="AQ263" s="3"/>
      <c r="AR263" s="3"/>
      <c r="AS263" s="3"/>
      <c r="AT263" s="3"/>
      <c r="AU263" s="3"/>
      <c r="AV263" s="3"/>
      <c r="AW263" s="3"/>
      <c r="AX263" s="3"/>
      <c r="AY263" s="3"/>
    </row>
    <row r="264" spans="1:51" ht="13.15" customHeight="1">
      <c r="A264" s="12"/>
      <c r="B264" s="3"/>
      <c r="C264" s="3"/>
      <c r="D264" s="3" t="s">
        <v>1072</v>
      </c>
      <c r="E264" s="3"/>
      <c r="F264" s="3"/>
      <c r="M264" s="1724"/>
      <c r="N264" s="1724"/>
      <c r="O264" s="1724"/>
      <c r="P264" s="1724"/>
      <c r="Q264" s="1724"/>
      <c r="R264" s="1724"/>
      <c r="S264" s="1724"/>
      <c r="T264" s="1724"/>
      <c r="U264" s="1724"/>
      <c r="V264" s="1724"/>
      <c r="W264" s="1724"/>
      <c r="X264" s="1724"/>
      <c r="Y264" s="1724"/>
      <c r="Z264" s="1724"/>
      <c r="AA264" s="1743"/>
      <c r="AB264" s="1743"/>
      <c r="AC264" s="1743"/>
      <c r="AD264" s="1743"/>
      <c r="AE264" s="1743"/>
      <c r="AG264" s="3"/>
      <c r="AH264" s="3"/>
      <c r="AI264" s="3"/>
      <c r="AJ264" s="3"/>
      <c r="AK264" s="3"/>
      <c r="AL264" s="3"/>
      <c r="AM264" s="3"/>
      <c r="AN264" s="3"/>
      <c r="AO264" s="3"/>
      <c r="AP264" s="3"/>
      <c r="AQ264" s="3"/>
      <c r="AR264" s="3"/>
      <c r="AS264" s="3"/>
      <c r="AT264" s="3"/>
      <c r="AU264" s="3"/>
      <c r="AV264" s="3"/>
      <c r="AW264" s="3"/>
      <c r="AX264" s="3"/>
      <c r="AY264" s="3"/>
    </row>
    <row r="265" spans="1:51" ht="13.15" customHeight="1">
      <c r="A265" s="12"/>
      <c r="B265" s="3"/>
      <c r="C265" s="48"/>
      <c r="D265" s="3" t="s">
        <v>1094</v>
      </c>
      <c r="E265" s="3"/>
      <c r="F265" s="3"/>
      <c r="G265" s="3"/>
      <c r="H265" s="3"/>
      <c r="I265" s="3"/>
      <c r="J265" s="3"/>
      <c r="K265" s="3"/>
      <c r="L265" s="3"/>
      <c r="M265" s="1310" t="s">
        <v>309</v>
      </c>
      <c r="N265" s="1310"/>
      <c r="O265" s="1310"/>
      <c r="P265" s="1310"/>
      <c r="Q265" s="1310"/>
      <c r="R265" s="1310"/>
      <c r="S265" s="1310"/>
      <c r="T265" s="1310"/>
      <c r="U265" s="136" t="s">
        <v>1075</v>
      </c>
      <c r="V265" s="136"/>
      <c r="W265" s="136"/>
      <c r="X265" s="136"/>
      <c r="Y265" s="136"/>
      <c r="Z265" s="136"/>
      <c r="AA265" s="1717"/>
      <c r="AB265" s="1717"/>
      <c r="AC265" s="1717"/>
      <c r="AD265" s="1717"/>
      <c r="AE265" s="1717"/>
      <c r="AF265" s="1717"/>
      <c r="AG265" s="1717"/>
      <c r="AH265" s="1717"/>
      <c r="AI265" s="1717"/>
      <c r="AJ265" s="1717"/>
      <c r="AK265" s="1717"/>
      <c r="AL265" s="3"/>
      <c r="AM265" s="3"/>
      <c r="AN265" s="3"/>
      <c r="AO265" s="3"/>
      <c r="AP265" s="3"/>
      <c r="AQ265" s="3"/>
      <c r="AR265" s="3"/>
      <c r="AS265" s="3"/>
      <c r="AT265" s="3"/>
    </row>
    <row r="266" spans="1:51" ht="13.1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15" customHeight="1">
      <c r="A267" s="49" t="s">
        <v>1017</v>
      </c>
      <c r="B267" s="3"/>
      <c r="C267" s="2" t="s">
        <v>1100</v>
      </c>
      <c r="D267" s="3"/>
      <c r="E267" s="3"/>
      <c r="F267" s="3"/>
      <c r="G267" s="3"/>
      <c r="H267" s="3"/>
      <c r="I267" s="3"/>
      <c r="J267" s="3"/>
      <c r="K267" s="3"/>
      <c r="L267" s="3"/>
      <c r="M267" s="84"/>
      <c r="N267" s="84"/>
      <c r="O267" s="84"/>
      <c r="P267" s="84"/>
      <c r="Q267" s="84"/>
      <c r="T267" s="1719" t="str">
        <f>IFERROR(BO245,"")</f>
        <v>Joint Venture</v>
      </c>
      <c r="U267" s="1719"/>
      <c r="V267" s="1719"/>
      <c r="W267" s="1719"/>
      <c r="X267" s="1719"/>
      <c r="Z267" s="214" t="s">
        <v>1101</v>
      </c>
      <c r="AA267" s="215"/>
      <c r="AB267" s="215"/>
      <c r="AC267" s="215"/>
      <c r="AD267" s="216"/>
      <c r="AE267" s="216"/>
      <c r="AF267" s="216"/>
      <c r="AG267" s="216"/>
      <c r="AH267" s="216"/>
      <c r="AI267" s="216"/>
      <c r="AJ267" s="216"/>
      <c r="AK267" s="216"/>
      <c r="AL267" s="50"/>
    </row>
    <row r="268" spans="1:51" ht="13.15" customHeight="1">
      <c r="A268" s="2"/>
      <c r="B268" s="3"/>
      <c r="C268" s="2"/>
      <c r="I268" s="3"/>
      <c r="J268" s="3"/>
      <c r="K268" s="3"/>
      <c r="L268" s="3"/>
      <c r="M268" s="84"/>
      <c r="N268" s="84"/>
      <c r="O268" s="84"/>
      <c r="P268" s="84"/>
      <c r="Q268" s="84"/>
      <c r="T268" s="3"/>
      <c r="U268" s="3"/>
      <c r="V268" s="3"/>
      <c r="W268" s="84"/>
      <c r="Z268" s="217" t="s">
        <v>1102</v>
      </c>
      <c r="AF268" s="3"/>
      <c r="AG268" s="3"/>
      <c r="AH268" s="3"/>
      <c r="AI268" s="3"/>
      <c r="AJ268" s="3"/>
      <c r="AL268" s="56"/>
    </row>
    <row r="269" spans="1:51" ht="13.15" customHeight="1">
      <c r="A269" s="2" t="s">
        <v>1044</v>
      </c>
      <c r="B269" s="3"/>
      <c r="C269" s="2" t="s">
        <v>124</v>
      </c>
      <c r="D269" s="3"/>
      <c r="E269" s="3"/>
      <c r="F269" s="3"/>
      <c r="G269" s="3"/>
      <c r="H269" s="3"/>
      <c r="I269" s="3"/>
      <c r="J269" s="3"/>
      <c r="K269" s="3"/>
      <c r="L269" s="3"/>
      <c r="M269" s="3"/>
      <c r="N269" s="3"/>
      <c r="O269" s="3"/>
      <c r="P269" s="3"/>
      <c r="Q269" s="3"/>
      <c r="R269" s="3"/>
      <c r="S269" s="3"/>
      <c r="T269" s="3"/>
      <c r="U269" s="3"/>
      <c r="V269" s="3"/>
      <c r="W269" s="3"/>
      <c r="Z269" s="218" t="s">
        <v>1103</v>
      </c>
      <c r="AA269" s="40"/>
      <c r="AB269" s="40"/>
      <c r="AC269" s="40"/>
      <c r="AD269" s="40"/>
      <c r="AE269" s="40"/>
      <c r="AF269" s="792"/>
      <c r="AG269" s="792"/>
      <c r="AH269" s="792"/>
      <c r="AI269" s="792"/>
      <c r="AJ269" s="792"/>
      <c r="AK269" s="40"/>
      <c r="AL269" s="41"/>
    </row>
    <row r="270" spans="1:51" ht="13.15" customHeight="1">
      <c r="A270" s="3"/>
      <c r="B270" s="28">
        <v>0</v>
      </c>
      <c r="D270" s="1377" t="s">
        <v>309</v>
      </c>
      <c r="E270" s="1377"/>
      <c r="F270" s="1377"/>
      <c r="G270" s="1377"/>
      <c r="H270" s="1377"/>
      <c r="J270" t="s">
        <v>1104</v>
      </c>
      <c r="X270" s="1636"/>
      <c r="Y270" s="1636"/>
      <c r="Z270" s="1636"/>
      <c r="AA270" s="1636"/>
      <c r="AB270" s="1636"/>
      <c r="AC270" s="1636"/>
      <c r="AU270" s="3"/>
      <c r="AV270" s="3"/>
      <c r="AW270" s="3"/>
      <c r="AX270" s="3"/>
      <c r="AY270" s="3"/>
    </row>
    <row r="271" spans="1:51" ht="13.15" customHeight="1">
      <c r="A271" s="3"/>
      <c r="B271" s="1160"/>
      <c r="D271" s="29" t="s">
        <v>1105</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1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15" customHeight="1">
      <c r="A273" s="2" t="s">
        <v>1106</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15" customHeight="1">
      <c r="D274" s="3" t="s">
        <v>1107</v>
      </c>
      <c r="E274" s="3"/>
      <c r="F274" s="3"/>
      <c r="G274" s="3"/>
      <c r="H274" s="3"/>
      <c r="I274" s="3"/>
      <c r="J274" s="3"/>
      <c r="K274" s="3"/>
      <c r="L274" s="1379" t="s">
        <v>1108</v>
      </c>
      <c r="M274" s="1379"/>
      <c r="N274" s="1379"/>
      <c r="O274" s="1379"/>
      <c r="P274" s="1379"/>
      <c r="Q274" s="1379"/>
      <c r="R274" s="1379"/>
      <c r="S274" s="1379"/>
      <c r="T274" s="1379"/>
      <c r="U274" s="1379"/>
      <c r="V274" s="1379"/>
      <c r="W274" s="1379"/>
      <c r="X274" s="1379"/>
      <c r="Y274" s="1379"/>
      <c r="Z274" s="1379"/>
      <c r="AA274" s="1379"/>
      <c r="AB274" s="1379"/>
      <c r="AC274" s="1379"/>
      <c r="AD274" s="1379"/>
      <c r="AE274" s="1379"/>
      <c r="AF274" s="1379"/>
      <c r="AG274" s="1379"/>
      <c r="AH274" s="1379"/>
      <c r="AI274" s="1379"/>
      <c r="AJ274" s="1379"/>
      <c r="AK274" s="3"/>
      <c r="AL274" s="3"/>
      <c r="AM274" s="3"/>
      <c r="AN274" s="3"/>
      <c r="AO274" s="3"/>
      <c r="AP274" s="3"/>
      <c r="AQ274" s="3"/>
      <c r="AR274" s="3"/>
      <c r="AS274" s="3"/>
      <c r="AT274" s="3"/>
      <c r="AU274" s="3"/>
      <c r="AV274" s="3"/>
      <c r="AW274" s="3"/>
      <c r="AX274" s="3"/>
      <c r="AY274" s="3"/>
    </row>
    <row r="275" spans="1:51" ht="13.15" customHeight="1">
      <c r="D275" s="3" t="s">
        <v>1060</v>
      </c>
      <c r="E275" s="3"/>
      <c r="F275" s="3"/>
      <c r="G275" s="3"/>
      <c r="H275" s="3"/>
      <c r="I275" s="3"/>
      <c r="J275" s="3"/>
      <c r="K275" s="3"/>
      <c r="L275" s="1377" t="s">
        <v>1109</v>
      </c>
      <c r="M275" s="1377"/>
      <c r="N275" s="1377"/>
      <c r="O275" s="1377"/>
      <c r="P275" s="1377"/>
      <c r="Q275" s="1377"/>
      <c r="R275" s="1377"/>
      <c r="S275" s="1377"/>
      <c r="T275" s="1377"/>
      <c r="U275" s="1377"/>
      <c r="V275" s="1377"/>
      <c r="W275" s="1377"/>
      <c r="X275" s="1377"/>
      <c r="Y275" s="1377"/>
      <c r="Z275" s="1377"/>
      <c r="AA275" s="1377"/>
      <c r="AB275" s="1377"/>
      <c r="AC275" s="1377"/>
      <c r="AD275" s="1377"/>
      <c r="AK275" s="3"/>
      <c r="AL275" s="3"/>
      <c r="AM275" s="3"/>
      <c r="AN275" s="3"/>
      <c r="AO275" s="3"/>
      <c r="AP275" s="3"/>
      <c r="AQ275" s="3"/>
      <c r="AR275" s="3"/>
      <c r="AS275" s="3"/>
      <c r="AT275" s="3"/>
      <c r="AU275" s="3"/>
      <c r="AV275" s="3"/>
      <c r="AW275" s="3"/>
      <c r="AX275" s="3"/>
      <c r="AY275" s="3"/>
    </row>
    <row r="276" spans="1:51" ht="13.15" customHeight="1">
      <c r="D276" s="3" t="s">
        <v>928</v>
      </c>
      <c r="E276" s="3"/>
      <c r="L276" s="1377" t="s">
        <v>883</v>
      </c>
      <c r="M276" s="1377"/>
      <c r="N276" s="1377"/>
      <c r="O276" s="1377"/>
      <c r="P276" s="1377"/>
      <c r="Q276" s="1377"/>
      <c r="R276" s="1377"/>
      <c r="S276" s="1377"/>
      <c r="U276" s="923" t="s">
        <v>1063</v>
      </c>
      <c r="V276" s="1395"/>
      <c r="W276" s="1395"/>
      <c r="X276" s="3" t="s">
        <v>932</v>
      </c>
      <c r="AB276" s="1377"/>
      <c r="AC276" s="1377"/>
      <c r="AD276" s="1377"/>
      <c r="AK276" s="3"/>
      <c r="AL276" s="3"/>
      <c r="AM276" s="3"/>
      <c r="AN276" s="3"/>
      <c r="AO276" s="3"/>
      <c r="AP276" s="3"/>
      <c r="AQ276" s="3"/>
      <c r="AR276" s="3"/>
      <c r="AS276" s="3"/>
      <c r="AT276" s="3"/>
      <c r="AU276" s="3"/>
      <c r="AV276" s="3"/>
      <c r="AW276" s="3"/>
      <c r="AX276" s="3"/>
      <c r="AY276" s="3"/>
    </row>
    <row r="277" spans="1:51" ht="13.15" customHeight="1">
      <c r="D277" s="3" t="s">
        <v>1065</v>
      </c>
      <c r="E277" s="3"/>
      <c r="F277" s="3"/>
      <c r="G277" s="3"/>
      <c r="H277" s="3"/>
      <c r="I277" s="3"/>
      <c r="J277" s="3"/>
      <c r="K277" s="1160"/>
      <c r="L277" s="1377" t="s">
        <v>1110</v>
      </c>
      <c r="M277" s="1377"/>
      <c r="N277" s="1377"/>
      <c r="O277" s="1377"/>
      <c r="P277" s="1377"/>
      <c r="Q277" s="1377"/>
      <c r="R277" s="1377"/>
      <c r="S277" s="1377"/>
      <c r="T277" s="1377"/>
      <c r="U277" s="1377"/>
      <c r="V277" s="1377"/>
      <c r="W277" s="1377"/>
      <c r="X277" s="1377"/>
      <c r="Y277" s="1377"/>
      <c r="Z277" s="1377"/>
      <c r="AA277" s="1377"/>
      <c r="AB277" s="1377"/>
      <c r="AC277" s="1377"/>
      <c r="AD277" s="1377"/>
      <c r="AI277" s="3"/>
      <c r="AJ277" s="3"/>
      <c r="AK277" s="3"/>
      <c r="AL277" s="3"/>
      <c r="AM277" s="3"/>
      <c r="AN277" s="3"/>
      <c r="AO277" s="3"/>
      <c r="AP277" s="3"/>
      <c r="AQ277" s="3"/>
      <c r="AR277" s="3"/>
      <c r="AS277" s="3"/>
      <c r="AT277" s="3"/>
    </row>
    <row r="278" spans="1:51" ht="13.15" customHeight="1">
      <c r="D278" s="3" t="s">
        <v>1067</v>
      </c>
      <c r="E278" s="3"/>
      <c r="F278" s="3"/>
      <c r="L278" s="1308">
        <v>2028937347</v>
      </c>
      <c r="M278" s="1308"/>
      <c r="N278" s="1308"/>
      <c r="O278" s="1308"/>
      <c r="P278" s="1308"/>
      <c r="Q278" s="1308"/>
      <c r="R278" s="3" t="s">
        <v>1069</v>
      </c>
      <c r="S278" s="3"/>
      <c r="T278" s="1395"/>
      <c r="U278" s="1395"/>
      <c r="V278" s="1395"/>
      <c r="W278" s="3" t="s">
        <v>1070</v>
      </c>
      <c r="Y278" s="1308"/>
      <c r="Z278" s="1308"/>
      <c r="AA278" s="1308"/>
      <c r="AB278" s="1308"/>
      <c r="AC278" s="1308"/>
      <c r="AD278" s="1308"/>
    </row>
    <row r="279" spans="1:51" ht="13.15" customHeight="1">
      <c r="D279" s="3" t="s">
        <v>1072</v>
      </c>
      <c r="E279" s="3"/>
      <c r="F279" s="3"/>
      <c r="L279" s="1724" t="s">
        <v>1111</v>
      </c>
      <c r="M279" s="1724"/>
      <c r="N279" s="1724"/>
      <c r="O279" s="1724"/>
      <c r="P279" s="1724"/>
      <c r="Q279" s="1724"/>
      <c r="R279" s="1724"/>
      <c r="S279" s="1724"/>
      <c r="T279" s="1724"/>
      <c r="U279" s="1724"/>
      <c r="V279" s="1724"/>
      <c r="W279" s="1724"/>
      <c r="X279" s="1724"/>
      <c r="Y279" s="1724"/>
      <c r="Z279" s="1724"/>
      <c r="AA279" s="1724"/>
      <c r="AB279" s="1724"/>
      <c r="AC279" s="1724"/>
      <c r="AD279" s="1724"/>
      <c r="AF279" s="3"/>
      <c r="AG279" s="3"/>
      <c r="AH279" s="3"/>
      <c r="AI279" s="3"/>
      <c r="AJ279" s="3"/>
      <c r="AU279" s="3"/>
      <c r="AV279" s="3"/>
      <c r="AW279" s="3"/>
      <c r="AX279" s="3"/>
      <c r="AY279" s="3"/>
    </row>
    <row r="280" spans="1:51" ht="13.15" customHeight="1">
      <c r="D280" s="3" t="s">
        <v>1112</v>
      </c>
      <c r="E280" s="3"/>
      <c r="F280" s="3"/>
      <c r="G280" s="3"/>
      <c r="H280" s="3"/>
      <c r="I280" s="3"/>
      <c r="L280" s="1395" t="s">
        <v>1113</v>
      </c>
      <c r="M280" s="1395"/>
      <c r="N280" s="1395"/>
      <c r="O280" s="1395"/>
      <c r="P280" s="1395"/>
      <c r="Q280" s="1395"/>
      <c r="R280" s="1395"/>
      <c r="S280" s="1395"/>
      <c r="T280" s="1395"/>
      <c r="U280" s="1395"/>
      <c r="V280" s="1395"/>
      <c r="W280" s="1395"/>
      <c r="X280" s="1395"/>
      <c r="Y280" s="1395"/>
      <c r="Z280" s="1395"/>
      <c r="AA280" s="1395"/>
      <c r="AB280" s="1395"/>
      <c r="AC280" s="1395"/>
      <c r="AD280" s="1395"/>
      <c r="AK280" s="3"/>
      <c r="AL280" s="3"/>
      <c r="AM280" s="3"/>
      <c r="AN280" s="3"/>
      <c r="AO280" s="3"/>
      <c r="AP280" s="3"/>
      <c r="AQ280" s="3"/>
      <c r="AR280" s="3"/>
      <c r="AS280" s="3"/>
      <c r="AT280" s="3"/>
    </row>
    <row r="281" spans="1:51" ht="13.15" customHeight="1">
      <c r="L281" s="19" t="s">
        <v>1114</v>
      </c>
      <c r="AU281" s="70"/>
      <c r="AV281" s="70"/>
      <c r="AW281" s="70"/>
      <c r="AX281" s="70"/>
      <c r="AY281" s="70"/>
    </row>
    <row r="282" spans="1:51" ht="13.15" customHeight="1">
      <c r="A282" s="1381" t="s">
        <v>1115</v>
      </c>
      <c r="B282" s="1381"/>
      <c r="C282" s="1381"/>
      <c r="D282" s="1381"/>
      <c r="E282" s="1381"/>
      <c r="F282" s="1381"/>
      <c r="G282" s="1381"/>
      <c r="H282" s="1381"/>
      <c r="I282" s="1381"/>
      <c r="J282" s="1381"/>
      <c r="K282" s="1381"/>
      <c r="L282" s="1381"/>
      <c r="M282" s="1381"/>
      <c r="N282" s="1381"/>
      <c r="O282" s="1381"/>
      <c r="P282" s="1381"/>
      <c r="Q282" s="1381"/>
      <c r="R282" s="1381"/>
      <c r="S282" s="1381"/>
      <c r="T282" s="1381"/>
      <c r="U282" s="1381"/>
      <c r="V282" s="1381"/>
      <c r="W282" s="1381"/>
      <c r="X282" s="1381"/>
      <c r="Y282" s="1381"/>
      <c r="Z282" s="1381"/>
      <c r="AA282" s="1381"/>
      <c r="AB282" s="1381"/>
      <c r="AC282" s="1381"/>
      <c r="AD282" s="1381"/>
      <c r="AE282" s="1381"/>
      <c r="AF282" s="1381"/>
      <c r="AG282" s="1381"/>
      <c r="AH282" s="1381"/>
      <c r="AI282" s="1381"/>
      <c r="AJ282" s="1381"/>
      <c r="AK282" s="1381"/>
      <c r="AL282" s="1381"/>
      <c r="AM282" s="1381"/>
      <c r="AN282" s="1381"/>
      <c r="AO282" s="1381"/>
      <c r="AP282" s="1381"/>
      <c r="AQ282" s="1381"/>
      <c r="AR282" s="1381"/>
      <c r="AS282" s="1381"/>
      <c r="AT282" s="1381"/>
      <c r="AU282" s="70"/>
      <c r="AV282" s="70"/>
      <c r="AW282" s="70"/>
      <c r="AX282" s="70"/>
      <c r="AY282" s="70"/>
    </row>
    <row r="283" spans="1:51" ht="13.15" customHeight="1">
      <c r="A283" s="1381"/>
      <c r="B283" s="1381"/>
      <c r="C283" s="1381"/>
      <c r="D283" s="1381"/>
      <c r="E283" s="1381"/>
      <c r="F283" s="1381"/>
      <c r="G283" s="1381"/>
      <c r="H283" s="1381"/>
      <c r="I283" s="1381"/>
      <c r="J283" s="1381"/>
      <c r="K283" s="1381"/>
      <c r="L283" s="1381"/>
      <c r="M283" s="1381"/>
      <c r="N283" s="1381"/>
      <c r="O283" s="1381"/>
      <c r="P283" s="1381"/>
      <c r="Q283" s="1381"/>
      <c r="R283" s="1381"/>
      <c r="S283" s="1381"/>
      <c r="T283" s="1381"/>
      <c r="U283" s="1381"/>
      <c r="V283" s="1381"/>
      <c r="W283" s="1381"/>
      <c r="X283" s="1381"/>
      <c r="Y283" s="1381"/>
      <c r="Z283" s="1381"/>
      <c r="AA283" s="1381"/>
      <c r="AB283" s="1381"/>
      <c r="AC283" s="1381"/>
      <c r="AD283" s="1381"/>
      <c r="AE283" s="1381"/>
      <c r="AF283" s="1381"/>
      <c r="AG283" s="1381"/>
      <c r="AH283" s="1381"/>
      <c r="AI283" s="1381"/>
      <c r="AJ283" s="1381"/>
      <c r="AK283" s="1381"/>
      <c r="AL283" s="1381"/>
      <c r="AM283" s="1381"/>
      <c r="AN283" s="1381"/>
      <c r="AO283" s="1381"/>
      <c r="AP283" s="1381"/>
      <c r="AQ283" s="1381"/>
      <c r="AR283" s="1381"/>
      <c r="AS283" s="1381"/>
      <c r="AT283" s="1381"/>
      <c r="AU283" s="21"/>
      <c r="AV283" s="21"/>
      <c r="AW283" s="21"/>
      <c r="AX283" s="21"/>
      <c r="AY283" s="21"/>
    </row>
    <row r="284" spans="1:51" ht="13.1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15" customHeight="1">
      <c r="A285" s="2" t="s">
        <v>868</v>
      </c>
      <c r="C285" s="2" t="s">
        <v>1116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1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15" customHeight="1">
      <c r="B287" s="3" t="s">
        <v>1117</v>
      </c>
      <c r="C287" s="3"/>
      <c r="D287" s="3"/>
      <c r="E287" s="3"/>
      <c r="F287" s="3"/>
      <c r="H287" s="1333" t="s">
        <v>1118</v>
      </c>
      <c r="I287" s="1333"/>
      <c r="J287" s="1333"/>
      <c r="K287" s="1333"/>
      <c r="L287" s="1333"/>
      <c r="M287" s="1333"/>
      <c r="N287" s="1333"/>
      <c r="O287" s="1333"/>
      <c r="P287" s="1333"/>
      <c r="Q287" s="1333"/>
      <c r="R287" s="1333"/>
      <c r="T287" s="3" t="s">
        <v>1119</v>
      </c>
      <c r="V287" s="3"/>
      <c r="W287" s="3"/>
      <c r="X287" s="3"/>
      <c r="Y287" s="3"/>
      <c r="AA287" s="1333" t="s">
        <v>1120</v>
      </c>
      <c r="AB287" s="1333"/>
      <c r="AC287" s="1333"/>
      <c r="AD287" s="1333"/>
      <c r="AE287" s="1333"/>
      <c r="AF287" s="1333"/>
      <c r="AG287" s="1333"/>
      <c r="AH287" s="1333"/>
      <c r="AI287" s="1333"/>
      <c r="AJ287" s="1333"/>
      <c r="AK287" s="1333"/>
    </row>
    <row r="288" spans="1:51" ht="13.15" customHeight="1">
      <c r="B288" s="3" t="s">
        <v>1121</v>
      </c>
      <c r="C288" s="3"/>
      <c r="D288" s="3"/>
      <c r="E288" s="3"/>
      <c r="F288" s="3"/>
      <c r="H288" s="1310" t="s">
        <v>1061</v>
      </c>
      <c r="I288" s="1310"/>
      <c r="J288" s="1310"/>
      <c r="K288" s="1310"/>
      <c r="L288" s="1310"/>
      <c r="M288" s="1310"/>
      <c r="N288" s="1310"/>
      <c r="O288" s="1310"/>
      <c r="P288" s="1310"/>
      <c r="Q288" s="1310"/>
      <c r="R288" s="1310"/>
      <c r="T288" s="3" t="s">
        <v>1121</v>
      </c>
      <c r="V288" s="3"/>
      <c r="W288" s="3"/>
      <c r="X288" s="3"/>
      <c r="Y288" s="3"/>
      <c r="AA288" s="1310" t="s">
        <v>1122</v>
      </c>
      <c r="AB288" s="1310"/>
      <c r="AC288" s="1310"/>
      <c r="AD288" s="1310"/>
      <c r="AE288" s="1310"/>
      <c r="AF288" s="1310"/>
      <c r="AG288" s="1310"/>
      <c r="AH288" s="1310"/>
      <c r="AI288" s="1310"/>
      <c r="AJ288" s="1310"/>
      <c r="AK288" s="1310"/>
    </row>
    <row r="289" spans="2:37" ht="13.15" customHeight="1">
      <c r="B289" s="3" t="s">
        <v>1123</v>
      </c>
      <c r="C289" s="3"/>
      <c r="D289" s="3"/>
      <c r="E289" s="3"/>
      <c r="F289" s="3"/>
      <c r="H289" s="1310" t="s">
        <v>1124</v>
      </c>
      <c r="I289" s="1310"/>
      <c r="J289" s="1310"/>
      <c r="K289" s="1310"/>
      <c r="L289" s="1310"/>
      <c r="M289" s="1310"/>
      <c r="N289" s="1310"/>
      <c r="O289" s="1310"/>
      <c r="P289" s="1310"/>
      <c r="Q289" s="1310"/>
      <c r="R289" s="1310"/>
      <c r="T289" s="3" t="s">
        <v>1125</v>
      </c>
      <c r="V289" s="3"/>
      <c r="W289" s="3"/>
      <c r="X289" s="3"/>
      <c r="Y289" s="3"/>
      <c r="AA289" s="1310" t="s">
        <v>1126</v>
      </c>
      <c r="AB289" s="1310"/>
      <c r="AC289" s="1310"/>
      <c r="AD289" s="1310"/>
      <c r="AE289" s="1310"/>
      <c r="AF289" s="1310"/>
      <c r="AG289" s="1310"/>
      <c r="AH289" s="1310"/>
      <c r="AI289" s="1310"/>
      <c r="AJ289" s="1310"/>
      <c r="AK289" s="1310"/>
    </row>
    <row r="290" spans="2:37" ht="13.15" customHeight="1">
      <c r="B290" s="3" t="s">
        <v>1065</v>
      </c>
      <c r="C290" s="3"/>
      <c r="D290" s="3"/>
      <c r="E290" s="3"/>
      <c r="F290" s="3"/>
      <c r="H290" s="1310" t="s">
        <v>1127</v>
      </c>
      <c r="I290" s="1310"/>
      <c r="J290" s="1310"/>
      <c r="K290" s="1310"/>
      <c r="L290" s="1310"/>
      <c r="M290" s="1310"/>
      <c r="N290" s="1310"/>
      <c r="O290" s="1310"/>
      <c r="P290" s="1310"/>
      <c r="Q290" s="1310"/>
      <c r="R290" s="1310"/>
      <c r="T290" s="3" t="s">
        <v>1065</v>
      </c>
      <c r="V290" s="3"/>
      <c r="W290" s="3"/>
      <c r="X290" s="3"/>
      <c r="Y290" s="3"/>
      <c r="AA290" s="1310" t="s">
        <v>1128</v>
      </c>
      <c r="AB290" s="1310"/>
      <c r="AC290" s="1310"/>
      <c r="AD290" s="1310"/>
      <c r="AE290" s="1310"/>
      <c r="AF290" s="1310"/>
      <c r="AG290" s="1310"/>
      <c r="AH290" s="1310"/>
      <c r="AI290" s="1310"/>
      <c r="AJ290" s="1310"/>
      <c r="AK290" s="1310"/>
    </row>
    <row r="291" spans="2:37" ht="13.15" customHeight="1">
      <c r="B291" s="3" t="s">
        <v>1067</v>
      </c>
      <c r="C291" s="3"/>
      <c r="D291" s="3"/>
      <c r="E291" s="3"/>
      <c r="F291" s="3"/>
      <c r="G291" s="3"/>
      <c r="H291" s="1382" t="s">
        <v>1068</v>
      </c>
      <c r="I291" s="1382"/>
      <c r="J291" s="1382"/>
      <c r="K291" s="1382"/>
      <c r="L291" s="1382"/>
      <c r="M291" s="1382"/>
      <c r="N291" s="3" t="s">
        <v>1069</v>
      </c>
      <c r="O291" s="3"/>
      <c r="P291" s="1377"/>
      <c r="Q291" s="1377"/>
      <c r="R291" s="1377"/>
      <c r="S291" s="3"/>
      <c r="T291" s="3" t="s">
        <v>1067</v>
      </c>
      <c r="V291" s="3"/>
      <c r="W291" s="3"/>
      <c r="X291" s="3"/>
      <c r="Y291" s="3"/>
      <c r="AA291" s="1382" t="s">
        <v>1129</v>
      </c>
      <c r="AB291" s="1382"/>
      <c r="AC291" s="1382"/>
      <c r="AD291" s="1382"/>
      <c r="AE291" s="1382"/>
      <c r="AF291" s="1382"/>
      <c r="AG291" s="3" t="s">
        <v>1069</v>
      </c>
      <c r="AH291" s="3"/>
      <c r="AI291" s="1377"/>
      <c r="AJ291" s="1377"/>
      <c r="AK291" s="1377"/>
    </row>
    <row r="292" spans="2:37" ht="13.15" customHeight="1">
      <c r="B292" s="3" t="s">
        <v>1070</v>
      </c>
      <c r="C292" s="3"/>
      <c r="D292" s="3"/>
      <c r="E292" s="3"/>
      <c r="F292" s="3"/>
      <c r="G292" s="3"/>
      <c r="H292" s="1308"/>
      <c r="I292" s="1308"/>
      <c r="J292" s="1308"/>
      <c r="K292" s="1308"/>
      <c r="L292" s="1308"/>
      <c r="M292" s="1308"/>
      <c r="N292" s="3"/>
      <c r="O292" s="3"/>
      <c r="P292" s="84"/>
      <c r="Q292" s="84"/>
      <c r="R292" s="84"/>
      <c r="S292" s="3"/>
      <c r="T292" s="3" t="s">
        <v>1070</v>
      </c>
      <c r="V292" s="3"/>
      <c r="W292" s="3"/>
      <c r="X292" s="3"/>
      <c r="Y292" s="3"/>
      <c r="AA292" s="1308"/>
      <c r="AB292" s="1308"/>
      <c r="AC292" s="1308"/>
      <c r="AD292" s="1308"/>
      <c r="AE292" s="1308"/>
      <c r="AF292" s="1308"/>
      <c r="AG292" s="3"/>
      <c r="AH292" s="3"/>
      <c r="AI292" s="84"/>
      <c r="AJ292" s="84"/>
      <c r="AK292" s="84"/>
    </row>
    <row r="293" spans="2:37" ht="13.15" customHeight="1">
      <c r="B293" s="3" t="s">
        <v>1130</v>
      </c>
      <c r="C293" s="3"/>
      <c r="D293" s="3"/>
      <c r="E293" s="3"/>
      <c r="F293" s="3"/>
      <c r="G293" s="3"/>
      <c r="H293" s="1310" t="s">
        <v>1073</v>
      </c>
      <c r="I293" s="1310"/>
      <c r="J293" s="1310"/>
      <c r="K293" s="1310"/>
      <c r="L293" s="1310"/>
      <c r="M293" s="1310"/>
      <c r="N293" s="1333"/>
      <c r="O293" s="1333"/>
      <c r="P293" s="1333"/>
      <c r="Q293" s="1333"/>
      <c r="R293" s="1333"/>
      <c r="S293" s="3"/>
      <c r="T293" s="3" t="s">
        <v>1130</v>
      </c>
      <c r="V293" s="3"/>
      <c r="W293" s="3"/>
      <c r="X293" s="3"/>
      <c r="Y293" s="3"/>
      <c r="AA293" s="1310" t="s">
        <v>1131</v>
      </c>
      <c r="AB293" s="1310"/>
      <c r="AC293" s="1310"/>
      <c r="AD293" s="1310"/>
      <c r="AE293" s="1310"/>
      <c r="AF293" s="1310"/>
      <c r="AG293" s="1333"/>
      <c r="AH293" s="1333"/>
      <c r="AI293" s="1333"/>
      <c r="AJ293" s="1333"/>
      <c r="AK293" s="1333"/>
    </row>
    <row r="294" spans="2:37" ht="13.1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15" customHeight="1">
      <c r="B295" s="3" t="s">
        <v>1132</v>
      </c>
      <c r="C295" s="3"/>
      <c r="D295" s="3"/>
      <c r="E295" s="3"/>
      <c r="F295" s="3"/>
      <c r="H295" s="1333" t="s">
        <v>1133</v>
      </c>
      <c r="I295" s="1333"/>
      <c r="J295" s="1333"/>
      <c r="K295" s="1333"/>
      <c r="L295" s="1333"/>
      <c r="M295" s="1333"/>
      <c r="N295" s="1333"/>
      <c r="O295" s="1333"/>
      <c r="P295" s="1333"/>
      <c r="Q295" s="1333"/>
      <c r="R295" s="1333"/>
      <c r="T295" s="3" t="s">
        <v>1134</v>
      </c>
      <c r="V295" s="3"/>
      <c r="W295" s="3"/>
      <c r="X295" s="3"/>
      <c r="Y295" s="3"/>
      <c r="AA295" s="1333" t="s">
        <v>1135</v>
      </c>
      <c r="AB295" s="1333"/>
      <c r="AC295" s="1333"/>
      <c r="AD295" s="1333"/>
      <c r="AE295" s="1333"/>
      <c r="AF295" s="1333"/>
      <c r="AG295" s="1333"/>
      <c r="AH295" s="1333"/>
      <c r="AI295" s="1333"/>
      <c r="AJ295" s="1333"/>
      <c r="AK295" s="1333"/>
    </row>
    <row r="296" spans="2:37" ht="13.15" customHeight="1">
      <c r="B296" s="3" t="s">
        <v>1121</v>
      </c>
      <c r="C296" s="3"/>
      <c r="D296" s="3"/>
      <c r="E296" s="3"/>
      <c r="F296" s="3"/>
      <c r="H296" s="1310" t="s">
        <v>1136</v>
      </c>
      <c r="I296" s="1310"/>
      <c r="J296" s="1310"/>
      <c r="K296" s="1310"/>
      <c r="L296" s="1310"/>
      <c r="M296" s="1310"/>
      <c r="N296" s="1310"/>
      <c r="O296" s="1310"/>
      <c r="P296" s="1310"/>
      <c r="Q296" s="1310"/>
      <c r="R296" s="1310"/>
      <c r="T296" s="3" t="s">
        <v>1121</v>
      </c>
      <c r="V296" s="3"/>
      <c r="W296" s="3"/>
      <c r="X296" s="3"/>
      <c r="Y296" s="3"/>
      <c r="AA296" s="1310" t="s">
        <v>1137</v>
      </c>
      <c r="AB296" s="1310"/>
      <c r="AC296" s="1310"/>
      <c r="AD296" s="1310"/>
      <c r="AE296" s="1310"/>
      <c r="AF296" s="1310"/>
      <c r="AG296" s="1310"/>
      <c r="AH296" s="1310"/>
      <c r="AI296" s="1310"/>
      <c r="AJ296" s="1310"/>
      <c r="AK296" s="1310"/>
    </row>
    <row r="297" spans="2:37" ht="13.15" customHeight="1">
      <c r="B297" s="3" t="s">
        <v>1123</v>
      </c>
      <c r="C297" s="3"/>
      <c r="D297" s="3"/>
      <c r="E297" s="3"/>
      <c r="F297" s="3"/>
      <c r="H297" s="1310" t="s">
        <v>1138</v>
      </c>
      <c r="I297" s="1310"/>
      <c r="J297" s="1310"/>
      <c r="K297" s="1310"/>
      <c r="L297" s="1310"/>
      <c r="M297" s="1310"/>
      <c r="N297" s="1310"/>
      <c r="O297" s="1310"/>
      <c r="P297" s="1310"/>
      <c r="Q297" s="1310"/>
      <c r="R297" s="1310"/>
      <c r="T297" s="3" t="s">
        <v>1125</v>
      </c>
      <c r="V297" s="3"/>
      <c r="W297" s="3"/>
      <c r="X297" s="3"/>
      <c r="Y297" s="3"/>
      <c r="AA297" s="1310" t="s">
        <v>1139</v>
      </c>
      <c r="AB297" s="1310"/>
      <c r="AC297" s="1310"/>
      <c r="AD297" s="1310"/>
      <c r="AE297" s="1310"/>
      <c r="AF297" s="1310"/>
      <c r="AG297" s="1310"/>
      <c r="AH297" s="1310"/>
      <c r="AI297" s="1310"/>
      <c r="AJ297" s="1310"/>
      <c r="AK297" s="1310"/>
    </row>
    <row r="298" spans="2:37" ht="13.15" customHeight="1">
      <c r="B298" s="3" t="s">
        <v>1065</v>
      </c>
      <c r="C298" s="3"/>
      <c r="D298" s="3"/>
      <c r="E298" s="3"/>
      <c r="F298" s="3"/>
      <c r="H298" s="1310" t="s">
        <v>1140</v>
      </c>
      <c r="I298" s="1310"/>
      <c r="J298" s="1310"/>
      <c r="K298" s="1310"/>
      <c r="L298" s="1310"/>
      <c r="M298" s="1310"/>
      <c r="N298" s="1310"/>
      <c r="O298" s="1310"/>
      <c r="P298" s="1310"/>
      <c r="Q298" s="1310"/>
      <c r="R298" s="1310"/>
      <c r="T298" s="3" t="s">
        <v>1065</v>
      </c>
      <c r="V298" s="3"/>
      <c r="W298" s="3"/>
      <c r="X298" s="3"/>
      <c r="Y298" s="3"/>
      <c r="AA298" s="1310" t="s">
        <v>1141</v>
      </c>
      <c r="AB298" s="1310"/>
      <c r="AC298" s="1310"/>
      <c r="AD298" s="1310"/>
      <c r="AE298" s="1310"/>
      <c r="AF298" s="1310"/>
      <c r="AG298" s="1310"/>
      <c r="AH298" s="1310"/>
      <c r="AI298" s="1310"/>
      <c r="AJ298" s="1310"/>
      <c r="AK298" s="1310"/>
    </row>
    <row r="299" spans="2:37" ht="13.15" customHeight="1">
      <c r="B299" s="3" t="s">
        <v>1067</v>
      </c>
      <c r="C299" s="3"/>
      <c r="D299" s="3"/>
      <c r="E299" s="3"/>
      <c r="F299" s="3"/>
      <c r="G299" s="3"/>
      <c r="H299" s="1382" t="s">
        <v>1142</v>
      </c>
      <c r="I299" s="1382"/>
      <c r="J299" s="1382"/>
      <c r="K299" s="1382"/>
      <c r="L299" s="1382"/>
      <c r="M299" s="1382"/>
      <c r="N299" s="3" t="s">
        <v>1069</v>
      </c>
      <c r="O299" s="3"/>
      <c r="P299" s="1377"/>
      <c r="Q299" s="1377"/>
      <c r="R299" s="1377"/>
      <c r="S299" s="3"/>
      <c r="T299" s="3" t="s">
        <v>1067</v>
      </c>
      <c r="V299" s="3"/>
      <c r="W299" s="3"/>
      <c r="X299" s="3"/>
      <c r="Y299" s="3"/>
      <c r="AA299" s="1382" t="s">
        <v>1143</v>
      </c>
      <c r="AB299" s="1382"/>
      <c r="AC299" s="1382"/>
      <c r="AD299" s="1382"/>
      <c r="AE299" s="1382"/>
      <c r="AF299" s="1382"/>
      <c r="AG299" s="3" t="s">
        <v>1069</v>
      </c>
      <c r="AH299" s="3"/>
      <c r="AI299" s="1377"/>
      <c r="AJ299" s="1377"/>
      <c r="AK299" s="1377"/>
    </row>
    <row r="300" spans="2:37" ht="13.15" customHeight="1">
      <c r="B300" s="3" t="s">
        <v>1070</v>
      </c>
      <c r="C300" s="3"/>
      <c r="D300" s="3"/>
      <c r="E300" s="3"/>
      <c r="F300" s="3"/>
      <c r="G300" s="3"/>
      <c r="H300" s="1308"/>
      <c r="I300" s="1308"/>
      <c r="J300" s="1308"/>
      <c r="K300" s="1308"/>
      <c r="L300" s="1308"/>
      <c r="M300" s="1308"/>
      <c r="N300" s="3"/>
      <c r="O300" s="3"/>
      <c r="P300" s="84"/>
      <c r="Q300" s="84"/>
      <c r="R300" s="84"/>
      <c r="S300" s="3"/>
      <c r="T300" s="3" t="s">
        <v>1070</v>
      </c>
      <c r="V300" s="3"/>
      <c r="W300" s="3"/>
      <c r="X300" s="3"/>
      <c r="Y300" s="3"/>
      <c r="AA300" s="1308"/>
      <c r="AB300" s="1308"/>
      <c r="AC300" s="1308"/>
      <c r="AD300" s="1308"/>
      <c r="AE300" s="1308"/>
      <c r="AF300" s="1308"/>
      <c r="AG300" s="3"/>
      <c r="AH300" s="3"/>
      <c r="AI300" s="84"/>
      <c r="AJ300" s="84"/>
      <c r="AK300" s="84"/>
    </row>
    <row r="301" spans="2:37" ht="13.15" customHeight="1">
      <c r="B301" s="3" t="s">
        <v>1130</v>
      </c>
      <c r="C301" s="3"/>
      <c r="D301" s="3"/>
      <c r="E301" s="3"/>
      <c r="F301" s="3"/>
      <c r="G301" s="3"/>
      <c r="H301" s="1310" t="s">
        <v>1144</v>
      </c>
      <c r="I301" s="1310"/>
      <c r="J301" s="1310"/>
      <c r="K301" s="1310"/>
      <c r="L301" s="1310"/>
      <c r="M301" s="1310"/>
      <c r="N301" s="1333"/>
      <c r="O301" s="1333"/>
      <c r="P301" s="1333"/>
      <c r="Q301" s="1333"/>
      <c r="R301" s="1333"/>
      <c r="S301" s="3"/>
      <c r="T301" s="3" t="s">
        <v>1130</v>
      </c>
      <c r="V301" s="3"/>
      <c r="W301" s="3"/>
      <c r="X301" s="3"/>
      <c r="Y301" s="3"/>
      <c r="AA301" s="1310"/>
      <c r="AB301" s="1310"/>
      <c r="AC301" s="1310"/>
      <c r="AD301" s="1310"/>
      <c r="AE301" s="1310"/>
      <c r="AF301" s="1310"/>
      <c r="AG301" s="1333"/>
      <c r="AH301" s="1333"/>
      <c r="AI301" s="1333"/>
      <c r="AJ301" s="1333"/>
      <c r="AK301" s="1333"/>
    </row>
    <row r="302" spans="2:37" ht="13.15" customHeight="1"/>
    <row r="303" spans="2:37" ht="13.15" customHeight="1">
      <c r="B303" s="3" t="s">
        <v>1145</v>
      </c>
      <c r="C303" s="3"/>
      <c r="D303" s="3"/>
      <c r="E303" s="3"/>
      <c r="F303" s="3"/>
      <c r="H303" s="1333" t="s">
        <v>1146</v>
      </c>
      <c r="I303" s="1333"/>
      <c r="J303" s="1333"/>
      <c r="K303" s="1333"/>
      <c r="L303" s="1333"/>
      <c r="M303" s="1333"/>
      <c r="N303" s="1333"/>
      <c r="O303" s="1333"/>
      <c r="P303" s="1333"/>
      <c r="Q303" s="1333"/>
      <c r="R303" s="1333"/>
      <c r="T303" s="3" t="s">
        <v>1147</v>
      </c>
      <c r="V303" s="3"/>
      <c r="W303" s="3"/>
      <c r="X303" s="3"/>
      <c r="Y303" s="3"/>
      <c r="AA303" s="1333" t="s">
        <v>1148</v>
      </c>
      <c r="AB303" s="1333"/>
      <c r="AC303" s="1333"/>
      <c r="AD303" s="1333"/>
      <c r="AE303" s="1333"/>
      <c r="AF303" s="1333"/>
      <c r="AG303" s="1333"/>
      <c r="AH303" s="1333"/>
      <c r="AI303" s="1333"/>
      <c r="AJ303" s="1333"/>
      <c r="AK303" s="1333"/>
    </row>
    <row r="304" spans="2:37" ht="13.15" customHeight="1">
      <c r="B304" s="3" t="s">
        <v>1121</v>
      </c>
      <c r="C304" s="3"/>
      <c r="D304" s="3"/>
      <c r="E304" s="3"/>
      <c r="F304" s="3"/>
      <c r="H304" s="1310" t="s">
        <v>1149</v>
      </c>
      <c r="I304" s="1310"/>
      <c r="J304" s="1310"/>
      <c r="K304" s="1310"/>
      <c r="L304" s="1310"/>
      <c r="M304" s="1310"/>
      <c r="N304" s="1310"/>
      <c r="O304" s="1310"/>
      <c r="P304" s="1310"/>
      <c r="Q304" s="1310"/>
      <c r="R304" s="1310"/>
      <c r="T304" s="3" t="s">
        <v>1121</v>
      </c>
      <c r="V304" s="3"/>
      <c r="W304" s="3"/>
      <c r="X304" s="3"/>
      <c r="Y304" s="3"/>
      <c r="AA304" s="1310" t="s">
        <v>1150</v>
      </c>
      <c r="AB304" s="1310"/>
      <c r="AC304" s="1310"/>
      <c r="AD304" s="1310"/>
      <c r="AE304" s="1310"/>
      <c r="AF304" s="1310"/>
      <c r="AG304" s="1310"/>
      <c r="AH304" s="1310"/>
      <c r="AI304" s="1310"/>
      <c r="AJ304" s="1310"/>
      <c r="AK304" s="1310"/>
    </row>
    <row r="305" spans="2:37" ht="13.15" customHeight="1">
      <c r="B305" s="3" t="s">
        <v>1123</v>
      </c>
      <c r="C305" s="3"/>
      <c r="D305" s="3"/>
      <c r="E305" s="3"/>
      <c r="F305" s="3"/>
      <c r="H305" s="1310" t="s">
        <v>1151</v>
      </c>
      <c r="I305" s="1310"/>
      <c r="J305" s="1310"/>
      <c r="K305" s="1310"/>
      <c r="L305" s="1310"/>
      <c r="M305" s="1310"/>
      <c r="N305" s="1310"/>
      <c r="O305" s="1310"/>
      <c r="P305" s="1310"/>
      <c r="Q305" s="1310"/>
      <c r="R305" s="1310"/>
      <c r="T305" s="3" t="s">
        <v>1125</v>
      </c>
      <c r="V305" s="3"/>
      <c r="W305" s="3"/>
      <c r="X305" s="3"/>
      <c r="Y305" s="3"/>
      <c r="AA305" s="1310" t="s">
        <v>1152</v>
      </c>
      <c r="AB305" s="1310"/>
      <c r="AC305" s="1310"/>
      <c r="AD305" s="1310"/>
      <c r="AE305" s="1310"/>
      <c r="AF305" s="1310"/>
      <c r="AG305" s="1310"/>
      <c r="AH305" s="1310"/>
      <c r="AI305" s="1310"/>
      <c r="AJ305" s="1310"/>
      <c r="AK305" s="1310"/>
    </row>
    <row r="306" spans="2:37" ht="13.15" customHeight="1">
      <c r="B306" s="3" t="s">
        <v>1065</v>
      </c>
      <c r="C306" s="3"/>
      <c r="D306" s="3"/>
      <c r="E306" s="3"/>
      <c r="F306" s="3"/>
      <c r="H306" s="1310" t="s">
        <v>1153</v>
      </c>
      <c r="I306" s="1310"/>
      <c r="J306" s="1310"/>
      <c r="K306" s="1310"/>
      <c r="L306" s="1310"/>
      <c r="M306" s="1310"/>
      <c r="N306" s="1310"/>
      <c r="O306" s="1310"/>
      <c r="P306" s="1310"/>
      <c r="Q306" s="1310"/>
      <c r="R306" s="1310"/>
      <c r="T306" s="3" t="s">
        <v>1065</v>
      </c>
      <c r="V306" s="3"/>
      <c r="W306" s="3"/>
      <c r="X306" s="3"/>
      <c r="Y306" s="3"/>
      <c r="AA306" s="1310" t="s">
        <v>1154</v>
      </c>
      <c r="AB306" s="1310"/>
      <c r="AC306" s="1310"/>
      <c r="AD306" s="1310"/>
      <c r="AE306" s="1310"/>
      <c r="AF306" s="1310"/>
      <c r="AG306" s="1310"/>
      <c r="AH306" s="1310"/>
      <c r="AI306" s="1310"/>
      <c r="AJ306" s="1310"/>
      <c r="AK306" s="1310"/>
    </row>
    <row r="307" spans="2:37" ht="13.15" customHeight="1">
      <c r="B307" s="3" t="s">
        <v>1067</v>
      </c>
      <c r="C307" s="3"/>
      <c r="D307" s="3"/>
      <c r="E307" s="3"/>
      <c r="F307" s="3"/>
      <c r="G307" s="3"/>
      <c r="H307" s="1382" t="s">
        <v>1155</v>
      </c>
      <c r="I307" s="1382"/>
      <c r="J307" s="1382"/>
      <c r="K307" s="1382"/>
      <c r="L307" s="1382"/>
      <c r="M307" s="1382"/>
      <c r="N307" s="3" t="s">
        <v>1069</v>
      </c>
      <c r="O307" s="3"/>
      <c r="P307" s="1377"/>
      <c r="Q307" s="1377"/>
      <c r="R307" s="1377"/>
      <c r="S307" s="3"/>
      <c r="T307" s="3" t="s">
        <v>1067</v>
      </c>
      <c r="V307" s="3"/>
      <c r="W307" s="3"/>
      <c r="X307" s="3"/>
      <c r="Y307" s="3"/>
      <c r="AA307" s="1382" t="s">
        <v>1156</v>
      </c>
      <c r="AB307" s="1382"/>
      <c r="AC307" s="1382"/>
      <c r="AD307" s="1382"/>
      <c r="AE307" s="1382"/>
      <c r="AF307" s="1382"/>
      <c r="AG307" s="3" t="s">
        <v>1069</v>
      </c>
      <c r="AH307" s="3"/>
      <c r="AI307" s="1377"/>
      <c r="AJ307" s="1377"/>
      <c r="AK307" s="1377"/>
    </row>
    <row r="308" spans="2:37" ht="13.15" customHeight="1">
      <c r="B308" s="3" t="s">
        <v>1070</v>
      </c>
      <c r="C308" s="3"/>
      <c r="D308" s="3"/>
      <c r="E308" s="3"/>
      <c r="F308" s="3"/>
      <c r="G308" s="3"/>
      <c r="H308" s="1308"/>
      <c r="I308" s="1308"/>
      <c r="J308" s="1308"/>
      <c r="K308" s="1308"/>
      <c r="L308" s="1308"/>
      <c r="M308" s="1308"/>
      <c r="N308" s="3"/>
      <c r="O308" s="3"/>
      <c r="P308" s="84"/>
      <c r="Q308" s="84"/>
      <c r="R308" s="84"/>
      <c r="S308" s="3"/>
      <c r="T308" s="3" t="s">
        <v>1070</v>
      </c>
      <c r="V308" s="3"/>
      <c r="W308" s="3"/>
      <c r="X308" s="3"/>
      <c r="Y308" s="3"/>
      <c r="AA308" s="1308"/>
      <c r="AB308" s="1308"/>
      <c r="AC308" s="1308"/>
      <c r="AD308" s="1308"/>
      <c r="AE308" s="1308"/>
      <c r="AF308" s="1308"/>
      <c r="AG308" s="3"/>
      <c r="AH308" s="3"/>
      <c r="AI308" s="84"/>
      <c r="AJ308" s="84"/>
      <c r="AK308" s="84"/>
    </row>
    <row r="309" spans="2:37" ht="13.15" customHeight="1">
      <c r="B309" s="3" t="s">
        <v>1130</v>
      </c>
      <c r="C309" s="3"/>
      <c r="D309" s="3"/>
      <c r="E309" s="3"/>
      <c r="F309" s="3"/>
      <c r="G309" s="3"/>
      <c r="H309" s="1310" t="s">
        <v>1157</v>
      </c>
      <c r="I309" s="1310"/>
      <c r="J309" s="1310"/>
      <c r="K309" s="1310"/>
      <c r="L309" s="1310"/>
      <c r="M309" s="1310"/>
      <c r="N309" s="1333"/>
      <c r="O309" s="1333"/>
      <c r="P309" s="1333"/>
      <c r="Q309" s="1333"/>
      <c r="R309" s="1333"/>
      <c r="S309" s="3"/>
      <c r="T309" s="3" t="s">
        <v>1130</v>
      </c>
      <c r="V309" s="3"/>
      <c r="W309" s="3"/>
      <c r="X309" s="3"/>
      <c r="Y309" s="3"/>
      <c r="AA309" s="1310"/>
      <c r="AB309" s="1310"/>
      <c r="AC309" s="1310"/>
      <c r="AD309" s="1310"/>
      <c r="AE309" s="1310"/>
      <c r="AF309" s="1310"/>
      <c r="AG309" s="1333"/>
      <c r="AH309" s="1333"/>
      <c r="AI309" s="1333"/>
      <c r="AJ309" s="1333"/>
      <c r="AK309" s="1333"/>
    </row>
    <row r="310" spans="2:37" ht="13.1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15" customHeight="1">
      <c r="B311" s="3" t="s">
        <v>1158</v>
      </c>
      <c r="C311" s="3"/>
      <c r="D311" s="3"/>
      <c r="E311" s="3"/>
      <c r="F311" s="3"/>
      <c r="H311" s="1333" t="s">
        <v>1159</v>
      </c>
      <c r="I311" s="1333"/>
      <c r="J311" s="1333"/>
      <c r="K311" s="1333"/>
      <c r="L311" s="1333"/>
      <c r="M311" s="1333"/>
      <c r="N311" s="1333"/>
      <c r="O311" s="1333"/>
      <c r="P311" s="1333"/>
      <c r="Q311" s="1333"/>
      <c r="R311" s="1333"/>
      <c r="S311" s="3"/>
      <c r="T311" s="3" t="s">
        <v>1160</v>
      </c>
      <c r="V311" s="3"/>
      <c r="W311" s="3"/>
      <c r="X311" s="3"/>
      <c r="Y311" s="3"/>
      <c r="AA311" s="1333" t="s">
        <v>1161</v>
      </c>
      <c r="AB311" s="1333"/>
      <c r="AC311" s="1333"/>
      <c r="AD311" s="1333"/>
      <c r="AE311" s="1333"/>
      <c r="AF311" s="1333"/>
      <c r="AG311" s="1333"/>
      <c r="AH311" s="1333"/>
      <c r="AI311" s="1333"/>
      <c r="AJ311" s="1333"/>
      <c r="AK311" s="1333"/>
    </row>
    <row r="312" spans="2:37" ht="13.15" customHeight="1">
      <c r="B312" s="3" t="s">
        <v>1121</v>
      </c>
      <c r="C312" s="3"/>
      <c r="D312" s="3"/>
      <c r="E312" s="3"/>
      <c r="F312" s="3"/>
      <c r="H312" s="1310" t="s">
        <v>1162</v>
      </c>
      <c r="I312" s="1310"/>
      <c r="J312" s="1310"/>
      <c r="K312" s="1310"/>
      <c r="L312" s="1310"/>
      <c r="M312" s="1310"/>
      <c r="N312" s="1310"/>
      <c r="O312" s="1310"/>
      <c r="P312" s="1310"/>
      <c r="Q312" s="1310"/>
      <c r="R312" s="1310"/>
      <c r="S312" s="3"/>
      <c r="T312" s="3" t="s">
        <v>1121</v>
      </c>
      <c r="V312" s="3"/>
      <c r="W312" s="3"/>
      <c r="X312" s="3"/>
      <c r="Y312" s="3"/>
      <c r="AA312" s="1310" t="s">
        <v>1163</v>
      </c>
      <c r="AB312" s="1310"/>
      <c r="AC312" s="1310"/>
      <c r="AD312" s="1310"/>
      <c r="AE312" s="1310"/>
      <c r="AF312" s="1310"/>
      <c r="AG312" s="1310"/>
      <c r="AH312" s="1310"/>
      <c r="AI312" s="1310"/>
      <c r="AJ312" s="1310"/>
      <c r="AK312" s="1310"/>
    </row>
    <row r="313" spans="2:37" ht="13.15" customHeight="1">
      <c r="B313" s="3" t="s">
        <v>1123</v>
      </c>
      <c r="C313" s="3"/>
      <c r="D313" s="3"/>
      <c r="E313" s="3"/>
      <c r="F313" s="3"/>
      <c r="H313" s="1310" t="s">
        <v>1164</v>
      </c>
      <c r="I313" s="1310"/>
      <c r="J313" s="1310"/>
      <c r="K313" s="1310"/>
      <c r="L313" s="1310"/>
      <c r="M313" s="1310"/>
      <c r="N313" s="1310"/>
      <c r="O313" s="1310"/>
      <c r="P313" s="1310"/>
      <c r="Q313" s="1310"/>
      <c r="R313" s="1310"/>
      <c r="S313" s="3"/>
      <c r="T313" s="3" t="s">
        <v>1125</v>
      </c>
      <c r="V313" s="3"/>
      <c r="W313" s="3"/>
      <c r="X313" s="3"/>
      <c r="Y313" s="3"/>
      <c r="AA313" s="1310" t="s">
        <v>1165</v>
      </c>
      <c r="AB313" s="1310"/>
      <c r="AC313" s="1310"/>
      <c r="AD313" s="1310"/>
      <c r="AE313" s="1310"/>
      <c r="AF313" s="1310"/>
      <c r="AG313" s="1310"/>
      <c r="AH313" s="1310"/>
      <c r="AI313" s="1310"/>
      <c r="AJ313" s="1310"/>
      <c r="AK313" s="1310"/>
    </row>
    <row r="314" spans="2:37" ht="13.15" customHeight="1">
      <c r="B314" s="3" t="s">
        <v>1065</v>
      </c>
      <c r="C314" s="3"/>
      <c r="D314" s="3"/>
      <c r="E314" s="3"/>
      <c r="F314" s="3"/>
      <c r="H314" s="1310" t="s">
        <v>1166</v>
      </c>
      <c r="I314" s="1310"/>
      <c r="J314" s="1310"/>
      <c r="K314" s="1310"/>
      <c r="L314" s="1310"/>
      <c r="M314" s="1310"/>
      <c r="N314" s="1310"/>
      <c r="O314" s="1310"/>
      <c r="P314" s="1310"/>
      <c r="Q314" s="1310"/>
      <c r="R314" s="1310"/>
      <c r="S314" s="3"/>
      <c r="T314" s="3" t="s">
        <v>1065</v>
      </c>
      <c r="V314" s="3"/>
      <c r="W314" s="3"/>
      <c r="X314" s="3"/>
      <c r="Y314" s="3"/>
      <c r="AA314" s="1310" t="s">
        <v>1167</v>
      </c>
      <c r="AB314" s="1310"/>
      <c r="AC314" s="1310"/>
      <c r="AD314" s="1310"/>
      <c r="AE314" s="1310"/>
      <c r="AF314" s="1310"/>
      <c r="AG314" s="1310"/>
      <c r="AH314" s="1310"/>
      <c r="AI314" s="1310"/>
      <c r="AJ314" s="1310"/>
      <c r="AK314" s="1310"/>
    </row>
    <row r="315" spans="2:37" ht="13.15" customHeight="1">
      <c r="B315" s="3" t="s">
        <v>1067</v>
      </c>
      <c r="C315" s="3"/>
      <c r="D315" s="3"/>
      <c r="E315" s="3"/>
      <c r="F315" s="3"/>
      <c r="G315" s="3"/>
      <c r="H315" s="1382" t="s">
        <v>1168</v>
      </c>
      <c r="I315" s="1382"/>
      <c r="J315" s="1382"/>
      <c r="K315" s="1382"/>
      <c r="L315" s="1382"/>
      <c r="M315" s="1382"/>
      <c r="N315" s="3" t="s">
        <v>1069</v>
      </c>
      <c r="O315" s="3"/>
      <c r="P315" s="1377"/>
      <c r="Q315" s="1377"/>
      <c r="R315" s="1377"/>
      <c r="S315" s="3"/>
      <c r="T315" s="3" t="s">
        <v>1067</v>
      </c>
      <c r="V315" s="3"/>
      <c r="W315" s="3"/>
      <c r="X315" s="3"/>
      <c r="Y315" s="3"/>
      <c r="AA315" s="1382" t="s">
        <v>1169</v>
      </c>
      <c r="AB315" s="1382"/>
      <c r="AC315" s="1382"/>
      <c r="AD315" s="1382"/>
      <c r="AE315" s="1382"/>
      <c r="AF315" s="1382"/>
      <c r="AG315" s="3" t="s">
        <v>1069</v>
      </c>
      <c r="AH315" s="3"/>
      <c r="AI315" s="1377"/>
      <c r="AJ315" s="1377"/>
      <c r="AK315" s="1377"/>
    </row>
    <row r="316" spans="2:37" ht="13.15" customHeight="1">
      <c r="B316" s="3" t="s">
        <v>1070</v>
      </c>
      <c r="C316" s="3"/>
      <c r="D316" s="3"/>
      <c r="E316" s="3"/>
      <c r="F316" s="3"/>
      <c r="G316" s="3"/>
      <c r="H316" s="1308"/>
      <c r="I316" s="1308"/>
      <c r="J316" s="1308"/>
      <c r="K316" s="1308"/>
      <c r="L316" s="1308"/>
      <c r="M316" s="1308"/>
      <c r="N316" s="3"/>
      <c r="O316" s="3"/>
      <c r="P316" s="84"/>
      <c r="Q316" s="84"/>
      <c r="R316" s="84"/>
      <c r="S316" s="3"/>
      <c r="T316" s="3" t="s">
        <v>1070</v>
      </c>
      <c r="V316" s="3"/>
      <c r="W316" s="3"/>
      <c r="X316" s="3"/>
      <c r="Y316" s="3"/>
      <c r="AA316" s="1308"/>
      <c r="AB316" s="1308"/>
      <c r="AC316" s="1308"/>
      <c r="AD316" s="1308"/>
      <c r="AE316" s="1308"/>
      <c r="AF316" s="1308"/>
      <c r="AG316" s="3"/>
      <c r="AH316" s="3"/>
      <c r="AI316" s="84"/>
      <c r="AJ316" s="84"/>
      <c r="AK316" s="84"/>
    </row>
    <row r="317" spans="2:37" ht="13.15" customHeight="1">
      <c r="B317" s="3" t="s">
        <v>1130</v>
      </c>
      <c r="C317" s="3"/>
      <c r="D317" s="3"/>
      <c r="E317" s="3"/>
      <c r="F317" s="3"/>
      <c r="G317" s="3"/>
      <c r="H317" s="1310" t="s">
        <v>1157</v>
      </c>
      <c r="I317" s="1310"/>
      <c r="J317" s="1310"/>
      <c r="K317" s="1310"/>
      <c r="L317" s="1310"/>
      <c r="M317" s="1310"/>
      <c r="N317" s="1333"/>
      <c r="O317" s="1333"/>
      <c r="P317" s="1333"/>
      <c r="Q317" s="1333"/>
      <c r="R317" s="1333"/>
      <c r="S317" s="3"/>
      <c r="T317" s="3" t="s">
        <v>1130</v>
      </c>
      <c r="V317" s="3"/>
      <c r="W317" s="3"/>
      <c r="X317" s="3"/>
      <c r="Y317" s="3"/>
      <c r="AA317" s="1310" t="s">
        <v>1170</v>
      </c>
      <c r="AB317" s="1310"/>
      <c r="AC317" s="1310"/>
      <c r="AD317" s="1310"/>
      <c r="AE317" s="1310"/>
      <c r="AF317" s="1310"/>
      <c r="AG317" s="1333"/>
      <c r="AH317" s="1333"/>
      <c r="AI317" s="1333"/>
      <c r="AJ317" s="1333"/>
      <c r="AK317" s="1333"/>
    </row>
    <row r="318" spans="2:37" ht="13.15" customHeight="1"/>
    <row r="319" spans="2:37" ht="13.15" customHeight="1">
      <c r="B319" s="3" t="s">
        <v>1171</v>
      </c>
      <c r="C319" s="3"/>
      <c r="D319" s="3"/>
      <c r="E319" s="3"/>
      <c r="F319" s="3"/>
      <c r="H319" s="1333" t="s">
        <v>1146</v>
      </c>
      <c r="I319" s="1333"/>
      <c r="J319" s="1333"/>
      <c r="K319" s="1333"/>
      <c r="L319" s="1333"/>
      <c r="M319" s="1333"/>
      <c r="N319" s="1333"/>
      <c r="O319" s="1333"/>
      <c r="P319" s="1333"/>
      <c r="Q319" s="1333"/>
      <c r="R319" s="1333"/>
      <c r="T319" s="3" t="s">
        <v>1172</v>
      </c>
      <c r="V319" s="3"/>
      <c r="W319" s="3"/>
      <c r="X319" s="3"/>
      <c r="Y319" s="3"/>
      <c r="AA319" s="1333" t="s">
        <v>1146</v>
      </c>
      <c r="AB319" s="1333"/>
      <c r="AC319" s="1333"/>
      <c r="AD319" s="1333"/>
      <c r="AE319" s="1333"/>
      <c r="AF319" s="1333"/>
      <c r="AG319" s="1333"/>
      <c r="AH319" s="1333"/>
      <c r="AI319" s="1333"/>
      <c r="AJ319" s="1333"/>
      <c r="AK319" s="1333"/>
    </row>
    <row r="320" spans="2:37" ht="13.15" customHeight="1">
      <c r="B320" s="3" t="s">
        <v>1121</v>
      </c>
      <c r="C320" s="3"/>
      <c r="D320" s="3"/>
      <c r="E320" s="3"/>
      <c r="F320" s="3"/>
      <c r="H320" s="1310" t="s">
        <v>1149</v>
      </c>
      <c r="I320" s="1310"/>
      <c r="J320" s="1310"/>
      <c r="K320" s="1310"/>
      <c r="L320" s="1310"/>
      <c r="M320" s="1310"/>
      <c r="N320" s="1310"/>
      <c r="O320" s="1310"/>
      <c r="P320" s="1310"/>
      <c r="Q320" s="1310"/>
      <c r="R320" s="1310"/>
      <c r="T320" s="3" t="s">
        <v>1121</v>
      </c>
      <c r="V320" s="3"/>
      <c r="W320" s="3"/>
      <c r="X320" s="3"/>
      <c r="Y320" s="3"/>
      <c r="AA320" s="1310" t="s">
        <v>1173</v>
      </c>
      <c r="AB320" s="1310"/>
      <c r="AC320" s="1310"/>
      <c r="AD320" s="1310"/>
      <c r="AE320" s="1310"/>
      <c r="AF320" s="1310"/>
      <c r="AG320" s="1310"/>
      <c r="AH320" s="1310"/>
      <c r="AI320" s="1310"/>
      <c r="AJ320" s="1310"/>
      <c r="AK320" s="1310"/>
    </row>
    <row r="321" spans="2:37" ht="13.15" customHeight="1">
      <c r="B321" s="3" t="s">
        <v>1123</v>
      </c>
      <c r="C321" s="3"/>
      <c r="D321" s="3"/>
      <c r="E321" s="3"/>
      <c r="F321" s="3"/>
      <c r="H321" s="1310" t="s">
        <v>1151</v>
      </c>
      <c r="I321" s="1310"/>
      <c r="J321" s="1310"/>
      <c r="K321" s="1310"/>
      <c r="L321" s="1310"/>
      <c r="M321" s="1310"/>
      <c r="N321" s="1310"/>
      <c r="O321" s="1310"/>
      <c r="P321" s="1310"/>
      <c r="Q321" s="1310"/>
      <c r="R321" s="1310"/>
      <c r="T321" s="3" t="s">
        <v>1125</v>
      </c>
      <c r="V321" s="3"/>
      <c r="W321" s="3"/>
      <c r="X321" s="3"/>
      <c r="Y321" s="3"/>
      <c r="AA321" s="1310" t="s">
        <v>1174</v>
      </c>
      <c r="AB321" s="1310"/>
      <c r="AC321" s="1310"/>
      <c r="AD321" s="1310"/>
      <c r="AE321" s="1310"/>
      <c r="AF321" s="1310"/>
      <c r="AG321" s="1310"/>
      <c r="AH321" s="1310"/>
      <c r="AI321" s="1310"/>
      <c r="AJ321" s="1310"/>
      <c r="AK321" s="1310"/>
    </row>
    <row r="322" spans="2:37" ht="13.15" customHeight="1">
      <c r="B322" s="3" t="s">
        <v>1065</v>
      </c>
      <c r="C322" s="3"/>
      <c r="D322" s="3"/>
      <c r="E322" s="3"/>
      <c r="F322" s="3"/>
      <c r="H322" s="1310" t="s">
        <v>1153</v>
      </c>
      <c r="I322" s="1310"/>
      <c r="J322" s="1310"/>
      <c r="K322" s="1310"/>
      <c r="L322" s="1310"/>
      <c r="M322" s="1310"/>
      <c r="N322" s="1310"/>
      <c r="O322" s="1310"/>
      <c r="P322" s="1310"/>
      <c r="Q322" s="1310"/>
      <c r="R322" s="1310"/>
      <c r="T322" s="3" t="s">
        <v>1065</v>
      </c>
      <c r="V322" s="3"/>
      <c r="W322" s="3"/>
      <c r="X322" s="3"/>
      <c r="Y322" s="3"/>
      <c r="AA322" s="1310" t="s">
        <v>1175</v>
      </c>
      <c r="AB322" s="1310"/>
      <c r="AC322" s="1310"/>
      <c r="AD322" s="1310"/>
      <c r="AE322" s="1310"/>
      <c r="AF322" s="1310"/>
      <c r="AG322" s="1310"/>
      <c r="AH322" s="1310"/>
      <c r="AI322" s="1310"/>
      <c r="AJ322" s="1310"/>
      <c r="AK322" s="1310"/>
    </row>
    <row r="323" spans="2:37" ht="13.15" customHeight="1">
      <c r="B323" s="3" t="s">
        <v>1067</v>
      </c>
      <c r="C323" s="3"/>
      <c r="D323" s="3"/>
      <c r="E323" s="3"/>
      <c r="F323" s="3"/>
      <c r="G323" s="3"/>
      <c r="H323" s="1382" t="s">
        <v>1155</v>
      </c>
      <c r="I323" s="1382"/>
      <c r="J323" s="1382"/>
      <c r="K323" s="1382"/>
      <c r="L323" s="1382"/>
      <c r="M323" s="1382"/>
      <c r="N323" s="3" t="s">
        <v>1069</v>
      </c>
      <c r="O323" s="3"/>
      <c r="P323" s="1377"/>
      <c r="Q323" s="1377"/>
      <c r="R323" s="1377"/>
      <c r="S323" s="3"/>
      <c r="T323" s="3" t="s">
        <v>1067</v>
      </c>
      <c r="V323" s="3"/>
      <c r="W323" s="3"/>
      <c r="X323" s="3"/>
      <c r="Y323" s="3"/>
      <c r="AA323" s="1382" t="s">
        <v>1176</v>
      </c>
      <c r="AB323" s="1382"/>
      <c r="AC323" s="1382"/>
      <c r="AD323" s="1382"/>
      <c r="AE323" s="1382"/>
      <c r="AF323" s="1382"/>
      <c r="AG323" s="3" t="s">
        <v>1069</v>
      </c>
      <c r="AH323" s="3"/>
      <c r="AI323" s="1377"/>
      <c r="AJ323" s="1377"/>
      <c r="AK323" s="1377"/>
    </row>
    <row r="324" spans="2:37" ht="13.15" customHeight="1">
      <c r="B324" s="3" t="s">
        <v>1070</v>
      </c>
      <c r="C324" s="3"/>
      <c r="D324" s="3"/>
      <c r="E324" s="3"/>
      <c r="F324" s="3"/>
      <c r="G324" s="3"/>
      <c r="H324" s="1308"/>
      <c r="I324" s="1308"/>
      <c r="J324" s="1308"/>
      <c r="K324" s="1308"/>
      <c r="L324" s="1308"/>
      <c r="M324" s="1308"/>
      <c r="N324" s="3"/>
      <c r="O324" s="3"/>
      <c r="P324" s="84"/>
      <c r="Q324" s="84"/>
      <c r="R324" s="84"/>
      <c r="S324" s="3"/>
      <c r="T324" s="3" t="s">
        <v>1070</v>
      </c>
      <c r="V324" s="3"/>
      <c r="W324" s="3"/>
      <c r="X324" s="3"/>
      <c r="Y324" s="3"/>
      <c r="AA324" s="1308"/>
      <c r="AB324" s="1308"/>
      <c r="AC324" s="1308"/>
      <c r="AD324" s="1308"/>
      <c r="AE324" s="1308"/>
      <c r="AF324" s="1308"/>
      <c r="AG324" s="3"/>
      <c r="AH324" s="3"/>
      <c r="AI324" s="84"/>
      <c r="AJ324" s="84"/>
      <c r="AK324" s="84"/>
    </row>
    <row r="325" spans="2:37" ht="13.15" customHeight="1">
      <c r="B325" s="3" t="s">
        <v>1130</v>
      </c>
      <c r="C325" s="3"/>
      <c r="D325" s="3"/>
      <c r="E325" s="3"/>
      <c r="F325" s="3"/>
      <c r="G325" s="3"/>
      <c r="H325" s="1310" t="s">
        <v>1177</v>
      </c>
      <c r="I325" s="1310"/>
      <c r="J325" s="1310"/>
      <c r="K325" s="1310"/>
      <c r="L325" s="1310"/>
      <c r="M325" s="1310"/>
      <c r="N325" s="1333"/>
      <c r="O325" s="1333"/>
      <c r="P325" s="1333"/>
      <c r="Q325" s="1333"/>
      <c r="R325" s="1333"/>
      <c r="S325" s="3"/>
      <c r="T325" s="3" t="s">
        <v>1130</v>
      </c>
      <c r="V325" s="3"/>
      <c r="W325" s="3"/>
      <c r="X325" s="3"/>
      <c r="Y325" s="3"/>
      <c r="AA325" s="1310" t="s">
        <v>1178</v>
      </c>
      <c r="AB325" s="1310"/>
      <c r="AC325" s="1310"/>
      <c r="AD325" s="1310"/>
      <c r="AE325" s="1310"/>
      <c r="AF325" s="1310"/>
      <c r="AG325" s="1333"/>
      <c r="AH325" s="1333"/>
      <c r="AI325" s="1333"/>
      <c r="AJ325" s="1333"/>
      <c r="AK325" s="1333"/>
    </row>
    <row r="326" spans="2:37" ht="13.15" customHeight="1">
      <c r="B326" s="3"/>
      <c r="C326" s="3"/>
      <c r="D326" s="3"/>
      <c r="E326" s="3"/>
      <c r="F326" s="3"/>
      <c r="G326" s="3"/>
      <c r="P326" s="1162"/>
      <c r="Q326" s="1162"/>
      <c r="R326" s="1162"/>
      <c r="S326" s="1162"/>
      <c r="T326" s="1162"/>
      <c r="U326" s="1162"/>
      <c r="V326" s="3"/>
      <c r="W326" s="3"/>
      <c r="X326" s="84"/>
      <c r="Y326" s="84"/>
      <c r="Z326" s="84"/>
    </row>
    <row r="327" spans="2:37" ht="13.15" customHeight="1">
      <c r="B327" s="3" t="s">
        <v>1179</v>
      </c>
      <c r="C327" s="3"/>
      <c r="D327" s="3"/>
      <c r="E327" s="3"/>
      <c r="F327" s="3"/>
      <c r="H327" s="1333"/>
      <c r="I327" s="1333"/>
      <c r="J327" s="1333"/>
      <c r="K327" s="1333"/>
      <c r="L327" s="1333"/>
      <c r="M327" s="1333"/>
      <c r="N327" s="1333"/>
      <c r="O327" s="1333"/>
      <c r="P327" s="1333"/>
      <c r="Q327" s="1333"/>
      <c r="R327" s="1333"/>
      <c r="T327" s="3" t="s">
        <v>1180</v>
      </c>
      <c r="V327" s="3"/>
      <c r="W327" s="3"/>
      <c r="X327" s="3"/>
      <c r="Y327" s="3"/>
      <c r="AA327" s="1333"/>
      <c r="AB327" s="1333"/>
      <c r="AC327" s="1333"/>
      <c r="AD327" s="1333"/>
      <c r="AE327" s="1333"/>
      <c r="AF327" s="1333"/>
      <c r="AG327" s="1333"/>
      <c r="AH327" s="1333"/>
      <c r="AI327" s="1333"/>
      <c r="AJ327" s="1333"/>
      <c r="AK327" s="1333"/>
    </row>
    <row r="328" spans="2:37" ht="13.15" customHeight="1">
      <c r="B328" s="3" t="s">
        <v>1121</v>
      </c>
      <c r="C328" s="3"/>
      <c r="D328" s="3"/>
      <c r="E328" s="3"/>
      <c r="F328" s="3"/>
      <c r="H328" s="1310"/>
      <c r="I328" s="1310"/>
      <c r="J328" s="1310"/>
      <c r="K328" s="1310"/>
      <c r="L328" s="1310"/>
      <c r="M328" s="1310"/>
      <c r="N328" s="1310"/>
      <c r="O328" s="1310"/>
      <c r="P328" s="1310"/>
      <c r="Q328" s="1310"/>
      <c r="R328" s="1310"/>
      <c r="T328" s="3" t="s">
        <v>1121</v>
      </c>
      <c r="V328" s="3"/>
      <c r="W328" s="3"/>
      <c r="X328" s="3"/>
      <c r="Y328" s="3"/>
      <c r="AA328" s="1310"/>
      <c r="AB328" s="1310"/>
      <c r="AC328" s="1310"/>
      <c r="AD328" s="1310"/>
      <c r="AE328" s="1310"/>
      <c r="AF328" s="1310"/>
      <c r="AG328" s="1310"/>
      <c r="AH328" s="1310"/>
      <c r="AI328" s="1310"/>
      <c r="AJ328" s="1310"/>
      <c r="AK328" s="1310"/>
    </row>
    <row r="329" spans="2:37" ht="13.15" customHeight="1">
      <c r="B329" s="3" t="s">
        <v>1123</v>
      </c>
      <c r="C329" s="3"/>
      <c r="D329" s="3"/>
      <c r="E329" s="3"/>
      <c r="F329" s="3"/>
      <c r="H329" s="1310"/>
      <c r="I329" s="1310"/>
      <c r="J329" s="1310"/>
      <c r="K329" s="1310"/>
      <c r="L329" s="1310"/>
      <c r="M329" s="1310"/>
      <c r="N329" s="1310"/>
      <c r="O329" s="1310"/>
      <c r="P329" s="1310"/>
      <c r="Q329" s="1310"/>
      <c r="R329" s="1310"/>
      <c r="T329" s="3" t="s">
        <v>1125</v>
      </c>
      <c r="V329" s="3"/>
      <c r="W329" s="3"/>
      <c r="X329" s="3"/>
      <c r="Y329" s="3"/>
      <c r="AA329" s="1310"/>
      <c r="AB329" s="1310"/>
      <c r="AC329" s="1310"/>
      <c r="AD329" s="1310"/>
      <c r="AE329" s="1310"/>
      <c r="AF329" s="1310"/>
      <c r="AG329" s="1310"/>
      <c r="AH329" s="1310"/>
      <c r="AI329" s="1310"/>
      <c r="AJ329" s="1310"/>
      <c r="AK329" s="1310"/>
    </row>
    <row r="330" spans="2:37" ht="13.15" customHeight="1">
      <c r="B330" s="3" t="s">
        <v>1065</v>
      </c>
      <c r="C330" s="3"/>
      <c r="D330" s="3"/>
      <c r="E330" s="3"/>
      <c r="F330" s="3"/>
      <c r="H330" s="1310"/>
      <c r="I330" s="1310"/>
      <c r="J330" s="1310"/>
      <c r="K330" s="1310"/>
      <c r="L330" s="1310"/>
      <c r="M330" s="1310"/>
      <c r="N330" s="1310"/>
      <c r="O330" s="1310"/>
      <c r="P330" s="1310"/>
      <c r="Q330" s="1310"/>
      <c r="R330" s="1310"/>
      <c r="T330" s="3" t="s">
        <v>1065</v>
      </c>
      <c r="V330" s="3"/>
      <c r="W330" s="3"/>
      <c r="X330" s="3"/>
      <c r="Y330" s="3"/>
      <c r="AA330" s="1310"/>
      <c r="AB330" s="1310"/>
      <c r="AC330" s="1310"/>
      <c r="AD330" s="1310"/>
      <c r="AE330" s="1310"/>
      <c r="AF330" s="1310"/>
      <c r="AG330" s="1310"/>
      <c r="AH330" s="1310"/>
      <c r="AI330" s="1310"/>
      <c r="AJ330" s="1310"/>
      <c r="AK330" s="1310"/>
    </row>
    <row r="331" spans="2:37" ht="13.15" customHeight="1">
      <c r="B331" s="3" t="s">
        <v>1067</v>
      </c>
      <c r="C331" s="3"/>
      <c r="D331" s="3"/>
      <c r="E331" s="3"/>
      <c r="F331" s="3"/>
      <c r="G331" s="3"/>
      <c r="H331" s="1382"/>
      <c r="I331" s="1382"/>
      <c r="J331" s="1382"/>
      <c r="K331" s="1382"/>
      <c r="L331" s="1382"/>
      <c r="M331" s="1382"/>
      <c r="N331" s="3" t="s">
        <v>1069</v>
      </c>
      <c r="O331" s="3"/>
      <c r="P331" s="1377"/>
      <c r="Q331" s="1377"/>
      <c r="R331" s="1377"/>
      <c r="S331" s="3"/>
      <c r="T331" s="3" t="s">
        <v>1067</v>
      </c>
      <c r="V331" s="3"/>
      <c r="W331" s="3"/>
      <c r="X331" s="3"/>
      <c r="Y331" s="3"/>
      <c r="AA331" s="1382"/>
      <c r="AB331" s="1382"/>
      <c r="AC331" s="1382"/>
      <c r="AD331" s="1382"/>
      <c r="AE331" s="1382"/>
      <c r="AF331" s="1382"/>
      <c r="AG331" s="3" t="s">
        <v>1069</v>
      </c>
      <c r="AH331" s="3"/>
      <c r="AI331" s="1377"/>
      <c r="AJ331" s="1377"/>
      <c r="AK331" s="1377"/>
    </row>
    <row r="332" spans="2:37" ht="13.15" customHeight="1">
      <c r="B332" s="3" t="s">
        <v>1070</v>
      </c>
      <c r="C332" s="3"/>
      <c r="D332" s="3"/>
      <c r="E332" s="3"/>
      <c r="F332" s="3"/>
      <c r="G332" s="3"/>
      <c r="H332" s="1308"/>
      <c r="I332" s="1308"/>
      <c r="J332" s="1308"/>
      <c r="K332" s="1308"/>
      <c r="L332" s="1308"/>
      <c r="M332" s="1308"/>
      <c r="N332" s="3"/>
      <c r="O332" s="3"/>
      <c r="P332" s="84"/>
      <c r="Q332" s="84"/>
      <c r="R332" s="84"/>
      <c r="S332" s="3"/>
      <c r="T332" s="3" t="s">
        <v>1070</v>
      </c>
      <c r="V332" s="3"/>
      <c r="W332" s="3"/>
      <c r="X332" s="3"/>
      <c r="Y332" s="3"/>
      <c r="AA332" s="1308"/>
      <c r="AB332" s="1308"/>
      <c r="AC332" s="1308"/>
      <c r="AD332" s="1308"/>
      <c r="AE332" s="1308"/>
      <c r="AF332" s="1308"/>
      <c r="AG332" s="3"/>
      <c r="AH332" s="3"/>
      <c r="AI332" s="84"/>
      <c r="AJ332" s="84"/>
      <c r="AK332" s="84"/>
    </row>
    <row r="333" spans="2:37" ht="13.15" customHeight="1">
      <c r="B333" s="3" t="s">
        <v>1130</v>
      </c>
      <c r="C333" s="3"/>
      <c r="D333" s="3"/>
      <c r="E333" s="3"/>
      <c r="F333" s="3"/>
      <c r="G333" s="3"/>
      <c r="H333" s="1310"/>
      <c r="I333" s="1310"/>
      <c r="J333" s="1310"/>
      <c r="K333" s="1310"/>
      <c r="L333" s="1310"/>
      <c r="M333" s="1310"/>
      <c r="N333" s="1333"/>
      <c r="O333" s="1333"/>
      <c r="P333" s="1333"/>
      <c r="Q333" s="1333"/>
      <c r="R333" s="1333"/>
      <c r="S333" s="3"/>
      <c r="T333" s="3" t="s">
        <v>1130</v>
      </c>
      <c r="V333" s="3"/>
      <c r="W333" s="3"/>
      <c r="X333" s="3"/>
      <c r="Y333" s="3"/>
      <c r="AA333" s="1310"/>
      <c r="AB333" s="1310"/>
      <c r="AC333" s="1310"/>
      <c r="AD333" s="1310"/>
      <c r="AE333" s="1310"/>
      <c r="AF333" s="1310"/>
      <c r="AG333" s="1333"/>
      <c r="AH333" s="1333"/>
      <c r="AI333" s="1333"/>
      <c r="AJ333" s="1333"/>
      <c r="AK333" s="1333"/>
    </row>
    <row r="334" spans="2:37" ht="13.15" customHeight="1">
      <c r="B334" s="3"/>
      <c r="C334" s="3"/>
      <c r="D334" s="3"/>
      <c r="E334" s="3"/>
      <c r="F334" s="3"/>
      <c r="G334" s="3"/>
      <c r="P334" s="1162"/>
      <c r="Q334" s="1162"/>
      <c r="R334" s="1162"/>
      <c r="S334" s="1162"/>
      <c r="T334" s="1162"/>
      <c r="U334" s="1162"/>
      <c r="V334" s="3"/>
      <c r="W334" s="3"/>
      <c r="X334" s="84"/>
      <c r="Y334" s="84"/>
      <c r="Z334" s="84"/>
    </row>
    <row r="335" spans="2:37" ht="13.15" customHeight="1">
      <c r="B335" s="3" t="s">
        <v>1181</v>
      </c>
      <c r="C335" s="3"/>
      <c r="D335" s="3"/>
      <c r="E335" s="3"/>
      <c r="F335" s="3"/>
      <c r="H335" s="1333" t="s">
        <v>1182</v>
      </c>
      <c r="I335" s="1333"/>
      <c r="J335" s="1333"/>
      <c r="K335" s="1333"/>
      <c r="L335" s="1333"/>
      <c r="M335" s="1333"/>
      <c r="N335" s="1333"/>
      <c r="O335" s="1333"/>
      <c r="P335" s="1333"/>
      <c r="Q335" s="1333"/>
      <c r="R335" s="1333"/>
      <c r="T335" s="136" t="s">
        <v>1183</v>
      </c>
      <c r="V335" s="3"/>
      <c r="W335" s="3"/>
      <c r="X335" s="3"/>
      <c r="Y335" s="3"/>
      <c r="AA335" s="1333" t="s">
        <v>1184</v>
      </c>
      <c r="AB335" s="1333"/>
      <c r="AC335" s="1333"/>
      <c r="AD335" s="1333"/>
      <c r="AE335" s="1333"/>
      <c r="AF335" s="1333"/>
      <c r="AG335" s="1333"/>
      <c r="AH335" s="1333"/>
      <c r="AI335" s="1333"/>
      <c r="AJ335" s="1333"/>
      <c r="AK335" s="1333"/>
    </row>
    <row r="336" spans="2:37" ht="13.15" customHeight="1">
      <c r="B336" s="3" t="s">
        <v>1121</v>
      </c>
      <c r="C336" s="3"/>
      <c r="D336" s="3"/>
      <c r="E336" s="3"/>
      <c r="F336" s="3"/>
      <c r="H336" s="1310" t="s">
        <v>1185</v>
      </c>
      <c r="I336" s="1310"/>
      <c r="J336" s="1310"/>
      <c r="K336" s="1310"/>
      <c r="L336" s="1310"/>
      <c r="M336" s="1310"/>
      <c r="N336" s="1310"/>
      <c r="O336" s="1310"/>
      <c r="P336" s="1310"/>
      <c r="Q336" s="1310"/>
      <c r="R336" s="1310"/>
      <c r="T336" s="3" t="s">
        <v>1121</v>
      </c>
      <c r="V336" s="3"/>
      <c r="W336" s="3"/>
      <c r="X336" s="3"/>
      <c r="Y336" s="3"/>
      <c r="AA336" s="1310" t="s">
        <v>1186</v>
      </c>
      <c r="AB336" s="1310"/>
      <c r="AC336" s="1310"/>
      <c r="AD336" s="1310"/>
      <c r="AE336" s="1310"/>
      <c r="AF336" s="1310"/>
      <c r="AG336" s="1310"/>
      <c r="AH336" s="1310"/>
      <c r="AI336" s="1310"/>
      <c r="AJ336" s="1310"/>
      <c r="AK336" s="1310"/>
    </row>
    <row r="337" spans="1:66" ht="13.15" customHeight="1">
      <c r="B337" s="3" t="s">
        <v>1125</v>
      </c>
      <c r="C337" s="3"/>
      <c r="D337" s="3"/>
      <c r="E337" s="3"/>
      <c r="F337" s="3"/>
      <c r="H337" s="1310" t="s">
        <v>1187</v>
      </c>
      <c r="I337" s="1310"/>
      <c r="J337" s="1310"/>
      <c r="K337" s="1310"/>
      <c r="L337" s="1310"/>
      <c r="M337" s="1310"/>
      <c r="N337" s="1310"/>
      <c r="O337" s="1310"/>
      <c r="P337" s="1310"/>
      <c r="Q337" s="1310"/>
      <c r="R337" s="1310"/>
      <c r="T337" s="3" t="s">
        <v>1125</v>
      </c>
      <c r="V337" s="3"/>
      <c r="W337" s="3"/>
      <c r="X337" s="3"/>
      <c r="Y337" s="3"/>
      <c r="AA337" s="1310" t="s">
        <v>1188</v>
      </c>
      <c r="AB337" s="1310"/>
      <c r="AC337" s="1310"/>
      <c r="AD337" s="1310"/>
      <c r="AE337" s="1310"/>
      <c r="AF337" s="1310"/>
      <c r="AG337" s="1310"/>
      <c r="AH337" s="1310"/>
      <c r="AI337" s="1310"/>
      <c r="AJ337" s="1310"/>
      <c r="AK337" s="1310"/>
    </row>
    <row r="338" spans="1:66" ht="13.15" customHeight="1">
      <c r="B338" s="3" t="s">
        <v>1065</v>
      </c>
      <c r="C338" s="3"/>
      <c r="D338" s="3"/>
      <c r="E338" s="3"/>
      <c r="F338" s="3"/>
      <c r="G338" s="3"/>
      <c r="H338" s="1310" t="s">
        <v>1189</v>
      </c>
      <c r="I338" s="1310"/>
      <c r="J338" s="1310"/>
      <c r="K338" s="1310"/>
      <c r="L338" s="1310"/>
      <c r="M338" s="1310"/>
      <c r="N338" s="1310"/>
      <c r="O338" s="1310"/>
      <c r="P338" s="1310"/>
      <c r="Q338" s="1310"/>
      <c r="R338" s="1310"/>
      <c r="T338" s="3" t="s">
        <v>1065</v>
      </c>
      <c r="V338" s="3"/>
      <c r="W338" s="3"/>
      <c r="X338" s="3"/>
      <c r="Y338" s="3"/>
      <c r="AA338" s="1310" t="s">
        <v>1190</v>
      </c>
      <c r="AB338" s="1310"/>
      <c r="AC338" s="1310"/>
      <c r="AD338" s="1310"/>
      <c r="AE338" s="1310"/>
      <c r="AF338" s="1310"/>
      <c r="AG338" s="1310"/>
      <c r="AH338" s="1310"/>
      <c r="AI338" s="1310"/>
      <c r="AJ338" s="1310"/>
      <c r="AK338" s="1310"/>
    </row>
    <row r="339" spans="1:66" ht="13.15" customHeight="1">
      <c r="B339" s="3" t="s">
        <v>1067</v>
      </c>
      <c r="C339" s="3"/>
      <c r="D339" s="3"/>
      <c r="E339" s="3"/>
      <c r="F339" s="3"/>
      <c r="G339" s="3"/>
      <c r="H339" s="1382"/>
      <c r="I339" s="1382"/>
      <c r="J339" s="1382"/>
      <c r="K339" s="1382"/>
      <c r="L339" s="1382"/>
      <c r="M339" s="1382"/>
      <c r="N339" s="3" t="s">
        <v>1069</v>
      </c>
      <c r="O339" s="3"/>
      <c r="P339" s="1377"/>
      <c r="Q339" s="1377"/>
      <c r="R339" s="1377"/>
      <c r="S339" s="3"/>
      <c r="T339" s="3" t="s">
        <v>1067</v>
      </c>
      <c r="V339" s="3"/>
      <c r="W339" s="3"/>
      <c r="X339" s="3"/>
      <c r="Y339" s="3"/>
      <c r="AA339" s="1382" t="s">
        <v>1191</v>
      </c>
      <c r="AB339" s="1382"/>
      <c r="AC339" s="1382"/>
      <c r="AD339" s="1382"/>
      <c r="AE339" s="1382"/>
      <c r="AF339" s="1382"/>
      <c r="AG339" s="3" t="s">
        <v>1069</v>
      </c>
      <c r="AH339" s="3"/>
      <c r="AI339" s="1377"/>
      <c r="AJ339" s="1377"/>
      <c r="AK339" s="1377"/>
    </row>
    <row r="340" spans="1:66" ht="13.15" customHeight="1">
      <c r="B340" s="3" t="s">
        <v>1070</v>
      </c>
      <c r="C340" s="3"/>
      <c r="D340" s="3"/>
      <c r="E340" s="3"/>
      <c r="F340" s="3"/>
      <c r="G340" s="3"/>
      <c r="H340" s="1308"/>
      <c r="I340" s="1308"/>
      <c r="J340" s="1308"/>
      <c r="K340" s="1308"/>
      <c r="L340" s="1308"/>
      <c r="M340" s="1308"/>
      <c r="N340" s="3"/>
      <c r="O340" s="3"/>
      <c r="P340" s="84"/>
      <c r="Q340" s="84"/>
      <c r="R340" s="84"/>
      <c r="S340" s="3"/>
      <c r="T340" s="3" t="s">
        <v>1070</v>
      </c>
      <c r="V340" s="3"/>
      <c r="W340" s="3"/>
      <c r="X340" s="3"/>
      <c r="Y340" s="3"/>
      <c r="AA340" s="1308"/>
      <c r="AB340" s="1308"/>
      <c r="AC340" s="1308"/>
      <c r="AD340" s="1308"/>
      <c r="AE340" s="1308"/>
      <c r="AF340" s="1308"/>
      <c r="AG340" s="3"/>
      <c r="AH340" s="3"/>
      <c r="AI340" s="84"/>
      <c r="AJ340" s="84"/>
      <c r="AK340" s="84"/>
    </row>
    <row r="341" spans="1:66" ht="13.15" customHeight="1">
      <c r="B341" s="3" t="s">
        <v>1130</v>
      </c>
      <c r="C341" s="3"/>
      <c r="D341" s="3"/>
      <c r="E341" s="3"/>
      <c r="F341" s="3"/>
      <c r="G341" s="3"/>
      <c r="H341" s="1310" t="s">
        <v>1192</v>
      </c>
      <c r="I341" s="1310"/>
      <c r="J341" s="1310"/>
      <c r="K341" s="1310"/>
      <c r="L341" s="1310"/>
      <c r="M341" s="1310"/>
      <c r="N341" s="1333"/>
      <c r="O341" s="1333"/>
      <c r="P341" s="1333"/>
      <c r="Q341" s="1333"/>
      <c r="R341" s="1333"/>
      <c r="S341" s="3"/>
      <c r="T341" s="3" t="s">
        <v>1130</v>
      </c>
      <c r="V341" s="3"/>
      <c r="W341" s="3"/>
      <c r="X341" s="3"/>
      <c r="Y341" s="3"/>
      <c r="AA341" s="1310" t="s">
        <v>1193</v>
      </c>
      <c r="AB341" s="1310"/>
      <c r="AC341" s="1310"/>
      <c r="AD341" s="1310"/>
      <c r="AE341" s="1310"/>
      <c r="AF341" s="1310"/>
      <c r="AG341" s="1333"/>
      <c r="AH341" s="1333"/>
      <c r="AI341" s="1333"/>
      <c r="AJ341" s="1333"/>
      <c r="AK341" s="1333"/>
    </row>
    <row r="342" spans="1:66" ht="13.1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807</v>
      </c>
    </row>
    <row r="343" spans="1:66" ht="13.15" customHeight="1">
      <c r="B343" s="3"/>
      <c r="C343" s="3"/>
      <c r="D343" s="3"/>
      <c r="E343" s="3"/>
      <c r="F343" s="3"/>
      <c r="I343" s="136" t="s">
        <v>1194</v>
      </c>
      <c r="P343" s="1333"/>
      <c r="Q343" s="1333"/>
      <c r="R343" s="1333"/>
      <c r="S343" s="1333"/>
      <c r="T343" s="1333"/>
      <c r="U343" s="1333"/>
      <c r="V343" s="1333"/>
      <c r="W343" s="1333"/>
      <c r="X343" s="1333"/>
      <c r="Y343" s="1333"/>
      <c r="Z343" s="1333"/>
      <c r="AA343" s="1333"/>
      <c r="AB343" s="1333"/>
      <c r="AC343" s="1333"/>
      <c r="AD343" s="1333"/>
      <c r="AE343" s="1333"/>
      <c r="BN343" t="s">
        <v>692</v>
      </c>
    </row>
    <row r="344" spans="1:66" ht="13.15" customHeight="1">
      <c r="B344" s="3"/>
      <c r="C344" s="3"/>
      <c r="D344" s="3"/>
      <c r="E344" s="3"/>
      <c r="F344" s="3"/>
      <c r="I344" s="3" t="s">
        <v>1121</v>
      </c>
      <c r="P344" s="1310"/>
      <c r="Q344" s="1310"/>
      <c r="R344" s="1310"/>
      <c r="S344" s="1310"/>
      <c r="T344" s="1310"/>
      <c r="U344" s="1310"/>
      <c r="V344" s="1310"/>
      <c r="W344" s="1310"/>
      <c r="X344" s="1310"/>
      <c r="Y344" s="1310"/>
      <c r="Z344" s="1310"/>
      <c r="AA344" s="1310"/>
      <c r="AB344" s="1310"/>
      <c r="AC344" s="1310"/>
      <c r="AD344" s="1310"/>
      <c r="AE344" s="1310"/>
      <c r="BN344" t="s">
        <v>843</v>
      </c>
    </row>
    <row r="345" spans="1:66" ht="13.15" customHeight="1">
      <c r="B345" s="3"/>
      <c r="C345" s="3"/>
      <c r="D345" s="3"/>
      <c r="E345" s="3"/>
      <c r="F345" s="3"/>
      <c r="I345" s="3" t="s">
        <v>1125</v>
      </c>
      <c r="P345" s="1310"/>
      <c r="Q345" s="1310"/>
      <c r="R345" s="1310"/>
      <c r="S345" s="1310"/>
      <c r="T345" s="1310"/>
      <c r="U345" s="1310"/>
      <c r="V345" s="1310"/>
      <c r="W345" s="1310"/>
      <c r="X345" s="1310"/>
      <c r="Y345" s="1310"/>
      <c r="Z345" s="1310"/>
      <c r="AA345" s="1310"/>
      <c r="AB345" s="1310"/>
      <c r="AC345" s="1310"/>
      <c r="AD345" s="1310"/>
      <c r="AE345" s="1310"/>
    </row>
    <row r="346" spans="1:66" ht="13.15" customHeight="1">
      <c r="B346" s="3"/>
      <c r="C346" s="3"/>
      <c r="D346" s="3"/>
      <c r="E346" s="3"/>
      <c r="F346" s="3"/>
      <c r="G346" s="3"/>
      <c r="I346" s="3" t="s">
        <v>1065</v>
      </c>
      <c r="P346" s="1310"/>
      <c r="Q346" s="1310"/>
      <c r="R346" s="1310"/>
      <c r="S346" s="1310"/>
      <c r="T346" s="1310"/>
      <c r="U346" s="1310"/>
      <c r="V346" s="1310"/>
      <c r="W346" s="1310"/>
      <c r="X346" s="1310"/>
      <c r="Y346" s="1310"/>
      <c r="Z346" s="1310"/>
      <c r="AA346" s="1310"/>
      <c r="AB346" s="1310"/>
      <c r="AC346" s="1310"/>
      <c r="AD346" s="1310"/>
      <c r="AE346" s="1310"/>
    </row>
    <row r="347" spans="1:66" ht="13.15" customHeight="1">
      <c r="B347" s="3"/>
      <c r="C347" s="3"/>
      <c r="D347" s="3"/>
      <c r="E347" s="3"/>
      <c r="F347" s="3"/>
      <c r="G347" s="3"/>
      <c r="H347" s="1163"/>
      <c r="I347" s="3" t="s">
        <v>1067</v>
      </c>
      <c r="P347" s="1308"/>
      <c r="Q347" s="1308"/>
      <c r="R347" s="1308"/>
      <c r="S347" s="1308"/>
      <c r="T347" s="1308"/>
      <c r="U347" s="1308"/>
      <c r="V347" s="1308"/>
      <c r="W347" s="1308"/>
      <c r="X347" s="1308"/>
      <c r="Y347" s="1308"/>
      <c r="Z347" s="1308"/>
      <c r="AA347" s="3" t="s">
        <v>1069</v>
      </c>
      <c r="AB347" s="3"/>
      <c r="AC347" s="1395"/>
      <c r="AD347" s="1395"/>
      <c r="AE347" s="1395"/>
      <c r="AF347" s="1163"/>
      <c r="AG347" s="3"/>
      <c r="AH347" s="3"/>
      <c r="AI347" s="3"/>
      <c r="AJ347" s="3"/>
      <c r="AK347" s="3"/>
    </row>
    <row r="348" spans="1:66" ht="13.15" customHeight="1">
      <c r="B348" s="3"/>
      <c r="C348" s="3"/>
      <c r="D348" s="3"/>
      <c r="E348" s="3"/>
      <c r="F348" s="3"/>
      <c r="G348" s="3"/>
      <c r="H348" s="1163"/>
      <c r="I348" s="3" t="s">
        <v>1070</v>
      </c>
      <c r="P348" s="1308"/>
      <c r="Q348" s="1308"/>
      <c r="R348" s="1308"/>
      <c r="S348" s="1308"/>
      <c r="T348" s="1308"/>
      <c r="U348" s="1308"/>
      <c r="V348" s="1308"/>
      <c r="W348" s="1308"/>
      <c r="X348" s="1308"/>
      <c r="Y348" s="1308"/>
      <c r="Z348" s="1308"/>
      <c r="AF348" s="1163"/>
      <c r="AG348" s="3"/>
      <c r="AH348" s="3"/>
      <c r="AI348" s="84"/>
      <c r="AJ348" s="84"/>
      <c r="AK348" s="84"/>
    </row>
    <row r="349" spans="1:66" ht="13.15" customHeight="1">
      <c r="B349" s="3"/>
      <c r="C349" s="3"/>
      <c r="D349" s="3"/>
      <c r="E349" s="3"/>
      <c r="F349" s="3"/>
      <c r="G349" s="3"/>
      <c r="I349" s="3" t="s">
        <v>1130</v>
      </c>
      <c r="P349" s="1333"/>
      <c r="Q349" s="1333"/>
      <c r="R349" s="1333"/>
      <c r="S349" s="1333"/>
      <c r="T349" s="1333"/>
      <c r="U349" s="1333"/>
      <c r="V349" s="1333"/>
      <c r="W349" s="1333"/>
      <c r="X349" s="1333"/>
      <c r="Y349" s="1333"/>
      <c r="Z349" s="1333"/>
      <c r="AA349" s="1333"/>
      <c r="AB349" s="1333"/>
      <c r="AC349" s="1333"/>
      <c r="AD349" s="1333"/>
      <c r="AE349" s="1333"/>
    </row>
    <row r="350" spans="1:66" ht="13.15" customHeight="1">
      <c r="T350" s="7"/>
      <c r="U350" s="7"/>
      <c r="V350" s="7"/>
      <c r="W350" s="7"/>
      <c r="X350" s="7"/>
      <c r="Y350" s="7"/>
      <c r="Z350" s="7"/>
      <c r="AU350" s="70"/>
      <c r="AV350" s="70"/>
      <c r="AW350" s="70"/>
      <c r="AX350" s="70"/>
      <c r="AY350" s="70"/>
    </row>
    <row r="351" spans="1:66" ht="13.15" customHeight="1">
      <c r="A351" s="1381" t="s">
        <v>1195</v>
      </c>
      <c r="B351" s="1381"/>
      <c r="C351" s="1381"/>
      <c r="D351" s="1381"/>
      <c r="E351" s="1381"/>
      <c r="F351" s="1381"/>
      <c r="G351" s="1381"/>
      <c r="H351" s="1381"/>
      <c r="I351" s="1381"/>
      <c r="J351" s="1381"/>
      <c r="K351" s="1381"/>
      <c r="L351" s="1381"/>
      <c r="M351" s="1381"/>
      <c r="N351" s="1381"/>
      <c r="O351" s="1381"/>
      <c r="P351" s="1381"/>
      <c r="Q351" s="1381"/>
      <c r="R351" s="1381"/>
      <c r="S351" s="1381"/>
      <c r="T351" s="1381"/>
      <c r="U351" s="1381"/>
      <c r="V351" s="1381"/>
      <c r="W351" s="1381"/>
      <c r="X351" s="1381"/>
      <c r="Y351" s="1381"/>
      <c r="Z351" s="1381"/>
      <c r="AA351" s="1381"/>
      <c r="AB351" s="1381"/>
      <c r="AC351" s="1381"/>
      <c r="AD351" s="1381"/>
      <c r="AE351" s="1381"/>
      <c r="AF351" s="1381"/>
      <c r="AG351" s="1381"/>
      <c r="AH351" s="1381"/>
      <c r="AI351" s="1381"/>
      <c r="AJ351" s="1381"/>
      <c r="AK351" s="1381"/>
      <c r="AL351" s="1381"/>
      <c r="AM351" s="1381"/>
      <c r="AN351" s="1381"/>
      <c r="AO351" s="1381"/>
      <c r="AP351" s="1381"/>
      <c r="AQ351" s="1381"/>
      <c r="AR351" s="1381"/>
      <c r="AS351" s="1381"/>
      <c r="AT351" s="1381"/>
      <c r="AU351" s="70"/>
      <c r="AV351" s="70"/>
      <c r="AW351" s="70"/>
      <c r="AX351" s="70"/>
      <c r="AY351" s="70"/>
    </row>
    <row r="352" spans="1:66" ht="13.15" customHeight="1">
      <c r="A352" s="1381"/>
      <c r="B352" s="1381"/>
      <c r="C352" s="1381"/>
      <c r="D352" s="1381"/>
      <c r="E352" s="1381"/>
      <c r="F352" s="1381"/>
      <c r="G352" s="1381"/>
      <c r="H352" s="1381"/>
      <c r="I352" s="1381"/>
      <c r="J352" s="1381"/>
      <c r="K352" s="1381"/>
      <c r="L352" s="1381"/>
      <c r="M352" s="1381"/>
      <c r="N352" s="1381"/>
      <c r="O352" s="1381"/>
      <c r="P352" s="1381"/>
      <c r="Q352" s="1381"/>
      <c r="R352" s="1381"/>
      <c r="S352" s="1381"/>
      <c r="T352" s="1381"/>
      <c r="U352" s="1381"/>
      <c r="V352" s="1381"/>
      <c r="W352" s="1381"/>
      <c r="X352" s="1381"/>
      <c r="Y352" s="1381"/>
      <c r="Z352" s="1381"/>
      <c r="AA352" s="1381"/>
      <c r="AB352" s="1381"/>
      <c r="AC352" s="1381"/>
      <c r="AD352" s="1381"/>
      <c r="AE352" s="1381"/>
      <c r="AF352" s="1381"/>
      <c r="AG352" s="1381"/>
      <c r="AH352" s="1381"/>
      <c r="AI352" s="1381"/>
      <c r="AJ352" s="1381"/>
      <c r="AK352" s="1381"/>
      <c r="AL352" s="1381"/>
      <c r="AM352" s="1381"/>
      <c r="AN352" s="1381"/>
      <c r="AO352" s="1381"/>
      <c r="AP352" s="1381"/>
      <c r="AQ352" s="1381"/>
      <c r="AR352" s="1381"/>
      <c r="AS352" s="1381"/>
      <c r="AT352" s="1381"/>
      <c r="AU352" s="21"/>
      <c r="AV352" s="21"/>
      <c r="AW352" s="21"/>
      <c r="AX352" s="21"/>
      <c r="AY352" s="21"/>
    </row>
    <row r="353" spans="1:46" ht="13.1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15" customHeight="1">
      <c r="A354" s="2" t="s">
        <v>868</v>
      </c>
      <c r="B354" s="2"/>
      <c r="C354" s="2" t="s">
        <v>1196</v>
      </c>
    </row>
    <row r="355" spans="1:46" ht="13.15" customHeight="1">
      <c r="D355" s="3" t="s">
        <v>684</v>
      </c>
      <c r="M355" s="1294" t="s">
        <v>843</v>
      </c>
      <c r="N355" s="1294"/>
      <c r="P355" t="s">
        <v>1197</v>
      </c>
      <c r="AJ355" s="1294" t="s">
        <v>807</v>
      </c>
      <c r="AK355" s="1294"/>
    </row>
    <row r="356" spans="1:46" ht="13.15" customHeight="1">
      <c r="D356" s="3" t="s">
        <v>682</v>
      </c>
      <c r="M356" s="1294" t="s">
        <v>807</v>
      </c>
      <c r="N356" s="1294"/>
      <c r="P356" s="3" t="s">
        <v>1198</v>
      </c>
      <c r="AJ356" s="1405"/>
      <c r="AK356" s="1405"/>
    </row>
    <row r="357" spans="1:46" ht="13.15" customHeight="1">
      <c r="D357" s="3" t="s">
        <v>1199</v>
      </c>
      <c r="M357" s="1294" t="s">
        <v>807</v>
      </c>
      <c r="N357" s="1294"/>
      <c r="P357" t="s">
        <v>1200</v>
      </c>
      <c r="AJ357" s="1294" t="s">
        <v>807</v>
      </c>
      <c r="AK357" s="1294"/>
    </row>
    <row r="358" spans="1:46" ht="13.15" customHeight="1">
      <c r="D358" s="3" t="s">
        <v>1201</v>
      </c>
      <c r="M358" s="1294" t="s">
        <v>807</v>
      </c>
      <c r="N358" s="1294"/>
      <c r="Q358" s="3"/>
    </row>
    <row r="359" spans="1:46" ht="13.15" customHeight="1">
      <c r="Q359" s="3"/>
    </row>
    <row r="360" spans="1:46" ht="13.15" customHeight="1">
      <c r="Q360" s="3"/>
    </row>
    <row r="361" spans="1:46" ht="13.15" customHeight="1">
      <c r="A361" s="2" t="s">
        <v>909</v>
      </c>
      <c r="B361" s="2"/>
      <c r="C361" s="2" t="s">
        <v>1202</v>
      </c>
      <c r="D361" s="2"/>
    </row>
    <row r="362" spans="1:46" ht="13.15" customHeight="1">
      <c r="D362" s="31" t="s">
        <v>1203</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15" customHeight="1">
      <c r="D363" s="31" t="s">
        <v>1204</v>
      </c>
      <c r="E363" s="32"/>
      <c r="F363" s="32"/>
      <c r="G363" s="32"/>
      <c r="H363" s="32"/>
      <c r="I363" s="32"/>
      <c r="J363" s="32"/>
      <c r="K363" s="32"/>
      <c r="L363" s="32"/>
      <c r="M363" s="32"/>
      <c r="N363" s="1294" t="s">
        <v>807</v>
      </c>
      <c r="O363" s="1294"/>
      <c r="P363" s="32"/>
      <c r="Q363" s="32"/>
      <c r="R363" s="32"/>
      <c r="S363" s="32"/>
      <c r="T363" s="32"/>
      <c r="U363" s="32"/>
      <c r="V363" s="32"/>
      <c r="W363" s="32"/>
      <c r="X363" s="32"/>
      <c r="Y363" s="32"/>
      <c r="Z363" s="32"/>
      <c r="AC363" s="32"/>
      <c r="AD363" s="32"/>
      <c r="AE363" s="32"/>
    </row>
    <row r="364" spans="1:46" ht="13.15" customHeight="1">
      <c r="E364" t="s">
        <v>1205</v>
      </c>
      <c r="Y364" s="1294" t="s">
        <v>807</v>
      </c>
      <c r="Z364" s="1294"/>
    </row>
    <row r="365" spans="1:46" ht="13.15" customHeight="1">
      <c r="D365" s="3" t="s">
        <v>1206</v>
      </c>
      <c r="Q365" s="1333"/>
      <c r="R365" s="1333"/>
      <c r="S365" s="1333"/>
      <c r="T365" s="1333"/>
      <c r="U365" s="1333"/>
      <c r="V365" s="1333"/>
      <c r="W365" s="1333"/>
      <c r="X365" s="1333"/>
      <c r="Y365" s="1333"/>
      <c r="Z365" s="1333"/>
      <c r="AA365" s="1333"/>
      <c r="AB365" s="1333"/>
      <c r="AC365" s="1333"/>
      <c r="AD365" s="1333"/>
      <c r="AE365" s="1333"/>
      <c r="AF365" s="1333"/>
      <c r="AG365" s="1333"/>
    </row>
    <row r="366" spans="1:46" ht="13.15" customHeight="1">
      <c r="D366" t="s">
        <v>1207</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15" customHeight="1">
      <c r="D367" t="s">
        <v>1208</v>
      </c>
      <c r="E367" s="32"/>
      <c r="F367" s="32"/>
      <c r="G367" s="32"/>
      <c r="H367" s="32"/>
      <c r="I367" s="32"/>
      <c r="J367" s="1294" t="s">
        <v>807</v>
      </c>
      <c r="K367" s="1294"/>
      <c r="L367" s="32"/>
      <c r="M367" s="32"/>
      <c r="N367" s="32"/>
      <c r="O367" s="32"/>
      <c r="P367" s="32"/>
      <c r="Q367" s="32"/>
      <c r="R367" s="32"/>
      <c r="S367" s="32"/>
      <c r="T367" s="32"/>
      <c r="U367" s="32"/>
      <c r="V367" s="32"/>
      <c r="W367" s="32"/>
      <c r="X367" s="32"/>
      <c r="Y367" s="32"/>
      <c r="Z367" s="32"/>
      <c r="AC367" s="32"/>
      <c r="AD367" s="32"/>
      <c r="AE367" s="32"/>
    </row>
    <row r="368" spans="1:46" ht="13.15" customHeight="1">
      <c r="E368" s="1224" t="s">
        <v>1209</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3.15"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3.15" customHeight="1">
      <c r="E370" s="3" t="s">
        <v>1210</v>
      </c>
      <c r="F370" s="3"/>
      <c r="G370" s="3"/>
      <c r="H370" s="3"/>
      <c r="I370" s="3"/>
      <c r="J370" s="3"/>
      <c r="K370" s="3"/>
      <c r="L370" s="3"/>
      <c r="N370" s="1607"/>
      <c r="O370" s="1607"/>
      <c r="P370" s="1607"/>
      <c r="Q370" s="1607"/>
      <c r="R370" s="3"/>
      <c r="U370" s="3" t="s">
        <v>1211</v>
      </c>
      <c r="V370" s="3"/>
      <c r="W370" s="3"/>
      <c r="X370" s="3"/>
      <c r="Y370" s="3"/>
      <c r="Z370" s="3"/>
      <c r="AA370" s="3"/>
      <c r="AB370" s="3"/>
      <c r="AC370" s="1607"/>
      <c r="AD370" s="1607"/>
      <c r="AE370" s="1607"/>
      <c r="AF370" s="1607"/>
    </row>
    <row r="371" spans="1:34" ht="13.15" customHeight="1">
      <c r="E371" s="3" t="s">
        <v>1212</v>
      </c>
      <c r="F371" s="3"/>
      <c r="G371" s="3"/>
      <c r="H371" s="3"/>
      <c r="I371" s="3"/>
      <c r="J371" s="3"/>
      <c r="K371" s="3"/>
      <c r="L371" s="3"/>
      <c r="N371" s="1607"/>
      <c r="O371" s="1607"/>
      <c r="P371" s="1607"/>
      <c r="Q371" s="1607"/>
      <c r="R371" s="3"/>
      <c r="U371" s="3" t="s">
        <v>1213</v>
      </c>
      <c r="V371" s="3"/>
      <c r="W371" s="3"/>
      <c r="X371" s="3"/>
      <c r="Y371" s="3"/>
      <c r="Z371" s="3"/>
      <c r="AA371" s="3"/>
      <c r="AB371" s="3"/>
      <c r="AC371" s="1607"/>
      <c r="AD371" s="1607"/>
      <c r="AE371" s="1607"/>
      <c r="AF371" s="1607"/>
    </row>
    <row r="372" spans="1:34" ht="13.15" customHeight="1">
      <c r="E372" s="3" t="s">
        <v>1214</v>
      </c>
      <c r="F372" s="3"/>
      <c r="G372" s="3"/>
      <c r="H372" s="3"/>
      <c r="I372" s="3"/>
      <c r="J372" s="3"/>
      <c r="K372" s="3"/>
      <c r="L372" s="3"/>
      <c r="N372" s="1607"/>
      <c r="O372" s="1607"/>
      <c r="P372" s="1607"/>
      <c r="Q372" s="1607"/>
      <c r="R372" s="3"/>
      <c r="V372" s="3"/>
      <c r="W372" s="3"/>
      <c r="X372" s="3"/>
      <c r="Y372" s="3"/>
      <c r="Z372" s="3"/>
      <c r="AA372" s="3"/>
      <c r="AB372" s="3"/>
    </row>
    <row r="373" spans="1:34" ht="13.15" customHeight="1">
      <c r="E373" s="3" t="s">
        <v>1215</v>
      </c>
      <c r="F373" s="3"/>
      <c r="G373" s="3"/>
      <c r="H373" s="3"/>
      <c r="I373" s="3"/>
      <c r="J373" s="3"/>
      <c r="K373" s="3"/>
      <c r="L373" s="3"/>
      <c r="N373" s="1749"/>
      <c r="O373" s="1749"/>
      <c r="P373" s="1749"/>
      <c r="Q373" s="1749"/>
      <c r="R373" s="1749"/>
      <c r="S373" s="1749"/>
      <c r="T373" s="1749"/>
      <c r="U373" s="1749"/>
      <c r="V373" s="1749"/>
      <c r="W373" s="1749"/>
      <c r="X373" s="1749"/>
      <c r="Y373" s="1749"/>
      <c r="Z373" s="1749"/>
      <c r="AA373" s="1749"/>
      <c r="AB373" s="1749"/>
      <c r="AC373" s="1749"/>
      <c r="AD373" s="1749"/>
      <c r="AE373" s="1749"/>
      <c r="AF373" s="1749"/>
    </row>
    <row r="374" spans="1:34" ht="13.15" customHeight="1">
      <c r="E374" s="3"/>
      <c r="F374" s="3"/>
      <c r="G374" s="3"/>
      <c r="H374" s="3"/>
      <c r="I374" s="3"/>
      <c r="J374" s="3"/>
      <c r="K374" s="3"/>
      <c r="L374" s="3"/>
      <c r="N374" s="1750"/>
      <c r="O374" s="1750"/>
      <c r="P374" s="1750"/>
      <c r="Q374" s="1750"/>
      <c r="R374" s="1750"/>
      <c r="S374" s="1750"/>
      <c r="T374" s="1750"/>
      <c r="U374" s="1750"/>
      <c r="V374" s="1750"/>
      <c r="W374" s="1750"/>
      <c r="X374" s="1750"/>
      <c r="Y374" s="1750"/>
      <c r="Z374" s="1750"/>
      <c r="AA374" s="1750"/>
      <c r="AB374" s="1750"/>
      <c r="AC374" s="1750"/>
      <c r="AD374" s="1750"/>
      <c r="AE374" s="1750"/>
      <c r="AF374" s="1750"/>
    </row>
    <row r="375" spans="1:34" ht="13.15" customHeight="1">
      <c r="C375" s="412"/>
      <c r="E375" s="3"/>
      <c r="F375" s="3"/>
      <c r="G375" s="3"/>
      <c r="H375" s="3"/>
      <c r="I375" s="3"/>
      <c r="J375" s="3"/>
      <c r="K375" s="3"/>
      <c r="L375" s="3"/>
    </row>
    <row r="376" spans="1:34" ht="13.15" customHeight="1">
      <c r="D376" s="2" t="s">
        <v>1216</v>
      </c>
      <c r="E376" s="2"/>
      <c r="F376" s="3"/>
      <c r="G376" s="3"/>
      <c r="H376" s="3"/>
      <c r="I376" s="3"/>
      <c r="J376" s="3"/>
      <c r="K376" s="3"/>
      <c r="L376" s="3"/>
    </row>
    <row r="377" spans="1:34" ht="13.15" customHeight="1">
      <c r="E377" s="3" t="s">
        <v>1217</v>
      </c>
      <c r="F377" s="3"/>
      <c r="G377" s="3"/>
      <c r="H377" s="3"/>
      <c r="I377" s="3"/>
      <c r="J377" s="3"/>
      <c r="K377" s="3"/>
      <c r="L377" s="3"/>
      <c r="N377" t="s">
        <v>885</v>
      </c>
      <c r="R377" s="23" t="s">
        <v>886</v>
      </c>
      <c r="S377" s="1751"/>
      <c r="T377" s="1751"/>
      <c r="U377" s="1" t="s">
        <v>887</v>
      </c>
      <c r="V377" s="1751"/>
      <c r="W377" s="1751"/>
      <c r="Y377" t="s">
        <v>885</v>
      </c>
      <c r="AC377" s="23" t="s">
        <v>886</v>
      </c>
      <c r="AD377" s="1751"/>
      <c r="AE377" s="1751"/>
      <c r="AF377" s="1" t="s">
        <v>887</v>
      </c>
      <c r="AG377" s="1751"/>
      <c r="AH377" s="1751"/>
    </row>
    <row r="378" spans="1:34" ht="13.15" customHeight="1">
      <c r="E378" s="3" t="s">
        <v>1218</v>
      </c>
      <c r="F378" s="3"/>
      <c r="G378" s="3"/>
      <c r="H378" s="3"/>
      <c r="I378" s="3"/>
      <c r="J378" s="3"/>
      <c r="K378" s="3"/>
      <c r="L378" s="3"/>
      <c r="N378" s="1751"/>
      <c r="O378" s="1751"/>
      <c r="P378" s="1751"/>
    </row>
    <row r="379" spans="1:34" ht="13.15" customHeight="1">
      <c r="E379" s="136" t="s">
        <v>1219</v>
      </c>
      <c r="F379" s="3"/>
      <c r="G379" s="3"/>
      <c r="H379" s="3"/>
      <c r="I379" s="3"/>
      <c r="J379" s="3"/>
      <c r="K379" s="3"/>
      <c r="L379" s="3"/>
      <c r="AG379" s="1742" t="s">
        <v>807</v>
      </c>
      <c r="AH379" s="1742"/>
    </row>
    <row r="380" spans="1:34" ht="13.15" customHeight="1">
      <c r="E380" s="3"/>
      <c r="F380" s="3"/>
      <c r="G380" s="3" t="s">
        <v>1220</v>
      </c>
      <c r="H380" s="3"/>
      <c r="I380" s="3"/>
      <c r="J380" s="3"/>
      <c r="K380" s="3"/>
      <c r="L380" s="3"/>
      <c r="AG380" s="1742" t="s">
        <v>807</v>
      </c>
      <c r="AH380" s="1742"/>
    </row>
    <row r="381" spans="1:34" ht="13.15" customHeight="1">
      <c r="E381" s="3"/>
      <c r="F381" s="3"/>
      <c r="G381" s="225" t="s">
        <v>1221</v>
      </c>
      <c r="H381" s="3"/>
      <c r="I381" s="3"/>
      <c r="J381" s="3"/>
      <c r="K381" s="3"/>
      <c r="L381" s="3"/>
      <c r="V381" s="1294" t="s">
        <v>807</v>
      </c>
      <c r="W381" s="1294"/>
      <c r="Y381" s="19" t="s">
        <v>1222</v>
      </c>
    </row>
    <row r="382" spans="1:34" ht="13.15" customHeight="1">
      <c r="E382" s="3" t="s">
        <v>1223</v>
      </c>
      <c r="F382" s="3"/>
      <c r="G382" s="3"/>
      <c r="H382" s="3"/>
      <c r="I382" s="3"/>
      <c r="J382" s="3"/>
      <c r="K382" s="3"/>
      <c r="L382" s="3"/>
      <c r="V382" s="1294" t="s">
        <v>807</v>
      </c>
      <c r="W382" s="1294"/>
      <c r="Y382" s="3" t="s">
        <v>1224</v>
      </c>
    </row>
    <row r="383" spans="1:34" ht="13.15" customHeight="1"/>
    <row r="384" spans="1:34" ht="13.15" customHeight="1">
      <c r="A384" s="2" t="s">
        <v>1225</v>
      </c>
      <c r="B384" s="2"/>
    </row>
    <row r="385" spans="4:36" ht="13.15" customHeight="1">
      <c r="D385" t="s">
        <v>1226</v>
      </c>
      <c r="J385" s="1333" t="s">
        <v>1227</v>
      </c>
      <c r="K385" s="1333"/>
      <c r="L385" s="1333"/>
      <c r="M385" s="1333"/>
      <c r="N385" s="1333"/>
      <c r="O385" s="1333"/>
      <c r="P385" s="1333"/>
      <c r="Q385" s="1333"/>
      <c r="R385" s="1333"/>
      <c r="S385" s="1333"/>
      <c r="T385" s="1333"/>
      <c r="U385" s="1333"/>
      <c r="V385" s="7" t="s">
        <v>1228</v>
      </c>
      <c r="W385" s="7"/>
      <c r="X385" s="7"/>
      <c r="Y385" s="7"/>
      <c r="Z385" s="7"/>
      <c r="AA385" s="7"/>
      <c r="AB385" s="7"/>
      <c r="AC385" s="1333" t="s">
        <v>1229</v>
      </c>
      <c r="AD385" s="1333"/>
      <c r="AE385" s="1333"/>
      <c r="AF385" s="1333"/>
      <c r="AG385" s="1333"/>
      <c r="AH385" s="1333"/>
      <c r="AI385" s="1333"/>
      <c r="AJ385" s="1333"/>
    </row>
    <row r="386" spans="4:36" ht="13.15" customHeight="1">
      <c r="D386" s="3" t="s">
        <v>1230</v>
      </c>
      <c r="J386" s="1310" t="s">
        <v>1229</v>
      </c>
      <c r="K386" s="1310"/>
      <c r="L386" s="1310"/>
      <c r="M386" s="1310"/>
      <c r="N386" s="1310"/>
      <c r="O386" s="1310"/>
      <c r="P386" s="1310"/>
      <c r="Q386" s="1310"/>
      <c r="R386" s="1310"/>
      <c r="S386" s="1310"/>
      <c r="T386" s="1310"/>
      <c r="U386" s="1310"/>
      <c r="V386" s="3" t="s">
        <v>1230</v>
      </c>
      <c r="W386" s="7"/>
      <c r="X386" s="7"/>
      <c r="Y386" s="7"/>
      <c r="Z386" s="7"/>
      <c r="AA386" s="7"/>
      <c r="AB386" s="7"/>
      <c r="AC386" s="1333"/>
      <c r="AD386" s="1333"/>
      <c r="AE386" s="1333"/>
      <c r="AF386" s="1333"/>
      <c r="AG386" s="1333"/>
      <c r="AH386" s="1333"/>
      <c r="AI386" s="1333"/>
      <c r="AJ386" s="1333"/>
    </row>
    <row r="387" spans="4:36" ht="13.15" customHeight="1">
      <c r="D387" s="3" t="s">
        <v>805</v>
      </c>
      <c r="J387" s="1310" t="s">
        <v>1231</v>
      </c>
      <c r="K387" s="1310"/>
      <c r="L387" s="1310"/>
      <c r="M387" s="1310"/>
      <c r="N387" s="1310"/>
      <c r="O387" s="1310"/>
      <c r="P387" s="1310"/>
      <c r="Q387" s="1310"/>
      <c r="R387" s="1310"/>
      <c r="S387" s="1310"/>
      <c r="T387" s="1310"/>
      <c r="U387" s="1310"/>
      <c r="V387" s="3" t="s">
        <v>805</v>
      </c>
      <c r="W387" s="7"/>
      <c r="X387" s="7"/>
      <c r="Y387" s="7"/>
      <c r="Z387" s="7"/>
      <c r="AA387" s="7"/>
      <c r="AB387" s="7"/>
      <c r="AC387" s="1333"/>
      <c r="AD387" s="1333"/>
      <c r="AE387" s="1333"/>
      <c r="AF387" s="1333"/>
      <c r="AG387" s="1333"/>
      <c r="AH387" s="1333"/>
      <c r="AI387" s="1333"/>
      <c r="AJ387" s="1333"/>
    </row>
    <row r="388" spans="4:36" ht="13.15" customHeight="1">
      <c r="D388" t="s">
        <v>1232</v>
      </c>
      <c r="J388" s="1364" t="s">
        <v>1233</v>
      </c>
      <c r="K388" s="1364"/>
      <c r="L388" s="1364"/>
      <c r="M388" s="1364"/>
      <c r="N388" s="1364"/>
      <c r="O388" s="1364"/>
      <c r="P388" s="1364"/>
      <c r="Q388" s="1364"/>
      <c r="R388" s="1364"/>
      <c r="S388" s="1364"/>
      <c r="T388" s="1364"/>
      <c r="U388" s="1364"/>
      <c r="V388" s="1333"/>
      <c r="W388" s="1333"/>
      <c r="X388" s="1333"/>
      <c r="Y388" s="1333"/>
      <c r="Z388" s="1333"/>
      <c r="AA388" s="1333"/>
      <c r="AB388" s="1333"/>
      <c r="AC388" s="1333"/>
      <c r="AD388" s="1333"/>
      <c r="AE388" s="1333"/>
      <c r="AF388" s="1333"/>
      <c r="AG388" s="1333"/>
      <c r="AH388" s="1333"/>
      <c r="AI388" s="1333"/>
      <c r="AJ388" s="1333"/>
    </row>
    <row r="389" spans="4:36" ht="13.15" customHeight="1">
      <c r="D389" t="s">
        <v>1234</v>
      </c>
      <c r="Q389" s="1693">
        <v>45560</v>
      </c>
      <c r="R389" s="1693"/>
      <c r="S389" s="1693"/>
      <c r="T389" s="1693"/>
      <c r="U389" s="1693"/>
      <c r="V389" t="s">
        <v>1235</v>
      </c>
      <c r="AI389" s="1294" t="s">
        <v>692</v>
      </c>
      <c r="AJ389" s="1294"/>
    </row>
    <row r="390" spans="4:36" ht="13.15" customHeight="1">
      <c r="D390" t="s">
        <v>1236</v>
      </c>
      <c r="Q390" s="1486">
        <v>46015</v>
      </c>
      <c r="R390" s="1755"/>
      <c r="S390" s="1755"/>
      <c r="T390" s="1755"/>
      <c r="U390" s="1755"/>
      <c r="W390" s="18" t="s">
        <v>1237</v>
      </c>
      <c r="AG390" s="1753"/>
      <c r="AH390" s="1753"/>
      <c r="AI390" s="1753"/>
      <c r="AJ390" s="1753"/>
    </row>
    <row r="391" spans="4:36" ht="13.15" customHeight="1">
      <c r="D391" t="s">
        <v>1238</v>
      </c>
      <c r="Q391" s="1483">
        <v>4500000</v>
      </c>
      <c r="R391" s="1483"/>
      <c r="S391" s="1483"/>
      <c r="T391" s="1483"/>
      <c r="U391" s="1483"/>
      <c r="V391" s="3" t="s">
        <v>1239</v>
      </c>
      <c r="AG391" s="1754"/>
      <c r="AH391" s="1754"/>
      <c r="AI391" s="1754"/>
      <c r="AJ391" s="1754"/>
    </row>
    <row r="392" spans="4:36" ht="13.15" customHeight="1">
      <c r="D392" t="s">
        <v>1067</v>
      </c>
      <c r="I392" s="1382" t="s">
        <v>1240</v>
      </c>
      <c r="J392" s="1382"/>
      <c r="K392" s="1382"/>
      <c r="L392" s="1382"/>
      <c r="M392" s="1382"/>
      <c r="N392" s="1382"/>
      <c r="Q392" s="3" t="s">
        <v>1069</v>
      </c>
      <c r="S392" s="1763"/>
      <c r="T392" s="1763"/>
      <c r="U392" s="1763"/>
      <c r="V392" t="s">
        <v>1241</v>
      </c>
      <c r="AI392" s="1294" t="s">
        <v>692</v>
      </c>
      <c r="AJ392" s="1294"/>
    </row>
    <row r="393" spans="4:36" ht="13.15" customHeight="1">
      <c r="D393" t="s">
        <v>1242</v>
      </c>
      <c r="Q393" s="1370"/>
      <c r="R393" s="1370"/>
      <c r="S393" s="1370"/>
      <c r="T393" s="1370"/>
      <c r="U393" s="1370"/>
      <c r="V393" t="s">
        <v>1243</v>
      </c>
      <c r="AG393" s="1753"/>
      <c r="AH393" s="1753"/>
      <c r="AI393" s="1753"/>
      <c r="AJ393" s="1753"/>
    </row>
    <row r="394" spans="4:36" ht="13.15" customHeight="1">
      <c r="D394" t="s">
        <v>1244</v>
      </c>
      <c r="Q394" s="1697">
        <v>1.0505E-2</v>
      </c>
      <c r="R394" s="1697"/>
      <c r="S394" s="1697"/>
      <c r="T394" s="1697"/>
      <c r="U394" s="1697"/>
      <c r="V394" t="s">
        <v>1245</v>
      </c>
      <c r="AG394" s="1753"/>
      <c r="AH394" s="1753"/>
      <c r="AI394" s="1753"/>
      <c r="AJ394" s="1753"/>
    </row>
    <row r="395" spans="4:36" ht="13.15" customHeight="1">
      <c r="D395" t="s">
        <v>1246</v>
      </c>
      <c r="AG395" s="1753"/>
      <c r="AH395" s="1753"/>
      <c r="AI395" s="1753"/>
      <c r="AJ395" s="1753"/>
    </row>
    <row r="396" spans="4:36" ht="13.15" customHeight="1">
      <c r="AG396" s="1164"/>
      <c r="AH396" s="1164"/>
      <c r="AI396" s="1164"/>
      <c r="AJ396" s="1164"/>
    </row>
    <row r="397" spans="4:36" ht="13.15" customHeight="1">
      <c r="D397" s="3" t="s">
        <v>1247</v>
      </c>
      <c r="AG397" s="1164"/>
      <c r="AH397" s="1164"/>
      <c r="AI397" s="1294" t="s">
        <v>692</v>
      </c>
      <c r="AJ397" s="1294"/>
    </row>
    <row r="398" spans="4:36" ht="13.15" customHeight="1">
      <c r="D398" s="3" t="s">
        <v>1248</v>
      </c>
      <c r="T398" s="1692"/>
      <c r="U398" s="1692"/>
      <c r="V398" s="1692"/>
      <c r="W398" s="1692"/>
      <c r="X398" s="1692"/>
      <c r="Y398" s="1692"/>
      <c r="Z398" s="1692"/>
      <c r="AA398" s="1692"/>
      <c r="AB398" s="1692"/>
      <c r="AC398" s="1692"/>
      <c r="AD398" s="1692"/>
      <c r="AE398" s="1692"/>
      <c r="AF398" s="1692"/>
      <c r="AG398" s="1692"/>
      <c r="AH398" s="1692"/>
      <c r="AI398" s="1692"/>
      <c r="AJ398" s="1692"/>
    </row>
    <row r="399" spans="4:36" ht="13.15" customHeight="1">
      <c r="D399" s="3" t="s">
        <v>1249</v>
      </c>
      <c r="T399" s="1692"/>
      <c r="U399" s="1692"/>
      <c r="V399" s="1692"/>
      <c r="W399" s="1692"/>
      <c r="X399" s="1692"/>
      <c r="Y399" s="1692"/>
      <c r="Z399" s="1692"/>
      <c r="AA399" s="1692"/>
      <c r="AB399" s="1692"/>
      <c r="AC399" s="1692"/>
      <c r="AD399" s="1692"/>
      <c r="AE399" s="1692"/>
      <c r="AF399" s="1692"/>
      <c r="AG399" s="1692"/>
      <c r="AH399" s="1692"/>
      <c r="AI399" s="1692"/>
      <c r="AJ399" s="1692"/>
    </row>
    <row r="400" spans="4:36" ht="13.15" customHeight="1">
      <c r="AG400" s="1164"/>
      <c r="AH400" s="1164"/>
      <c r="AI400" s="1164"/>
      <c r="AJ400" s="1164"/>
    </row>
    <row r="401" spans="1:36" ht="13.15" customHeight="1">
      <c r="D401" s="3" t="s">
        <v>1250</v>
      </c>
      <c r="S401" s="1692" t="s">
        <v>692</v>
      </c>
      <c r="T401" s="1692"/>
      <c r="U401" s="1692"/>
      <c r="V401" t="s">
        <v>1251</v>
      </c>
      <c r="AG401" s="1757"/>
      <c r="AH401" s="1757"/>
      <c r="AI401" s="1757"/>
      <c r="AJ401" s="1757"/>
    </row>
    <row r="402" spans="1:36" ht="13.15" customHeight="1">
      <c r="D402" s="3" t="s">
        <v>1252</v>
      </c>
      <c r="S402" s="1692" t="s">
        <v>807</v>
      </c>
      <c r="T402" s="1692"/>
      <c r="U402" s="1692"/>
      <c r="V402" t="s">
        <v>1253</v>
      </c>
      <c r="AE402" s="1752"/>
      <c r="AF402" s="1752"/>
      <c r="AG402" s="1752"/>
      <c r="AH402" s="1752"/>
      <c r="AI402" s="1752"/>
      <c r="AJ402" s="1752"/>
    </row>
    <row r="403" spans="1:36" ht="13.15" customHeight="1">
      <c r="D403" s="3" t="s">
        <v>1254</v>
      </c>
      <c r="K403" s="1737"/>
      <c r="L403" s="1737"/>
      <c r="M403" s="1737"/>
      <c r="N403" s="1737"/>
      <c r="O403" s="1737"/>
      <c r="P403" s="1737"/>
      <c r="Q403" s="1737"/>
      <c r="R403" s="1737"/>
      <c r="S403" s="1737"/>
      <c r="T403" s="1737"/>
      <c r="U403" s="1737"/>
      <c r="V403" s="1737"/>
      <c r="W403" s="1737"/>
      <c r="X403" s="1737"/>
      <c r="Y403" s="1737"/>
      <c r="Z403" s="1737"/>
      <c r="AA403" s="1737"/>
      <c r="AB403" s="1737"/>
      <c r="AC403" s="1737"/>
      <c r="AD403" s="1737"/>
      <c r="AE403" s="1737"/>
      <c r="AF403" s="1737"/>
      <c r="AG403" s="1737"/>
      <c r="AH403" s="1737"/>
      <c r="AI403" s="1737"/>
      <c r="AJ403" s="1737"/>
    </row>
    <row r="404" spans="1:36" ht="13.15" customHeight="1">
      <c r="D404" s="3" t="s">
        <v>1255</v>
      </c>
      <c r="K404" s="1737"/>
      <c r="L404" s="1737"/>
      <c r="M404" s="1737"/>
      <c r="N404" s="1737"/>
      <c r="O404" s="1737"/>
      <c r="P404" s="1737"/>
      <c r="Q404" s="1737"/>
      <c r="R404" s="1737"/>
      <c r="S404" s="1737"/>
      <c r="T404" s="1737"/>
      <c r="U404" s="1737"/>
      <c r="V404" s="1737"/>
      <c r="W404" s="1737"/>
      <c r="X404" s="1737"/>
      <c r="Y404" s="1737"/>
      <c r="Z404" s="1737"/>
      <c r="AA404" s="1737"/>
      <c r="AB404" s="1737"/>
      <c r="AC404" s="1737"/>
      <c r="AD404" s="1737"/>
      <c r="AE404" s="1737"/>
      <c r="AF404" s="1737"/>
      <c r="AG404" s="1737"/>
      <c r="AH404" s="1737"/>
      <c r="AI404" s="1737"/>
      <c r="AJ404" s="1737"/>
    </row>
    <row r="405" spans="1:36" ht="13.15" customHeight="1">
      <c r="D405" s="3" t="s">
        <v>1256</v>
      </c>
      <c r="E405" s="378"/>
      <c r="F405" s="378"/>
      <c r="G405" s="378"/>
      <c r="H405" s="378"/>
      <c r="I405" s="378"/>
      <c r="J405" s="378"/>
      <c r="K405" s="378"/>
      <c r="L405" s="378"/>
      <c r="M405" s="378"/>
      <c r="N405" s="378"/>
      <c r="O405" s="378"/>
      <c r="P405" s="378"/>
      <c r="Q405" s="378"/>
      <c r="R405" s="378"/>
      <c r="S405" s="1762" t="s">
        <v>998</v>
      </c>
      <c r="T405" s="1762"/>
      <c r="U405" s="1762"/>
      <c r="V405" s="1762"/>
      <c r="W405" s="1762"/>
      <c r="X405" s="1762"/>
      <c r="Y405" s="1762"/>
      <c r="Z405" s="1762"/>
      <c r="AA405" s="1762"/>
      <c r="AB405" s="1762"/>
      <c r="AC405" s="1762"/>
      <c r="AD405" s="1762"/>
      <c r="AE405" s="1762"/>
      <c r="AF405" s="1762"/>
      <c r="AG405" s="1762"/>
      <c r="AH405" s="1762"/>
      <c r="AI405" s="1762"/>
      <c r="AJ405" s="1762"/>
    </row>
    <row r="406" spans="1:36" ht="13.15" customHeight="1">
      <c r="D406" s="1229" t="s">
        <v>1257</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1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15" customHeight="1">
      <c r="AG408" s="1164"/>
      <c r="AH408" s="1164"/>
      <c r="AI408" s="1164"/>
      <c r="AJ408" s="1164"/>
    </row>
    <row r="409" spans="1:36" ht="13.15" customHeight="1">
      <c r="A409" s="2" t="s">
        <v>1005</v>
      </c>
      <c r="B409" s="2"/>
      <c r="C409" s="2" t="s">
        <v>145</v>
      </c>
    </row>
    <row r="410" spans="1:36" ht="13.15" customHeight="1">
      <c r="B410" s="2"/>
      <c r="C410" s="2"/>
      <c r="D410" s="2" t="s">
        <v>1258</v>
      </c>
      <c r="I410" s="1377" t="s">
        <v>1259</v>
      </c>
      <c r="J410" s="1377"/>
      <c r="K410" s="1377"/>
      <c r="L410" s="1377"/>
      <c r="M410" s="1377"/>
      <c r="N410" s="1377"/>
      <c r="O410" s="1377"/>
      <c r="P410" s="1377"/>
      <c r="Q410" s="1377"/>
      <c r="R410" s="1377"/>
      <c r="S410" s="1377"/>
      <c r="T410" s="1377"/>
      <c r="U410" s="1377"/>
      <c r="V410" s="1377"/>
      <c r="W410" s="1377"/>
      <c r="X410" s="1377"/>
      <c r="Y410" s="1377"/>
      <c r="Z410" s="1377"/>
      <c r="AA410" s="1377"/>
      <c r="AB410" s="1377"/>
      <c r="AC410" s="1377"/>
      <c r="AD410" s="1377"/>
      <c r="AE410" s="1377"/>
    </row>
    <row r="411" spans="1:36" ht="13.15" customHeight="1">
      <c r="E411" t="s">
        <v>1260</v>
      </c>
      <c r="R411" s="1294" t="s">
        <v>807</v>
      </c>
      <c r="S411" s="1294"/>
      <c r="AC411" s="23" t="s">
        <v>1261</v>
      </c>
      <c r="AD411" s="1607"/>
      <c r="AE411" s="1607"/>
    </row>
    <row r="412" spans="1:36" ht="13.15" customHeight="1">
      <c r="E412" t="s">
        <v>1262</v>
      </c>
      <c r="R412" s="1294" t="s">
        <v>843</v>
      </c>
      <c r="S412" s="1294"/>
      <c r="AC412" s="23" t="s">
        <v>1261</v>
      </c>
      <c r="AD412" s="1607">
        <v>3</v>
      </c>
      <c r="AE412" s="1607"/>
    </row>
    <row r="413" spans="1:36" ht="13.15" customHeight="1">
      <c r="E413" t="s">
        <v>1263</v>
      </c>
      <c r="S413" s="1294" t="s">
        <v>807</v>
      </c>
      <c r="T413" s="1294"/>
    </row>
    <row r="414" spans="1:36" ht="13.15" customHeight="1">
      <c r="E414" t="s">
        <v>233</v>
      </c>
      <c r="H414" s="1698" t="s">
        <v>1264</v>
      </c>
      <c r="I414" s="1698"/>
      <c r="J414" s="1698"/>
      <c r="K414" s="1698"/>
      <c r="L414" s="1698"/>
      <c r="M414" s="1698"/>
      <c r="N414" s="1698"/>
      <c r="O414" s="1698"/>
      <c r="P414" s="1698"/>
      <c r="Q414" s="1698"/>
      <c r="R414" s="1698"/>
      <c r="S414" s="1698"/>
      <c r="T414" s="1698"/>
      <c r="U414" s="1698"/>
      <c r="V414" s="1698"/>
      <c r="W414" s="1698"/>
      <c r="X414" s="1698"/>
      <c r="Y414" s="1698"/>
      <c r="Z414" s="1698"/>
      <c r="AA414" s="1698"/>
      <c r="AB414" s="1698"/>
      <c r="AC414" s="1698"/>
      <c r="AD414" s="1698"/>
      <c r="AE414" s="1698"/>
    </row>
    <row r="415" spans="1:36" ht="13.15" customHeight="1">
      <c r="H415" s="1699"/>
      <c r="I415" s="1699"/>
      <c r="J415" s="1699"/>
      <c r="K415" s="1699"/>
      <c r="L415" s="1699"/>
      <c r="M415" s="1699"/>
      <c r="N415" s="1699"/>
      <c r="O415" s="1699"/>
      <c r="P415" s="1699"/>
      <c r="Q415" s="1699"/>
      <c r="R415" s="1699"/>
      <c r="S415" s="1699"/>
      <c r="T415" s="1699"/>
      <c r="U415" s="1699"/>
      <c r="V415" s="1699"/>
      <c r="W415" s="1699"/>
      <c r="X415" s="1699"/>
      <c r="Y415" s="1699"/>
      <c r="Z415" s="1699"/>
      <c r="AA415" s="1699"/>
      <c r="AB415" s="1699"/>
      <c r="AC415" s="1699"/>
      <c r="AD415" s="1699"/>
      <c r="AE415" s="1699"/>
    </row>
    <row r="416" spans="1:36" ht="13.15" customHeight="1"/>
    <row r="417" spans="1:39" ht="13.15" customHeight="1">
      <c r="A417" s="2" t="s">
        <v>1017</v>
      </c>
      <c r="B417" s="2"/>
      <c r="C417" s="2"/>
      <c r="D417" s="2" t="s">
        <v>150</v>
      </c>
      <c r="AF417" s="2" t="s">
        <v>1265</v>
      </c>
    </row>
    <row r="418" spans="1:39" ht="13.15" customHeight="1">
      <c r="E418" s="1751"/>
      <c r="F418" s="1751"/>
      <c r="G418" s="1751"/>
      <c r="H418" s="12" t="s">
        <v>1266</v>
      </c>
      <c r="I418" s="1751"/>
      <c r="J418" s="1751"/>
      <c r="K418" s="1751"/>
      <c r="L418" t="s">
        <v>1267</v>
      </c>
      <c r="N418" s="23" t="s">
        <v>36</v>
      </c>
      <c r="P418" s="1701">
        <v>6.22</v>
      </c>
      <c r="Q418" s="1701"/>
      <c r="R418" s="1701"/>
      <c r="S418" t="s">
        <v>1268</v>
      </c>
      <c r="W418" s="1761">
        <f>IF(E418&gt;0,(E418*I418),(P418*43560))</f>
        <v>270943.2</v>
      </c>
      <c r="X418" s="1761"/>
      <c r="Y418" s="1761"/>
      <c r="Z418" t="s">
        <v>1269</v>
      </c>
      <c r="AF418" s="1702">
        <f>IFERROR(IF(P418&gt;0,(AG437/P418),(AG437/(W418/43560))),0)</f>
        <v>31.35048231511254</v>
      </c>
      <c r="AG418" s="1702"/>
      <c r="AH418" s="1702"/>
      <c r="AM418" s="3"/>
    </row>
    <row r="419" spans="1:39" ht="13.15" customHeight="1">
      <c r="E419" t="s">
        <v>1270</v>
      </c>
    </row>
    <row r="420" spans="1:39" ht="13.15" customHeight="1">
      <c r="E420" s="1758" t="s">
        <v>1271</v>
      </c>
      <c r="F420" s="1758"/>
      <c r="G420" s="1758"/>
      <c r="H420" s="1758"/>
      <c r="I420" s="1758"/>
      <c r="J420" s="1758"/>
      <c r="K420" s="1758"/>
      <c r="L420" s="1758"/>
      <c r="M420" s="1758"/>
      <c r="N420" s="1758"/>
      <c r="O420" s="1758"/>
      <c r="P420" s="1758"/>
      <c r="Q420" s="1758"/>
      <c r="R420" s="1758"/>
      <c r="S420" s="1758"/>
      <c r="T420" s="1758"/>
      <c r="U420" s="1758"/>
      <c r="V420" s="1758"/>
      <c r="W420" s="1758"/>
      <c r="X420" s="1758"/>
      <c r="Y420" s="1758"/>
      <c r="Z420" s="1758"/>
      <c r="AA420" s="1758"/>
      <c r="AB420" s="1758"/>
      <c r="AC420" s="1758"/>
      <c r="AD420" s="1758"/>
      <c r="AE420" s="1758"/>
      <c r="AF420" s="1758"/>
      <c r="AG420" s="1758"/>
      <c r="AH420" s="1758"/>
      <c r="AI420" s="1758"/>
      <c r="AJ420" s="1758"/>
    </row>
    <row r="421" spans="1:39" ht="13.15" customHeight="1">
      <c r="E421" s="84" t="s">
        <v>1272</v>
      </c>
      <c r="F421" s="18"/>
      <c r="G421" s="18"/>
      <c r="H421" s="18"/>
      <c r="I421" s="1700">
        <v>5.74</v>
      </c>
      <c r="J421" s="1700"/>
      <c r="K421" s="1700"/>
      <c r="L421" s="18"/>
      <c r="M421" s="84"/>
      <c r="N421" s="18"/>
      <c r="O421" s="18"/>
      <c r="P421" s="1399">
        <f>(DU755+DU778+DU800)/I421</f>
        <v>61.672473867595819</v>
      </c>
      <c r="Q421" s="1399"/>
      <c r="R421" s="1399"/>
      <c r="S421" s="84" t="s">
        <v>1273</v>
      </c>
      <c r="T421" s="18"/>
      <c r="U421" s="18"/>
      <c r="V421" s="18"/>
      <c r="W421" s="18"/>
      <c r="X421" s="18"/>
      <c r="Y421" s="18"/>
      <c r="Z421" s="18"/>
      <c r="AA421" s="18"/>
      <c r="AB421" s="18"/>
      <c r="AC421" s="18"/>
      <c r="AD421" s="18"/>
      <c r="AE421" s="18"/>
      <c r="AF421" s="18"/>
      <c r="AG421" s="18"/>
      <c r="AH421" s="18"/>
      <c r="AI421" s="18"/>
      <c r="AJ421" s="18"/>
    </row>
    <row r="422" spans="1:39" ht="13.15" customHeight="1"/>
    <row r="423" spans="1:39" ht="13.15" customHeight="1">
      <c r="A423" s="2" t="s">
        <v>1044</v>
      </c>
      <c r="B423" s="2"/>
      <c r="C423" s="2"/>
      <c r="D423" s="2" t="s">
        <v>152</v>
      </c>
    </row>
    <row r="424" spans="1:39" ht="13.15" customHeight="1">
      <c r="E424" t="s">
        <v>1274</v>
      </c>
      <c r="P424" s="1294">
        <v>6</v>
      </c>
      <c r="Q424" s="1294"/>
      <c r="S424" t="s">
        <v>1275</v>
      </c>
      <c r="AE424" s="1294">
        <v>6</v>
      </c>
      <c r="AF424" s="1294"/>
    </row>
    <row r="425" spans="1:39" ht="13.15" customHeight="1">
      <c r="E425" t="s">
        <v>1276</v>
      </c>
      <c r="P425" s="1294">
        <v>1</v>
      </c>
      <c r="Q425" s="1294"/>
      <c r="S425" t="s">
        <v>1277</v>
      </c>
      <c r="AE425" s="1294" t="s">
        <v>807</v>
      </c>
      <c r="AF425" s="1294"/>
    </row>
    <row r="426" spans="1:39" ht="13.15" customHeight="1">
      <c r="F426" s="19" t="s">
        <v>1278</v>
      </c>
    </row>
    <row r="427" spans="1:39" ht="13.15" customHeight="1">
      <c r="F427" s="1741" t="s">
        <v>1271</v>
      </c>
      <c r="G427" s="1741"/>
      <c r="H427" s="1741"/>
      <c r="I427" s="1741"/>
      <c r="J427" s="1741"/>
      <c r="K427" s="1741"/>
      <c r="L427" s="1741"/>
      <c r="M427" s="1741"/>
      <c r="N427" s="1741"/>
      <c r="O427" s="1741"/>
      <c r="P427" s="1741"/>
      <c r="Q427" s="1741"/>
      <c r="R427" s="1741"/>
      <c r="S427" s="1741"/>
      <c r="T427" s="1741"/>
      <c r="U427" s="1741"/>
      <c r="V427" s="1741"/>
      <c r="W427" s="1741"/>
      <c r="X427" s="1741"/>
      <c r="Y427" s="1741"/>
      <c r="Z427" s="1741"/>
      <c r="AA427" s="1741"/>
      <c r="AB427" s="1741"/>
      <c r="AC427" s="1741"/>
      <c r="AD427" s="1741"/>
      <c r="AE427" s="1741"/>
      <c r="AF427" s="1741"/>
      <c r="AG427" s="1741"/>
      <c r="AH427" s="1741"/>
    </row>
    <row r="428" spans="1:39" ht="13.15" customHeight="1">
      <c r="F428" s="1714"/>
      <c r="G428" s="1714"/>
      <c r="H428" s="1714"/>
      <c r="I428" s="1714"/>
      <c r="J428" s="1714"/>
      <c r="K428" s="1714"/>
      <c r="L428" s="1714"/>
      <c r="M428" s="1714"/>
      <c r="N428" s="1714"/>
      <c r="O428" s="1714"/>
      <c r="P428" s="1714"/>
      <c r="Q428" s="1714"/>
      <c r="R428" s="1714"/>
      <c r="S428" s="1714"/>
      <c r="T428" s="1714"/>
      <c r="U428" s="1714"/>
      <c r="V428" s="1714"/>
      <c r="W428" s="1714"/>
      <c r="X428" s="1714"/>
      <c r="Y428" s="1714"/>
      <c r="Z428" s="1714"/>
      <c r="AA428" s="1714"/>
      <c r="AB428" s="1714"/>
      <c r="AC428" s="1714"/>
      <c r="AD428" s="1714"/>
      <c r="AE428" s="1714"/>
      <c r="AF428" s="1714"/>
      <c r="AG428" s="1714"/>
      <c r="AH428" s="1714"/>
    </row>
    <row r="429" spans="1:39" ht="13.15" customHeight="1">
      <c r="E429" t="s">
        <v>1279</v>
      </c>
      <c r="P429" s="1"/>
      <c r="Q429" s="1294" t="s">
        <v>843</v>
      </c>
      <c r="R429" s="1294"/>
    </row>
    <row r="430" spans="1:39" ht="13.15" customHeight="1">
      <c r="F430" t="s">
        <v>1280</v>
      </c>
      <c r="P430" s="1"/>
      <c r="Q430" s="1"/>
      <c r="AF430" s="1294" t="s">
        <v>807</v>
      </c>
      <c r="AG430" s="1759"/>
    </row>
    <row r="431" spans="1:39" ht="13.15" customHeight="1"/>
    <row r="432" spans="1:39" ht="13.15" customHeight="1">
      <c r="A432" s="2"/>
      <c r="B432" s="2"/>
      <c r="C432" s="2"/>
      <c r="E432" s="3" t="s">
        <v>1281</v>
      </c>
      <c r="Z432" s="1294" t="s">
        <v>692</v>
      </c>
      <c r="AA432" s="1294"/>
    </row>
    <row r="433" spans="1:55" ht="13.15" customHeight="1">
      <c r="F433" s="31" t="s">
        <v>1282</v>
      </c>
      <c r="G433" s="32"/>
      <c r="H433" s="32"/>
      <c r="I433" s="32"/>
      <c r="J433" s="32"/>
      <c r="K433" s="32"/>
      <c r="L433" s="32"/>
      <c r="M433" s="32"/>
      <c r="N433" s="32"/>
      <c r="O433" s="32"/>
      <c r="P433" s="32"/>
      <c r="Q433" s="32"/>
      <c r="R433" s="32"/>
      <c r="S433" s="32"/>
      <c r="T433" s="32"/>
      <c r="U433" s="32"/>
      <c r="V433" s="32"/>
      <c r="W433" s="32"/>
      <c r="AB433" s="32"/>
    </row>
    <row r="434" spans="1:55" ht="13.15" customHeight="1">
      <c r="F434" t="s">
        <v>1283</v>
      </c>
      <c r="G434" s="32"/>
      <c r="I434" s="32"/>
      <c r="J434" s="32"/>
      <c r="K434" s="32"/>
      <c r="L434" s="32"/>
      <c r="M434" s="32"/>
      <c r="N434" s="32"/>
      <c r="O434" s="19"/>
      <c r="P434" s="32"/>
      <c r="Q434" s="32"/>
      <c r="R434" s="32"/>
      <c r="S434" s="32"/>
      <c r="T434" s="32"/>
      <c r="U434" s="32"/>
      <c r="V434" s="32"/>
      <c r="W434" s="32"/>
      <c r="Z434" s="1294" t="s">
        <v>807</v>
      </c>
      <c r="AA434" s="1294"/>
    </row>
    <row r="435" spans="1:55" ht="13.15" customHeight="1"/>
    <row r="436" spans="1:55" ht="13.15" customHeight="1">
      <c r="A436" s="2" t="s">
        <v>1106</v>
      </c>
      <c r="B436" s="2"/>
      <c r="C436" s="2"/>
      <c r="D436" s="2" t="s">
        <v>159</v>
      </c>
      <c r="AF436" s="40"/>
    </row>
    <row r="437" spans="1:55" ht="13.15" customHeight="1">
      <c r="D437" s="1571" t="s">
        <v>1284</v>
      </c>
      <c r="E437" s="1572"/>
      <c r="F437" s="1572"/>
      <c r="G437" s="1572"/>
      <c r="H437" s="1572"/>
      <c r="I437" s="1572"/>
      <c r="J437" s="1572"/>
      <c r="K437" s="1572"/>
      <c r="L437" s="1572"/>
      <c r="M437" s="1572"/>
      <c r="N437" s="1572"/>
      <c r="O437" s="1572"/>
      <c r="P437" s="1572"/>
      <c r="Q437" s="1572"/>
      <c r="R437" s="1572"/>
      <c r="S437" s="1572"/>
      <c r="T437" s="1572"/>
      <c r="U437" s="1572"/>
      <c r="V437" s="1572"/>
      <c r="W437" s="1572"/>
      <c r="X437" s="1572"/>
      <c r="Y437" s="1572"/>
      <c r="Z437" s="1572"/>
      <c r="AA437" s="1572"/>
      <c r="AB437" s="1572"/>
      <c r="AC437" s="1572"/>
      <c r="AD437" s="1572"/>
      <c r="AE437" s="1572"/>
      <c r="AF437" s="1703"/>
      <c r="AG437" s="1756">
        <v>195</v>
      </c>
      <c r="AH437" s="1756"/>
      <c r="AI437" s="1756"/>
      <c r="AJ437" s="1756"/>
    </row>
    <row r="438" spans="1:55" ht="13.15" customHeight="1">
      <c r="D438" s="1597" t="s">
        <v>1285</v>
      </c>
      <c r="E438" s="1685"/>
      <c r="F438" s="1685"/>
      <c r="G438" s="1685"/>
      <c r="H438" s="1685"/>
      <c r="I438" s="1685"/>
      <c r="J438" s="1685"/>
      <c r="K438" s="1685"/>
      <c r="L438" s="1685"/>
      <c r="M438" s="1685"/>
      <c r="N438" s="1685"/>
      <c r="O438" s="1685"/>
      <c r="P438" s="1685"/>
      <c r="Q438" s="1685"/>
      <c r="R438" s="1685"/>
      <c r="S438" s="1685"/>
      <c r="T438" s="1685"/>
      <c r="U438" s="1685"/>
      <c r="V438" s="1685"/>
      <c r="W438" s="1685"/>
      <c r="X438" s="1685"/>
      <c r="Y438" s="1685"/>
      <c r="Z438" s="1685"/>
      <c r="AA438" s="1685"/>
      <c r="AB438" s="1685"/>
      <c r="AC438" s="1685"/>
      <c r="AD438" s="1685"/>
      <c r="AE438" s="1685"/>
      <c r="AF438" s="1686"/>
      <c r="AG438" s="1760">
        <v>0</v>
      </c>
      <c r="AH438" s="1559"/>
      <c r="AI438" s="1559"/>
      <c r="AJ438" s="1559"/>
    </row>
    <row r="439" spans="1:55" ht="13.15" customHeight="1">
      <c r="D439" s="1597" t="s">
        <v>1286</v>
      </c>
      <c r="E439" s="1685"/>
      <c r="F439" s="1685"/>
      <c r="G439" s="1685"/>
      <c r="H439" s="1685"/>
      <c r="I439" s="1685"/>
      <c r="J439" s="1685"/>
      <c r="K439" s="1685"/>
      <c r="L439" s="1685"/>
      <c r="M439" s="1685"/>
      <c r="N439" s="1685"/>
      <c r="O439" s="1685"/>
      <c r="P439" s="1685"/>
      <c r="Q439" s="1685"/>
      <c r="R439" s="1685"/>
      <c r="S439" s="1685"/>
      <c r="T439" s="1685"/>
      <c r="U439" s="1685"/>
      <c r="V439" s="1685"/>
      <c r="W439" s="1685"/>
      <c r="X439" s="1685"/>
      <c r="Y439" s="1685"/>
      <c r="Z439" s="1685"/>
      <c r="AA439" s="1685"/>
      <c r="AB439" s="1685"/>
      <c r="AC439" s="1685"/>
      <c r="AD439" s="1685"/>
      <c r="AE439" s="1685"/>
      <c r="AF439" s="1686"/>
      <c r="AG439" s="1756">
        <v>193</v>
      </c>
      <c r="AH439" s="1756"/>
      <c r="AI439" s="1756"/>
      <c r="AJ439" s="1756"/>
    </row>
    <row r="440" spans="1:55" ht="13.15" customHeight="1">
      <c r="D440" s="1597" t="s">
        <v>1287</v>
      </c>
      <c r="E440" s="1685"/>
      <c r="F440" s="1685"/>
      <c r="G440" s="1685"/>
      <c r="H440" s="1685"/>
      <c r="I440" s="1685"/>
      <c r="J440" s="1685"/>
      <c r="K440" s="1685"/>
      <c r="L440" s="1685"/>
      <c r="M440" s="1685"/>
      <c r="N440" s="1685"/>
      <c r="O440" s="1685"/>
      <c r="P440" s="1685"/>
      <c r="Q440" s="1685"/>
      <c r="R440" s="1685"/>
      <c r="S440" s="1685"/>
      <c r="T440" s="1685"/>
      <c r="U440" s="1685"/>
      <c r="V440" s="1685"/>
      <c r="W440" s="1685"/>
      <c r="X440" s="1685"/>
      <c r="Y440" s="1685"/>
      <c r="Z440" s="1685"/>
      <c r="AA440" s="1685"/>
      <c r="AB440" s="1685"/>
      <c r="AC440" s="1685"/>
      <c r="AD440" s="1685"/>
      <c r="AE440" s="1685"/>
      <c r="AF440" s="1686"/>
      <c r="AG440" s="1756">
        <v>193</v>
      </c>
      <c r="AH440" s="1756"/>
      <c r="AI440" s="1756"/>
      <c r="AJ440" s="1756"/>
    </row>
    <row r="441" spans="1:55" ht="13.15" customHeight="1">
      <c r="D441" s="1597" t="s">
        <v>1288</v>
      </c>
      <c r="E441" s="1685"/>
      <c r="F441" s="1685"/>
      <c r="G441" s="1685"/>
      <c r="H441" s="1685"/>
      <c r="I441" s="1685"/>
      <c r="J441" s="1685"/>
      <c r="K441" s="1685"/>
      <c r="L441" s="1685"/>
      <c r="M441" s="1685"/>
      <c r="N441" s="1685"/>
      <c r="O441" s="1685"/>
      <c r="P441" s="1685"/>
      <c r="Q441" s="1685"/>
      <c r="R441" s="1685"/>
      <c r="S441" s="1685"/>
      <c r="T441" s="1685"/>
      <c r="U441" s="1685"/>
      <c r="V441" s="1685"/>
      <c r="W441" s="1685"/>
      <c r="X441" s="1685"/>
      <c r="Y441" s="1685"/>
      <c r="Z441" s="1685"/>
      <c r="AA441" s="1685"/>
      <c r="AB441" s="1685"/>
      <c r="AC441" s="1685"/>
      <c r="AD441" s="1685"/>
      <c r="AE441" s="1685"/>
      <c r="AF441" s="1686"/>
      <c r="AG441" s="1744">
        <f>IF(ISERROR(AG440/AG439),0,AG440/AG439)</f>
        <v>1</v>
      </c>
      <c r="AH441" s="1744"/>
      <c r="AI441" s="1744"/>
      <c r="AJ441" s="1744"/>
    </row>
    <row r="442" spans="1:55" ht="13.15" customHeight="1">
      <c r="D442" s="1597" t="s">
        <v>1289</v>
      </c>
      <c r="E442" s="1685"/>
      <c r="F442" s="1685"/>
      <c r="G442" s="1685"/>
      <c r="H442" s="1685"/>
      <c r="I442" s="1685"/>
      <c r="J442" s="1685"/>
      <c r="K442" s="1685"/>
      <c r="L442" s="1685"/>
      <c r="M442" s="1685"/>
      <c r="N442" s="1685"/>
      <c r="O442" s="1685"/>
      <c r="P442" s="1685"/>
      <c r="Q442" s="1685"/>
      <c r="R442" s="1685"/>
      <c r="S442" s="1685"/>
      <c r="T442" s="1685"/>
      <c r="U442" s="1685"/>
      <c r="V442" s="1685"/>
      <c r="W442" s="1685"/>
      <c r="X442" s="1685"/>
      <c r="Y442" s="1685"/>
      <c r="Z442" s="1685"/>
      <c r="AA442" s="1685"/>
      <c r="AB442" s="1685"/>
      <c r="AC442" s="1685"/>
      <c r="AD442" s="1685"/>
      <c r="AE442" s="1685"/>
      <c r="AF442" s="1686"/>
      <c r="AG442" s="1639">
        <f>149534-607-607</f>
        <v>148320</v>
      </c>
      <c r="AH442" s="1639"/>
      <c r="AI442" s="1639"/>
      <c r="AJ442" s="1639"/>
    </row>
    <row r="443" spans="1:55" ht="13.15" customHeight="1">
      <c r="D443" s="1597" t="s">
        <v>1290</v>
      </c>
      <c r="E443" s="1685"/>
      <c r="F443" s="1685"/>
      <c r="G443" s="1685"/>
      <c r="H443" s="1685"/>
      <c r="I443" s="1685"/>
      <c r="J443" s="1685"/>
      <c r="K443" s="1685"/>
      <c r="L443" s="1685"/>
      <c r="M443" s="1685"/>
      <c r="N443" s="1685"/>
      <c r="O443" s="1685"/>
      <c r="P443" s="1685"/>
      <c r="Q443" s="1685"/>
      <c r="R443" s="1685"/>
      <c r="S443" s="1685"/>
      <c r="T443" s="1685"/>
      <c r="U443" s="1685"/>
      <c r="V443" s="1685"/>
      <c r="W443" s="1685"/>
      <c r="X443" s="1685"/>
      <c r="Y443" s="1685"/>
      <c r="Z443" s="1685"/>
      <c r="AA443" s="1685"/>
      <c r="AB443" s="1685"/>
      <c r="AC443" s="1685"/>
      <c r="AD443" s="1685"/>
      <c r="AE443" s="1685"/>
      <c r="AF443" s="1686"/>
      <c r="AG443" s="1639">
        <f>AG442</f>
        <v>148320</v>
      </c>
      <c r="AH443" s="1639"/>
      <c r="AI443" s="1639"/>
      <c r="AJ443" s="1639"/>
    </row>
    <row r="444" spans="1:55" ht="13.15" customHeight="1">
      <c r="D444" s="1597" t="s">
        <v>1291</v>
      </c>
      <c r="E444" s="1685"/>
      <c r="F444" s="1685"/>
      <c r="G444" s="1685"/>
      <c r="H444" s="1685"/>
      <c r="I444" s="1685"/>
      <c r="J444" s="1685"/>
      <c r="K444" s="1685"/>
      <c r="L444" s="1685"/>
      <c r="M444" s="1685"/>
      <c r="N444" s="1685"/>
      <c r="O444" s="1685"/>
      <c r="P444" s="1685"/>
      <c r="Q444" s="1685"/>
      <c r="R444" s="1685"/>
      <c r="S444" s="1685"/>
      <c r="T444" s="1685"/>
      <c r="U444" s="1685"/>
      <c r="V444" s="1685"/>
      <c r="W444" s="1685"/>
      <c r="X444" s="1685"/>
      <c r="Y444" s="1685"/>
      <c r="Z444" s="1685"/>
      <c r="AA444" s="1685"/>
      <c r="AB444" s="1685"/>
      <c r="AC444" s="1685"/>
      <c r="AD444" s="1685"/>
      <c r="AE444" s="1685"/>
      <c r="AF444" s="1686"/>
      <c r="AG444" s="1744">
        <f>IF(ISERROR(AG443/AG442),0,AG443/AG442)</f>
        <v>1</v>
      </c>
      <c r="AH444" s="1744"/>
      <c r="AI444" s="1744"/>
      <c r="AJ444" s="1744"/>
    </row>
    <row r="445" spans="1:55" ht="13.15" customHeight="1">
      <c r="D445" s="1597" t="s">
        <v>1292</v>
      </c>
      <c r="E445" s="1685"/>
      <c r="F445" s="1685"/>
      <c r="G445" s="1685"/>
      <c r="H445" s="1685"/>
      <c r="I445" s="1685"/>
      <c r="J445" s="1685"/>
      <c r="K445" s="1685"/>
      <c r="L445" s="1685"/>
      <c r="M445" s="1685"/>
      <c r="N445" s="1685"/>
      <c r="O445" s="1685"/>
      <c r="P445" s="1685"/>
      <c r="Q445" s="1685"/>
      <c r="R445" s="1685"/>
      <c r="S445" s="1685"/>
      <c r="T445" s="1685"/>
      <c r="U445" s="1685"/>
      <c r="V445" s="1685"/>
      <c r="W445" s="1685"/>
      <c r="X445" s="1685"/>
      <c r="Y445" s="1685"/>
      <c r="Z445" s="1685"/>
      <c r="AA445" s="1685"/>
      <c r="AB445" s="1685"/>
      <c r="AC445" s="1685"/>
      <c r="AD445" s="1685"/>
      <c r="AE445" s="1685"/>
      <c r="AF445" s="1686"/>
      <c r="AG445" s="1744">
        <f>MIN(IF(AG441&gt;AG444,AG444,AG441),1)</f>
        <v>1</v>
      </c>
      <c r="AH445" s="1744"/>
      <c r="AI445" s="1744"/>
      <c r="AJ445" s="1744"/>
    </row>
    <row r="446" spans="1:55" ht="13.15" customHeight="1">
      <c r="D446" s="1597" t="s">
        <v>1293</v>
      </c>
      <c r="E446" s="1572"/>
      <c r="F446" s="1572"/>
      <c r="G446" s="1572"/>
      <c r="H446" s="1572"/>
      <c r="I446" s="1572"/>
      <c r="J446" s="1572"/>
      <c r="K446" s="1572"/>
      <c r="L446" s="1572"/>
      <c r="M446" s="1572"/>
      <c r="N446" s="1572"/>
      <c r="O446" s="1572"/>
      <c r="P446" s="1572"/>
      <c r="Q446" s="1572"/>
      <c r="R446" s="1572"/>
      <c r="S446" s="1572"/>
      <c r="T446" s="1572"/>
      <c r="U446" s="1572"/>
      <c r="V446" s="1572"/>
      <c r="W446" s="1572"/>
      <c r="X446" s="1572"/>
      <c r="Y446" s="1572"/>
      <c r="Z446" s="1572"/>
      <c r="AA446" s="1572"/>
      <c r="AB446" s="1572"/>
      <c r="AC446" s="1572"/>
      <c r="AD446" s="1572"/>
      <c r="AE446" s="1572"/>
      <c r="AF446" s="1703"/>
      <c r="AG446" s="1639">
        <v>0</v>
      </c>
      <c r="AH446" s="1639"/>
      <c r="AI446" s="1639"/>
      <c r="AJ446" s="1639"/>
      <c r="AZ446" s="3"/>
      <c r="BA446" s="3"/>
      <c r="BB446" s="3"/>
      <c r="BC446" s="3"/>
    </row>
    <row r="447" spans="1:55" ht="13.15" customHeight="1">
      <c r="D447" s="1571" t="s">
        <v>1294</v>
      </c>
      <c r="E447" s="1572"/>
      <c r="F447" s="1572"/>
      <c r="G447" s="1572"/>
      <c r="H447" s="1572"/>
      <c r="I447" s="1572"/>
      <c r="J447" s="1572"/>
      <c r="K447" s="1572"/>
      <c r="L447" s="1572"/>
      <c r="M447" s="1572"/>
      <c r="N447" s="1572"/>
      <c r="O447" s="1572"/>
      <c r="P447" s="1572"/>
      <c r="Q447" s="1572"/>
      <c r="R447" s="1572"/>
      <c r="S447" s="1572"/>
      <c r="T447" s="1572"/>
      <c r="U447" s="1572"/>
      <c r="V447" s="1572"/>
      <c r="W447" s="1572"/>
      <c r="X447" s="1572"/>
      <c r="Y447" s="1572"/>
      <c r="Z447" s="1572"/>
      <c r="AA447" s="1572"/>
      <c r="AB447" s="1572"/>
      <c r="AC447" s="1572"/>
      <c r="AD447" s="1572"/>
      <c r="AE447" s="1572"/>
      <c r="AF447" s="1703"/>
      <c r="AG447" s="1639">
        <v>0</v>
      </c>
      <c r="AH447" s="1639"/>
      <c r="AI447" s="1639"/>
      <c r="AJ447" s="1639"/>
      <c r="AZ447" s="3"/>
      <c r="BA447" s="3"/>
      <c r="BB447" s="3"/>
      <c r="BC447" s="3"/>
    </row>
    <row r="448" spans="1:55" ht="13.15" customHeight="1">
      <c r="D448" s="1597" t="s">
        <v>1295</v>
      </c>
      <c r="E448" s="1572"/>
      <c r="F448" s="1572"/>
      <c r="G448" s="1572"/>
      <c r="H448" s="1572"/>
      <c r="I448" s="1572"/>
      <c r="J448" s="1572"/>
      <c r="K448" s="1572"/>
      <c r="L448" s="1572"/>
      <c r="M448" s="1572"/>
      <c r="N448" s="1572"/>
      <c r="O448" s="1572"/>
      <c r="P448" s="1572"/>
      <c r="Q448" s="1572"/>
      <c r="R448" s="1572"/>
      <c r="S448" s="1572"/>
      <c r="T448" s="1572"/>
      <c r="U448" s="1572"/>
      <c r="V448" s="1572"/>
      <c r="W448" s="1572"/>
      <c r="X448" s="1572"/>
      <c r="Y448" s="1572"/>
      <c r="Z448" s="1572"/>
      <c r="AA448" s="1572"/>
      <c r="AB448" s="1572"/>
      <c r="AC448" s="1572"/>
      <c r="AD448" s="1572"/>
      <c r="AE448" s="1572"/>
      <c r="AF448" s="1703"/>
      <c r="AG448" s="1639">
        <v>0</v>
      </c>
      <c r="AH448" s="1639"/>
      <c r="AI448" s="1639"/>
      <c r="AJ448" s="1639"/>
      <c r="AZ448" s="3"/>
      <c r="BA448" s="3"/>
      <c r="BB448" s="3"/>
      <c r="BC448" s="3"/>
    </row>
    <row r="449" spans="1:55" ht="13.15" customHeight="1">
      <c r="D449" s="1597" t="s">
        <v>1296</v>
      </c>
      <c r="E449" s="1572"/>
      <c r="F449" s="1572"/>
      <c r="G449" s="1572"/>
      <c r="H449" s="1572"/>
      <c r="I449" s="1572"/>
      <c r="J449" s="1572"/>
      <c r="K449" s="1572"/>
      <c r="L449" s="1572"/>
      <c r="M449" s="1572"/>
      <c r="N449" s="1572"/>
      <c r="O449" s="1572"/>
      <c r="P449" s="1572"/>
      <c r="Q449" s="1572"/>
      <c r="R449" s="1572"/>
      <c r="S449" s="1572"/>
      <c r="T449" s="1572"/>
      <c r="U449" s="1572"/>
      <c r="V449" s="1572"/>
      <c r="W449" s="1572"/>
      <c r="X449" s="1572"/>
      <c r="Y449" s="1572"/>
      <c r="Z449" s="1572"/>
      <c r="AA449" s="1572"/>
      <c r="AB449" s="1572"/>
      <c r="AC449" s="1572"/>
      <c r="AD449" s="1572"/>
      <c r="AE449" s="1572"/>
      <c r="AF449" s="1703"/>
      <c r="AG449" s="1639">
        <v>0</v>
      </c>
      <c r="AH449" s="1639"/>
      <c r="AI449" s="1639"/>
      <c r="AJ449" s="1639"/>
      <c r="BB449" s="3"/>
      <c r="BC449" s="3"/>
    </row>
    <row r="450" spans="1:55" ht="13.15" customHeight="1">
      <c r="D450" s="1707" t="s">
        <v>1297</v>
      </c>
      <c r="E450" s="1708"/>
      <c r="F450" s="1708"/>
      <c r="G450" s="1708"/>
      <c r="H450" s="1708"/>
      <c r="I450" s="1708"/>
      <c r="J450" s="1708"/>
      <c r="K450" s="1708"/>
      <c r="L450" s="1708"/>
      <c r="M450" s="1708"/>
      <c r="N450" s="1708"/>
      <c r="O450" s="1708"/>
      <c r="P450" s="1708"/>
      <c r="Q450" s="1708"/>
      <c r="R450" s="1708"/>
      <c r="S450" s="1708"/>
      <c r="T450" s="1708"/>
      <c r="U450" s="1708"/>
      <c r="V450" s="1708"/>
      <c r="W450" s="1708"/>
      <c r="X450" s="1708"/>
      <c r="Y450" s="1708"/>
      <c r="Z450" s="1708"/>
      <c r="AA450" s="1708"/>
      <c r="AB450" s="1708"/>
      <c r="AC450" s="1708"/>
      <c r="AD450" s="1708"/>
      <c r="AE450" s="1708"/>
      <c r="AF450" s="1709"/>
      <c r="AG450" s="1779">
        <f>AG442+AG446+AG448+AG449</f>
        <v>148320</v>
      </c>
      <c r="AH450" s="1779"/>
      <c r="AI450" s="1779"/>
      <c r="AJ450" s="1779"/>
      <c r="AZ450" s="3"/>
      <c r="BA450" s="3"/>
      <c r="BB450" s="3"/>
      <c r="BC450" s="3"/>
    </row>
    <row r="451" spans="1:55" ht="13.15" customHeight="1">
      <c r="D451" s="1687" t="s">
        <v>1298</v>
      </c>
      <c r="E451" s="1687"/>
      <c r="F451" s="1687"/>
      <c r="G451" s="1687"/>
      <c r="H451" s="1687"/>
      <c r="I451" s="1687"/>
      <c r="J451" s="1687"/>
      <c r="K451" s="1687"/>
      <c r="L451" s="1687"/>
      <c r="M451" s="1687"/>
      <c r="N451" s="1687"/>
      <c r="O451" s="1687"/>
      <c r="P451" s="1687"/>
      <c r="Q451" s="1687"/>
      <c r="R451" s="1687"/>
      <c r="S451" s="1687"/>
      <c r="T451" s="1687"/>
      <c r="U451" s="1687"/>
      <c r="V451" s="1687"/>
      <c r="W451" s="1687"/>
      <c r="X451" s="1687"/>
      <c r="Y451" s="1687"/>
      <c r="Z451" s="1687"/>
      <c r="AA451" s="1687"/>
      <c r="AB451" s="1687"/>
      <c r="AC451" s="1687"/>
      <c r="AD451" s="1687"/>
      <c r="AE451" s="1687"/>
      <c r="AF451" s="1687"/>
      <c r="AG451" s="1687"/>
      <c r="AH451" s="1687"/>
      <c r="AI451" s="1687"/>
      <c r="AJ451" s="1687"/>
      <c r="AZ451" s="3"/>
      <c r="BA451" s="3"/>
      <c r="BB451" s="3"/>
      <c r="BC451" s="3"/>
    </row>
    <row r="452" spans="1:55" ht="13.15" customHeight="1">
      <c r="D452" s="1688"/>
      <c r="E452" s="1688"/>
      <c r="F452" s="1688"/>
      <c r="G452" s="1688"/>
      <c r="H452" s="1688"/>
      <c r="I452" s="1688"/>
      <c r="J452" s="1688"/>
      <c r="K452" s="1688"/>
      <c r="L452" s="1688"/>
      <c r="M452" s="1688"/>
      <c r="N452" s="1688"/>
      <c r="O452" s="1688"/>
      <c r="P452" s="1688"/>
      <c r="Q452" s="1688"/>
      <c r="R452" s="1688"/>
      <c r="S452" s="1688"/>
      <c r="T452" s="1688"/>
      <c r="U452" s="1688"/>
      <c r="V452" s="1688"/>
      <c r="W452" s="1688"/>
      <c r="X452" s="1688"/>
      <c r="Y452" s="1688"/>
      <c r="Z452" s="1688"/>
      <c r="AA452" s="1688"/>
      <c r="AB452" s="1688"/>
      <c r="AC452" s="1688"/>
      <c r="AD452" s="1688"/>
      <c r="AE452" s="1688"/>
      <c r="AF452" s="1688"/>
      <c r="AG452" s="1688"/>
      <c r="AH452" s="1688"/>
      <c r="AI452" s="1688"/>
      <c r="AJ452" s="1688"/>
      <c r="AZ452" s="3"/>
      <c r="BA452" s="3"/>
      <c r="BB452" s="3"/>
      <c r="BC452" s="3"/>
    </row>
    <row r="453" spans="1:55" ht="13.1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15" customHeight="1">
      <c r="D454" s="137" t="s">
        <v>1299</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48">
        <f>IF(AG437=0,"",'Sources and Uses Budget'!B105/Application!AG437)</f>
        <v>455528.17435897439</v>
      </c>
      <c r="AD454" s="1748"/>
      <c r="AE454" s="1748"/>
      <c r="AF454" s="1748"/>
      <c r="AG454" s="415"/>
      <c r="AH454" s="415"/>
      <c r="AI454" s="415"/>
      <c r="AJ454" s="864"/>
      <c r="AZ454" s="3"/>
      <c r="BA454" s="3" t="str">
        <f>AG575</f>
        <v>Yes</v>
      </c>
      <c r="BB454" s="3"/>
      <c r="BC454" s="3"/>
    </row>
    <row r="455" spans="1:55" ht="13.15" customHeight="1">
      <c r="D455" s="137" t="s">
        <v>1300</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48">
        <f>IF(AG437=0,"",'Sources and Uses Budget'!C105/Application!AG437)</f>
        <v>455528.17435897439</v>
      </c>
      <c r="AD455" s="1748"/>
      <c r="AE455" s="1748"/>
      <c r="AF455" s="1748"/>
      <c r="AG455" s="415"/>
      <c r="AH455" s="415"/>
      <c r="AI455" s="415"/>
      <c r="AJ455" s="864"/>
      <c r="AZ455" s="3"/>
      <c r="BA455" s="3"/>
      <c r="BB455" s="3"/>
      <c r="BC455" s="3"/>
    </row>
    <row r="456" spans="1:55" ht="13.15" customHeight="1">
      <c r="D456" s="137" t="s">
        <v>1301</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48">
        <f>IF(AG437=0,"",('Sources and Uses Budget'!$S$107+'Sources and Uses Budget'!$T$107)/Application!AG437)</f>
        <v>419878.16923076921</v>
      </c>
      <c r="AD456" s="1748"/>
      <c r="AE456" s="1748"/>
      <c r="AF456" s="1748"/>
      <c r="AG456" s="415"/>
      <c r="AH456" s="415"/>
      <c r="AI456" s="415"/>
      <c r="AJ456" s="864"/>
      <c r="AZ456" s="3"/>
      <c r="BA456" s="3"/>
      <c r="BB456" s="3"/>
      <c r="BC456" s="3"/>
    </row>
    <row r="457" spans="1:55" ht="13.15" customHeight="1">
      <c r="D457" s="415"/>
      <c r="E457" s="415"/>
      <c r="F457" s="1675" t="str">
        <f>IFERROR(IF(AC454&gt;650000,"Please provide a justification of cost per unit in Tab 12 for all projects with per unit costs of greater than $650,000.",""),"")</f>
        <v/>
      </c>
      <c r="G457" s="1675"/>
      <c r="H457" s="1675"/>
      <c r="I457" s="1675"/>
      <c r="J457" s="1675"/>
      <c r="K457" s="1675"/>
      <c r="L457" s="1675"/>
      <c r="M457" s="1675"/>
      <c r="N457" s="1675"/>
      <c r="O457" s="1675"/>
      <c r="P457" s="1675"/>
      <c r="Q457" s="1675"/>
      <c r="R457" s="1675"/>
      <c r="S457" s="1675"/>
      <c r="T457" s="1675"/>
      <c r="U457" s="1675"/>
      <c r="V457" s="1675"/>
      <c r="W457" s="1675"/>
      <c r="X457" s="1675"/>
      <c r="Y457" s="1675"/>
      <c r="Z457" s="1675"/>
      <c r="AA457" s="1675"/>
      <c r="AB457" s="1675"/>
      <c r="AC457" s="415"/>
      <c r="AD457" s="415"/>
      <c r="AE457" s="415"/>
      <c r="AF457" s="415"/>
      <c r="AG457" s="415"/>
      <c r="AH457" s="415"/>
      <c r="AI457" s="415"/>
      <c r="AJ457" s="864"/>
      <c r="AZ457" s="3"/>
      <c r="BA457" s="3"/>
      <c r="BB457" s="3"/>
      <c r="BC457" s="3"/>
    </row>
    <row r="458" spans="1:55" ht="13.15" customHeight="1">
      <c r="A458" s="2"/>
      <c r="D458" s="2"/>
      <c r="E458" s="415"/>
      <c r="F458" s="1675"/>
      <c r="G458" s="1675"/>
      <c r="H458" s="1675"/>
      <c r="I458" s="1675"/>
      <c r="J458" s="1675"/>
      <c r="K458" s="1675"/>
      <c r="L458" s="1675"/>
      <c r="M458" s="1675"/>
      <c r="N458" s="1675"/>
      <c r="O458" s="1675"/>
      <c r="P458" s="1675"/>
      <c r="Q458" s="1675"/>
      <c r="R458" s="1675"/>
      <c r="S458" s="1675"/>
      <c r="T458" s="1675"/>
      <c r="U458" s="1675"/>
      <c r="V458" s="1675"/>
      <c r="W458" s="1675"/>
      <c r="X458" s="1675"/>
      <c r="Y458" s="1675"/>
      <c r="Z458" s="1675"/>
      <c r="AA458" s="1675"/>
      <c r="AB458" s="1675"/>
      <c r="AC458" s="415"/>
      <c r="AD458" s="415"/>
      <c r="AE458" s="415"/>
      <c r="AF458" s="415"/>
      <c r="AG458" s="415"/>
      <c r="AH458" s="415"/>
      <c r="AI458" s="415"/>
      <c r="AJ458" s="864"/>
      <c r="AZ458" s="3"/>
      <c r="BA458" s="3"/>
      <c r="BB458" s="3"/>
      <c r="BC458" s="3"/>
    </row>
    <row r="459" spans="1:55" ht="13.15" customHeight="1">
      <c r="A459" s="2" t="s">
        <v>1302</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15" customHeight="1">
      <c r="D460" s="127" t="s">
        <v>1303</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15" customHeight="1">
      <c r="D461" s="127" t="s">
        <v>1304</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15" customHeight="1">
      <c r="D462" s="127" t="s">
        <v>1305</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1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15" customHeight="1">
      <c r="A464" s="3"/>
      <c r="B464" s="3"/>
      <c r="C464" s="3"/>
      <c r="D464" s="127" t="s">
        <v>1306</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15" customHeight="1">
      <c r="A465" s="3"/>
      <c r="B465" s="3"/>
      <c r="C465" s="3"/>
      <c r="D465" s="1694" t="s">
        <v>1307</v>
      </c>
      <c r="E465" s="1695"/>
      <c r="F465" s="1695"/>
      <c r="G465" s="1695"/>
      <c r="H465" s="1695"/>
      <c r="I465" s="1695"/>
      <c r="J465" s="1695"/>
      <c r="K465" s="1695"/>
      <c r="L465" s="1695"/>
      <c r="M465" s="1695"/>
      <c r="N465" s="1695"/>
      <c r="O465" s="1695"/>
      <c r="P465" s="1695"/>
      <c r="Q465" s="1695"/>
      <c r="R465" s="1695"/>
      <c r="S465" s="1695"/>
      <c r="T465" s="1695"/>
      <c r="U465" s="1695"/>
      <c r="V465" s="1696"/>
      <c r="W465" s="1609">
        <v>0</v>
      </c>
      <c r="X465" s="1610"/>
      <c r="Y465" s="1611"/>
      <c r="Z465" s="127"/>
      <c r="AA465" s="127"/>
      <c r="AB465" s="127"/>
      <c r="AC465" s="127"/>
      <c r="AD465" s="415"/>
      <c r="AE465" s="415"/>
      <c r="AF465" s="415"/>
      <c r="AG465" s="415"/>
      <c r="AH465" s="415"/>
      <c r="AI465" s="415"/>
      <c r="AJ465" s="864"/>
      <c r="AZ465" s="3"/>
      <c r="BA465" s="3"/>
      <c r="BB465" s="3"/>
      <c r="BC465" s="3"/>
    </row>
    <row r="466" spans="1:55" ht="13.15" customHeight="1">
      <c r="A466" s="3"/>
      <c r="B466" s="3"/>
      <c r="C466" s="3"/>
      <c r="D466" s="1694" t="s">
        <v>1308</v>
      </c>
      <c r="E466" s="1695"/>
      <c r="F466" s="1695"/>
      <c r="G466" s="1695"/>
      <c r="H466" s="1695"/>
      <c r="I466" s="1695"/>
      <c r="J466" s="1695"/>
      <c r="K466" s="1695"/>
      <c r="L466" s="1695"/>
      <c r="M466" s="1695"/>
      <c r="N466" s="1695"/>
      <c r="O466" s="1695"/>
      <c r="P466" s="1695"/>
      <c r="Q466" s="1695"/>
      <c r="R466" s="1695"/>
      <c r="S466" s="1695"/>
      <c r="T466" s="1695"/>
      <c r="U466" s="1695"/>
      <c r="V466" s="1696"/>
      <c r="W466" s="1609">
        <v>0</v>
      </c>
      <c r="X466" s="1610"/>
      <c r="Y466" s="1611"/>
      <c r="Z466" s="127"/>
      <c r="AA466" s="127"/>
      <c r="AB466" s="127"/>
      <c r="AC466" s="127"/>
      <c r="AD466" s="415"/>
      <c r="AE466" s="415"/>
      <c r="AF466" s="415"/>
      <c r="AG466" s="415"/>
      <c r="AH466" s="415"/>
      <c r="AI466" s="415"/>
      <c r="AJ466" s="864"/>
      <c r="AZ466" s="3"/>
      <c r="BA466" s="3"/>
      <c r="BB466" s="3"/>
      <c r="BC466" s="3"/>
    </row>
    <row r="467" spans="1:55" ht="13.15" customHeight="1">
      <c r="A467" s="3"/>
      <c r="B467" s="3"/>
      <c r="C467" s="3"/>
      <c r="D467" s="1694" t="s">
        <v>1309</v>
      </c>
      <c r="E467" s="1695"/>
      <c r="F467" s="1695"/>
      <c r="G467" s="1695"/>
      <c r="H467" s="1695"/>
      <c r="I467" s="1695"/>
      <c r="J467" s="1695"/>
      <c r="K467" s="1695"/>
      <c r="L467" s="1695"/>
      <c r="M467" s="1695"/>
      <c r="N467" s="1695"/>
      <c r="O467" s="1695"/>
      <c r="P467" s="1695"/>
      <c r="Q467" s="1695"/>
      <c r="R467" s="1695"/>
      <c r="S467" s="1695"/>
      <c r="T467" s="1695"/>
      <c r="U467" s="1695"/>
      <c r="V467" s="1696"/>
      <c r="W467" s="1609">
        <v>0</v>
      </c>
      <c r="X467" s="1610"/>
      <c r="Y467" s="1611"/>
      <c r="Z467" s="127"/>
      <c r="AA467" s="127"/>
      <c r="AB467" s="127"/>
      <c r="AC467" s="127"/>
      <c r="AD467" s="415"/>
      <c r="AE467" s="415"/>
      <c r="AF467" s="415"/>
      <c r="AG467" s="415"/>
      <c r="AH467" s="415"/>
      <c r="AI467" s="415"/>
      <c r="AJ467" s="864"/>
      <c r="AZ467" s="3"/>
      <c r="BA467" s="3"/>
      <c r="BB467" s="3"/>
      <c r="BC467" s="3"/>
    </row>
    <row r="468" spans="1:55" ht="13.15" customHeight="1">
      <c r="A468" s="3"/>
      <c r="B468" s="3"/>
      <c r="C468" s="3"/>
      <c r="D468" s="1694" t="s">
        <v>1310</v>
      </c>
      <c r="E468" s="1695"/>
      <c r="F468" s="1695"/>
      <c r="G468" s="1695"/>
      <c r="H468" s="1695"/>
      <c r="I468" s="1695"/>
      <c r="J468" s="1695"/>
      <c r="K468" s="1695"/>
      <c r="L468" s="1695"/>
      <c r="M468" s="1695"/>
      <c r="N468" s="1695"/>
      <c r="O468" s="1695"/>
      <c r="P468" s="1695"/>
      <c r="Q468" s="1695"/>
      <c r="R468" s="1695"/>
      <c r="S468" s="1695"/>
      <c r="T468" s="1695"/>
      <c r="U468" s="1695"/>
      <c r="V468" s="1696"/>
      <c r="W468" s="1609">
        <v>0</v>
      </c>
      <c r="X468" s="1610"/>
      <c r="Y468" s="1611"/>
      <c r="Z468" s="127"/>
      <c r="AA468" s="127"/>
      <c r="AB468" s="127"/>
      <c r="AC468" s="127"/>
      <c r="AD468" s="415"/>
      <c r="AE468" s="415"/>
      <c r="AF468" s="415"/>
      <c r="AG468" s="415"/>
      <c r="AH468" s="415"/>
      <c r="AI468" s="415"/>
      <c r="AJ468" s="864"/>
      <c r="AZ468" s="3"/>
      <c r="BA468" s="3"/>
      <c r="BB468" s="3"/>
      <c r="BC468" s="3"/>
    </row>
    <row r="469" spans="1:55" ht="13.15" customHeight="1">
      <c r="A469" s="3"/>
      <c r="B469" s="3"/>
      <c r="C469" s="3"/>
      <c r="D469" s="1694" t="s">
        <v>1311</v>
      </c>
      <c r="E469" s="1695"/>
      <c r="F469" s="1695"/>
      <c r="G469" s="1695"/>
      <c r="H469" s="1695"/>
      <c r="I469" s="1695"/>
      <c r="J469" s="1695"/>
      <c r="K469" s="1695"/>
      <c r="L469" s="1695"/>
      <c r="M469" s="1695"/>
      <c r="N469" s="1695"/>
      <c r="O469" s="1695"/>
      <c r="P469" s="1695"/>
      <c r="Q469" s="1695"/>
      <c r="R469" s="1695"/>
      <c r="S469" s="1695"/>
      <c r="T469" s="1695"/>
      <c r="U469" s="1695"/>
      <c r="V469" s="1696"/>
      <c r="W469" s="1609">
        <v>0</v>
      </c>
      <c r="X469" s="1610"/>
      <c r="Y469" s="1611"/>
      <c r="Z469" s="127"/>
      <c r="AA469" s="127"/>
      <c r="AB469" s="127"/>
      <c r="AC469" s="127"/>
      <c r="AD469" s="415"/>
      <c r="AE469" s="415"/>
      <c r="AF469" s="415"/>
      <c r="AG469" s="415"/>
      <c r="AH469" s="415"/>
      <c r="AI469" s="415"/>
      <c r="AJ469" s="864"/>
      <c r="AZ469" s="3"/>
      <c r="BA469" s="3" t="str">
        <f>N591</f>
        <v>Yes</v>
      </c>
      <c r="BB469" s="3"/>
      <c r="BC469" s="3"/>
    </row>
    <row r="470" spans="1:55" ht="13.15" customHeight="1">
      <c r="A470" s="3"/>
      <c r="B470" s="3"/>
      <c r="C470" s="3"/>
      <c r="D470" s="1694" t="s">
        <v>1312</v>
      </c>
      <c r="E470" s="1695"/>
      <c r="F470" s="1695"/>
      <c r="G470" s="1695"/>
      <c r="H470" s="1695"/>
      <c r="I470" s="1695"/>
      <c r="J470" s="1695"/>
      <c r="K470" s="1695"/>
      <c r="L470" s="1695"/>
      <c r="M470" s="1695"/>
      <c r="N470" s="1695"/>
      <c r="O470" s="1695"/>
      <c r="P470" s="1695"/>
      <c r="Q470" s="1695"/>
      <c r="R470" s="1695"/>
      <c r="S470" s="1695"/>
      <c r="T470" s="1695"/>
      <c r="U470" s="1695"/>
      <c r="V470" s="1696"/>
      <c r="W470" s="1609">
        <v>0</v>
      </c>
      <c r="X470" s="1610"/>
      <c r="Y470" s="1611"/>
      <c r="Z470" s="127"/>
      <c r="AA470" s="127"/>
      <c r="AB470" s="127"/>
      <c r="AC470" s="127"/>
      <c r="AD470" s="415"/>
      <c r="AE470" s="415"/>
      <c r="AF470" s="415"/>
      <c r="AG470" s="415"/>
      <c r="AH470" s="415"/>
      <c r="AI470" s="415"/>
      <c r="AJ470" s="864"/>
      <c r="AZ470" s="3"/>
      <c r="BA470" s="3" t="str">
        <f>AG591</f>
        <v>Yes</v>
      </c>
      <c r="BB470" s="3"/>
      <c r="BC470" s="3"/>
    </row>
    <row r="471" spans="1:55" ht="13.15" customHeight="1">
      <c r="A471" s="3"/>
      <c r="B471" s="3"/>
      <c r="C471" s="3"/>
      <c r="D471" s="1694" t="s">
        <v>1313</v>
      </c>
      <c r="E471" s="1695"/>
      <c r="F471" s="1695"/>
      <c r="G471" s="1695"/>
      <c r="H471" s="1695"/>
      <c r="I471" s="1695"/>
      <c r="J471" s="1695"/>
      <c r="K471" s="1695"/>
      <c r="L471" s="1695"/>
      <c r="M471" s="1695"/>
      <c r="N471" s="1695"/>
      <c r="O471" s="1695"/>
      <c r="P471" s="1695"/>
      <c r="Q471" s="1695"/>
      <c r="R471" s="1695"/>
      <c r="S471" s="1695"/>
      <c r="T471" s="1695"/>
      <c r="U471" s="1695"/>
      <c r="V471" s="1696"/>
      <c r="W471" s="1609">
        <v>0</v>
      </c>
      <c r="X471" s="1610"/>
      <c r="Y471" s="1611"/>
      <c r="Z471" s="127"/>
      <c r="AA471" s="127"/>
      <c r="AB471" s="127"/>
      <c r="AC471" s="127"/>
      <c r="AD471" s="415"/>
      <c r="AE471" s="415"/>
      <c r="AF471" s="415"/>
      <c r="AG471" s="415"/>
      <c r="AH471" s="415"/>
      <c r="AI471" s="415"/>
      <c r="AJ471" s="864"/>
      <c r="AZ471" s="3"/>
      <c r="BA471" s="3"/>
      <c r="BB471" s="3"/>
      <c r="BC471" s="3"/>
    </row>
    <row r="472" spans="1:55" ht="13.15" customHeight="1">
      <c r="A472" s="3"/>
      <c r="B472" s="3"/>
      <c r="C472" s="3"/>
      <c r="D472" s="1694" t="s">
        <v>1314</v>
      </c>
      <c r="E472" s="1695"/>
      <c r="F472" s="1695"/>
      <c r="G472" s="1695"/>
      <c r="H472" s="1695"/>
      <c r="I472" s="1695"/>
      <c r="J472" s="1695"/>
      <c r="K472" s="1695"/>
      <c r="L472" s="1695"/>
      <c r="M472" s="1695"/>
      <c r="N472" s="1695"/>
      <c r="O472" s="1695"/>
      <c r="P472" s="1695"/>
      <c r="Q472" s="1695"/>
      <c r="R472" s="1695"/>
      <c r="S472" s="1695"/>
      <c r="T472" s="1695"/>
      <c r="U472" s="1695"/>
      <c r="V472" s="1696"/>
      <c r="W472" s="1609">
        <v>0</v>
      </c>
      <c r="X472" s="1610"/>
      <c r="Y472" s="1611"/>
      <c r="Z472" s="127"/>
      <c r="AA472" s="127"/>
      <c r="AB472" s="127"/>
      <c r="AC472" s="127"/>
      <c r="AD472" s="415"/>
      <c r="AE472" s="415"/>
      <c r="AF472" s="415"/>
      <c r="AG472" s="415"/>
      <c r="AH472" s="415"/>
      <c r="AI472" s="415"/>
      <c r="AJ472" s="864"/>
      <c r="AZ472" s="3"/>
      <c r="BA472" s="3"/>
      <c r="BB472" s="3"/>
      <c r="BC472" s="3"/>
    </row>
    <row r="473" spans="1:55" ht="13.15" customHeight="1">
      <c r="A473" s="3"/>
      <c r="B473" s="3"/>
      <c r="C473" s="3"/>
      <c r="D473" s="1694" t="s">
        <v>1315</v>
      </c>
      <c r="E473" s="1695"/>
      <c r="F473" s="1695"/>
      <c r="G473" s="1695"/>
      <c r="H473" s="1695"/>
      <c r="I473" s="1695"/>
      <c r="J473" s="1695"/>
      <c r="K473" s="1695"/>
      <c r="L473" s="1695"/>
      <c r="M473" s="1695"/>
      <c r="N473" s="1695"/>
      <c r="O473" s="1695"/>
      <c r="P473" s="1695"/>
      <c r="Q473" s="1695"/>
      <c r="R473" s="1695"/>
      <c r="S473" s="1695"/>
      <c r="T473" s="1695"/>
      <c r="U473" s="1695"/>
      <c r="V473" s="1696"/>
      <c r="W473" s="1609">
        <v>0</v>
      </c>
      <c r="X473" s="1610"/>
      <c r="Y473" s="1611"/>
      <c r="Z473" s="127"/>
      <c r="AA473" s="127"/>
      <c r="AB473" s="127"/>
      <c r="AC473" s="127"/>
      <c r="AD473" s="415"/>
      <c r="AE473" s="415"/>
      <c r="AF473" s="415"/>
      <c r="AG473" s="415"/>
      <c r="AH473" s="415"/>
      <c r="AI473" s="415"/>
      <c r="AJ473" s="864"/>
      <c r="AZ473" s="3"/>
      <c r="BA473" s="3"/>
      <c r="BB473" s="3"/>
      <c r="BC473" s="3"/>
    </row>
    <row r="474" spans="1:55" ht="13.15" customHeight="1">
      <c r="A474" s="3"/>
      <c r="B474" s="3"/>
      <c r="C474" s="3"/>
      <c r="D474" s="1165" t="s">
        <v>233</v>
      </c>
      <c r="E474" s="1166"/>
      <c r="F474" s="1167"/>
      <c r="G474" s="1641"/>
      <c r="H474" s="1642"/>
      <c r="I474" s="1642"/>
      <c r="J474" s="1642"/>
      <c r="K474" s="1642"/>
      <c r="L474" s="1642"/>
      <c r="M474" s="1642"/>
      <c r="N474" s="1642"/>
      <c r="O474" s="1642"/>
      <c r="P474" s="1642"/>
      <c r="Q474" s="1642"/>
      <c r="R474" s="1642"/>
      <c r="S474" s="1642"/>
      <c r="T474" s="1642"/>
      <c r="U474" s="1642"/>
      <c r="V474" s="1643"/>
      <c r="W474" s="1609">
        <v>0</v>
      </c>
      <c r="X474" s="1610"/>
      <c r="Y474" s="1611"/>
      <c r="Z474" s="127"/>
      <c r="AA474" s="127"/>
      <c r="AB474" s="127"/>
      <c r="AC474" s="127"/>
      <c r="AD474" s="415"/>
      <c r="AE474" s="415"/>
      <c r="AF474" s="415"/>
      <c r="AG474" s="415"/>
      <c r="AH474" s="415"/>
      <c r="AI474" s="415"/>
      <c r="AJ474" s="864"/>
      <c r="AZ474" s="3"/>
      <c r="BA474" s="3"/>
      <c r="BB474" s="3"/>
      <c r="BC474" s="3"/>
    </row>
    <row r="475" spans="1:55" ht="13.15" customHeight="1">
      <c r="A475" s="3"/>
      <c r="B475" s="3"/>
      <c r="C475" s="3"/>
      <c r="D475" s="1168" t="s">
        <v>1316</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3.1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3.1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3.1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No</v>
      </c>
      <c r="BB478" s="3"/>
      <c r="BC478" s="3"/>
    </row>
    <row r="479" spans="1:55" ht="13.15" customHeight="1">
      <c r="AU479" s="70"/>
      <c r="AV479" s="70"/>
      <c r="AW479" s="70"/>
      <c r="AX479" s="70"/>
      <c r="AY479" s="70"/>
      <c r="AZ479" s="3"/>
      <c r="BA479" s="3" t="str">
        <f>AG599</f>
        <v>No</v>
      </c>
      <c r="BB479" s="3"/>
      <c r="BC479" s="3"/>
    </row>
    <row r="480" spans="1:55" ht="13.15" customHeight="1">
      <c r="A480" s="1381" t="s">
        <v>1317</v>
      </c>
      <c r="B480" s="1381"/>
      <c r="C480" s="1381"/>
      <c r="D480" s="1381"/>
      <c r="E480" s="1381"/>
      <c r="F480" s="1381"/>
      <c r="G480" s="1381"/>
      <c r="H480" s="1381"/>
      <c r="I480" s="1381"/>
      <c r="J480" s="1381"/>
      <c r="K480" s="1381"/>
      <c r="L480" s="1381"/>
      <c r="M480" s="1381"/>
      <c r="N480" s="1381"/>
      <c r="O480" s="1381"/>
      <c r="P480" s="1381"/>
      <c r="Q480" s="1381"/>
      <c r="R480" s="1381"/>
      <c r="S480" s="1381"/>
      <c r="T480" s="1381"/>
      <c r="U480" s="1381"/>
      <c r="V480" s="1381"/>
      <c r="W480" s="1381"/>
      <c r="X480" s="1381"/>
      <c r="Y480" s="1381"/>
      <c r="Z480" s="1381"/>
      <c r="AA480" s="1381"/>
      <c r="AB480" s="1381"/>
      <c r="AC480" s="1381"/>
      <c r="AD480" s="1381"/>
      <c r="AE480" s="1381"/>
      <c r="AF480" s="1381"/>
      <c r="AG480" s="1381"/>
      <c r="AH480" s="1381"/>
      <c r="AI480" s="1381"/>
      <c r="AJ480" s="1381"/>
      <c r="AK480" s="1381"/>
      <c r="AL480" s="1381"/>
      <c r="AM480" s="1381"/>
      <c r="AN480" s="1381"/>
      <c r="AO480" s="1381"/>
      <c r="AP480" s="1381"/>
      <c r="AQ480" s="1381"/>
      <c r="AR480" s="1381"/>
      <c r="AS480" s="1381"/>
      <c r="AT480" s="1381"/>
      <c r="AU480" s="70"/>
      <c r="AV480" s="70"/>
      <c r="AW480" s="70"/>
      <c r="AX480" s="70"/>
      <c r="AY480" s="70"/>
      <c r="AZ480" s="3"/>
      <c r="BB480" s="3"/>
      <c r="BC480" s="3"/>
    </row>
    <row r="481" spans="1:55" ht="13.15" customHeight="1">
      <c r="A481" s="1381"/>
      <c r="B481" s="1381"/>
      <c r="C481" s="1381"/>
      <c r="D481" s="1381"/>
      <c r="E481" s="1381"/>
      <c r="F481" s="1381"/>
      <c r="G481" s="1381"/>
      <c r="H481" s="1381"/>
      <c r="I481" s="1381"/>
      <c r="J481" s="1381"/>
      <c r="K481" s="1381"/>
      <c r="L481" s="1381"/>
      <c r="M481" s="1381"/>
      <c r="N481" s="1381"/>
      <c r="O481" s="1381"/>
      <c r="P481" s="1381"/>
      <c r="Q481" s="1381"/>
      <c r="R481" s="1381"/>
      <c r="S481" s="1381"/>
      <c r="T481" s="1381"/>
      <c r="U481" s="1381"/>
      <c r="V481" s="1381"/>
      <c r="W481" s="1381"/>
      <c r="X481" s="1381"/>
      <c r="Y481" s="1381"/>
      <c r="Z481" s="1381"/>
      <c r="AA481" s="1381"/>
      <c r="AB481" s="1381"/>
      <c r="AC481" s="1381"/>
      <c r="AD481" s="1381"/>
      <c r="AE481" s="1381"/>
      <c r="AF481" s="1381"/>
      <c r="AG481" s="1381"/>
      <c r="AH481" s="1381"/>
      <c r="AI481" s="1381"/>
      <c r="AJ481" s="1381"/>
      <c r="AK481" s="1381"/>
      <c r="AL481" s="1381"/>
      <c r="AM481" s="1381"/>
      <c r="AN481" s="1381"/>
      <c r="AO481" s="1381"/>
      <c r="AP481" s="1381"/>
      <c r="AQ481" s="1381"/>
      <c r="AR481" s="1381"/>
      <c r="AS481" s="1381"/>
      <c r="AT481" s="1381"/>
      <c r="AZ481" s="3"/>
      <c r="BB481" s="3"/>
      <c r="BC481" s="3"/>
    </row>
    <row r="482" spans="1:55" ht="13.15" customHeight="1">
      <c r="AZ482" s="3"/>
      <c r="BB482" s="3"/>
      <c r="BC482" s="3"/>
    </row>
    <row r="483" spans="1:55" ht="13.15" customHeight="1">
      <c r="A483" s="2" t="s">
        <v>868</v>
      </c>
      <c r="C483" s="2" t="s">
        <v>165</v>
      </c>
      <c r="AZ483" s="3"/>
      <c r="BB483" s="3"/>
      <c r="BC483" s="3"/>
    </row>
    <row r="484" spans="1:55" ht="13.15" customHeight="1">
      <c r="AZ484" s="3"/>
      <c r="BB484" s="3"/>
      <c r="BC484" s="3"/>
    </row>
    <row r="485" spans="1:55" ht="13.15" customHeight="1">
      <c r="B485" s="37"/>
      <c r="C485" s="5"/>
      <c r="D485" s="5"/>
      <c r="E485" s="5"/>
      <c r="F485" s="5"/>
      <c r="G485" s="5"/>
      <c r="H485" s="5"/>
      <c r="I485" s="5"/>
      <c r="J485" s="5"/>
      <c r="K485" s="5"/>
      <c r="L485" s="5"/>
      <c r="M485" s="5"/>
      <c r="N485" s="5"/>
      <c r="O485" s="5"/>
      <c r="P485" s="38"/>
      <c r="Q485" s="1704" t="s">
        <v>1318</v>
      </c>
      <c r="R485" s="1705"/>
      <c r="S485" s="1705"/>
      <c r="T485" s="1705"/>
      <c r="U485" s="1705"/>
      <c r="V485" s="1705"/>
      <c r="W485" s="1705"/>
      <c r="X485" s="1705"/>
      <c r="Y485" s="1705"/>
      <c r="Z485" s="1705"/>
      <c r="AA485" s="1705"/>
      <c r="AB485" s="1705"/>
      <c r="AC485" s="1705"/>
      <c r="AD485" s="1705"/>
      <c r="AE485" s="1705"/>
      <c r="AF485" s="1705"/>
      <c r="AG485" s="1705"/>
      <c r="AH485" s="1705"/>
      <c r="AI485" s="1705"/>
      <c r="AJ485" s="1705"/>
      <c r="AK485" s="1706"/>
      <c r="AZ485" s="3"/>
      <c r="BB485" s="3"/>
      <c r="BC485" s="3"/>
    </row>
    <row r="486" spans="1:55" ht="13.15" customHeight="1">
      <c r="B486" s="37" t="s">
        <v>1319</v>
      </c>
      <c r="C486" s="5"/>
      <c r="D486" s="5"/>
      <c r="E486" s="5"/>
      <c r="F486" s="5"/>
      <c r="G486" s="5"/>
      <c r="H486" s="5"/>
      <c r="I486" s="5"/>
      <c r="J486" s="5"/>
      <c r="K486" s="5"/>
      <c r="L486" s="5"/>
      <c r="M486" s="5"/>
      <c r="N486" s="5"/>
      <c r="O486" s="5"/>
      <c r="P486" s="5"/>
      <c r="Q486" s="1526" t="s">
        <v>1320</v>
      </c>
      <c r="R486" s="1310"/>
      <c r="S486" s="1310"/>
      <c r="T486" s="1310"/>
      <c r="U486" s="1310"/>
      <c r="V486" s="1310"/>
      <c r="W486" s="1310"/>
      <c r="X486" s="1310"/>
      <c r="Y486" s="1310"/>
      <c r="Z486" s="1310"/>
      <c r="AA486" s="1310"/>
      <c r="AB486" s="1310"/>
      <c r="AC486" s="1310"/>
      <c r="AD486" s="1310"/>
      <c r="AE486" s="1310"/>
      <c r="AF486" s="1310"/>
      <c r="AG486" s="1310"/>
      <c r="AH486" s="1310"/>
      <c r="AI486" s="1310"/>
      <c r="AJ486" s="1310"/>
      <c r="AK486" s="1527"/>
      <c r="AZ486" s="3"/>
      <c r="BB486" s="3"/>
      <c r="BC486" s="3"/>
    </row>
    <row r="487" spans="1:55" ht="13.15" customHeight="1">
      <c r="B487" s="37" t="s">
        <v>1321</v>
      </c>
      <c r="C487" s="5"/>
      <c r="D487" s="5"/>
      <c r="E487" s="5"/>
      <c r="F487" s="5"/>
      <c r="G487" s="5"/>
      <c r="H487" s="5"/>
      <c r="I487" s="5"/>
      <c r="J487" s="5"/>
      <c r="K487" s="5"/>
      <c r="L487" s="5"/>
      <c r="M487" s="5"/>
      <c r="N487" s="5"/>
      <c r="O487" s="5"/>
      <c r="P487" s="5"/>
      <c r="Q487" s="1526" t="s">
        <v>1322</v>
      </c>
      <c r="R487" s="1310"/>
      <c r="S487" s="1310"/>
      <c r="T487" s="1310"/>
      <c r="U487" s="1310"/>
      <c r="V487" s="1310"/>
      <c r="W487" s="1310"/>
      <c r="X487" s="1310"/>
      <c r="Y487" s="1310"/>
      <c r="Z487" s="1310"/>
      <c r="AA487" s="1310"/>
      <c r="AB487" s="1310"/>
      <c r="AC487" s="1310"/>
      <c r="AD487" s="1310"/>
      <c r="AE487" s="1310"/>
      <c r="AF487" s="1310"/>
      <c r="AG487" s="1310"/>
      <c r="AH487" s="1310"/>
      <c r="AI487" s="1310"/>
      <c r="AJ487" s="1310"/>
      <c r="AK487" s="1527"/>
      <c r="AZ487" s="3"/>
      <c r="BB487" s="3"/>
      <c r="BC487" s="3"/>
    </row>
    <row r="488" spans="1:55" ht="13.15" customHeight="1">
      <c r="B488" s="37" t="s">
        <v>1323</v>
      </c>
      <c r="C488" s="5"/>
      <c r="D488" s="5"/>
      <c r="E488" s="5"/>
      <c r="F488" s="5"/>
      <c r="G488" s="5"/>
      <c r="H488" s="5"/>
      <c r="I488" s="5"/>
      <c r="J488" s="5"/>
      <c r="K488" s="5"/>
      <c r="L488" s="5"/>
      <c r="M488" s="5"/>
      <c r="N488" s="5"/>
      <c r="O488" s="5"/>
      <c r="P488" s="5"/>
      <c r="Q488" s="1526" t="str">
        <f>Q487</f>
        <v>P-D (CIH Overlay) and 35 Units/Developable Acre</v>
      </c>
      <c r="R488" s="1310"/>
      <c r="S488" s="1310"/>
      <c r="T488" s="1310"/>
      <c r="U488" s="1310"/>
      <c r="V488" s="1310"/>
      <c r="W488" s="1310"/>
      <c r="X488" s="1310"/>
      <c r="Y488" s="1310"/>
      <c r="Z488" s="1310"/>
      <c r="AA488" s="1310"/>
      <c r="AB488" s="1310"/>
      <c r="AC488" s="1310"/>
      <c r="AD488" s="1310"/>
      <c r="AE488" s="1310"/>
      <c r="AF488" s="1310"/>
      <c r="AG488" s="1310"/>
      <c r="AH488" s="1310"/>
      <c r="AI488" s="1310"/>
      <c r="AJ488" s="1310"/>
      <c r="AK488" s="1527"/>
      <c r="AZ488" s="3"/>
      <c r="BA488" s="3"/>
      <c r="BB488" s="3"/>
      <c r="BC488" s="3"/>
    </row>
    <row r="489" spans="1:55" ht="13.15" customHeight="1">
      <c r="B489" s="1767" t="s">
        <v>1324</v>
      </c>
      <c r="C489" s="1768"/>
      <c r="D489" s="1768"/>
      <c r="E489" s="1768"/>
      <c r="F489" s="1768"/>
      <c r="G489" s="1768"/>
      <c r="H489" s="1768"/>
      <c r="I489" s="1768"/>
      <c r="J489" s="1768"/>
      <c r="K489" s="1768"/>
      <c r="L489" s="1768"/>
      <c r="M489" s="1768"/>
      <c r="N489" s="1768"/>
      <c r="O489" s="1768"/>
      <c r="P489" s="1769"/>
      <c r="Q489" s="1773" t="s">
        <v>692</v>
      </c>
      <c r="R489" s="1774"/>
      <c r="S489" s="1710" t="s">
        <v>1325</v>
      </c>
      <c r="T489" s="1711"/>
      <c r="U489" s="1711"/>
      <c r="V489" s="1711"/>
      <c r="W489" s="1711"/>
      <c r="X489" s="1711"/>
      <c r="Y489" s="1711"/>
      <c r="Z489" s="1711"/>
      <c r="AA489" s="1711"/>
      <c r="AB489" s="1711"/>
      <c r="AC489" s="1711"/>
      <c r="AD489" s="1711"/>
      <c r="AE489" s="1711"/>
      <c r="AF489" s="1711"/>
      <c r="AG489" s="1711"/>
      <c r="AH489" s="1711"/>
      <c r="AI489" s="1711"/>
      <c r="AJ489" s="1711"/>
      <c r="AK489" s="1712"/>
      <c r="AZ489" s="3"/>
      <c r="BA489" s="3"/>
      <c r="BB489" s="3"/>
      <c r="BC489" s="3"/>
    </row>
    <row r="490" spans="1:55" ht="13.15" customHeight="1">
      <c r="B490" s="1770"/>
      <c r="C490" s="1771"/>
      <c r="D490" s="1771"/>
      <c r="E490" s="1771"/>
      <c r="F490" s="1771"/>
      <c r="G490" s="1771"/>
      <c r="H490" s="1771"/>
      <c r="I490" s="1771"/>
      <c r="J490" s="1771"/>
      <c r="K490" s="1771"/>
      <c r="L490" s="1771"/>
      <c r="M490" s="1771"/>
      <c r="N490" s="1771"/>
      <c r="O490" s="1771"/>
      <c r="P490" s="1772"/>
      <c r="Q490" s="1775"/>
      <c r="R490" s="1776"/>
      <c r="S490" s="1713"/>
      <c r="T490" s="1714"/>
      <c r="U490" s="1714"/>
      <c r="V490" s="1714"/>
      <c r="W490" s="1714"/>
      <c r="X490" s="1714"/>
      <c r="Y490" s="1714"/>
      <c r="Z490" s="1714"/>
      <c r="AA490" s="1714"/>
      <c r="AB490" s="1714"/>
      <c r="AC490" s="1714"/>
      <c r="AD490" s="1714"/>
      <c r="AE490" s="1714"/>
      <c r="AF490" s="1714"/>
      <c r="AG490" s="1714"/>
      <c r="AH490" s="1714"/>
      <c r="AI490" s="1714"/>
      <c r="AJ490" s="1714"/>
      <c r="AK490" s="1715"/>
      <c r="AZ490" s="3"/>
      <c r="BA490" s="3"/>
      <c r="BB490" s="3"/>
      <c r="BC490" s="3"/>
    </row>
    <row r="491" spans="1:55" ht="13.15" customHeight="1">
      <c r="B491" s="791" t="s">
        <v>1326</v>
      </c>
      <c r="C491" s="772"/>
      <c r="D491" s="772"/>
      <c r="E491" s="772"/>
      <c r="F491" s="772"/>
      <c r="G491" s="772"/>
      <c r="H491" s="772"/>
      <c r="I491" s="772"/>
      <c r="J491" s="772"/>
      <c r="K491" s="772"/>
      <c r="L491" s="772"/>
      <c r="M491" s="772"/>
      <c r="N491" s="772"/>
      <c r="O491" s="772"/>
      <c r="P491" s="772"/>
      <c r="Q491" s="1780" t="s">
        <v>692</v>
      </c>
      <c r="R491" s="1781"/>
      <c r="S491" s="1781"/>
      <c r="T491" s="1781"/>
      <c r="U491" s="1781"/>
      <c r="V491" s="1781"/>
      <c r="W491" s="1781"/>
      <c r="X491" s="1781"/>
      <c r="Y491" s="1781"/>
      <c r="Z491" s="1781"/>
      <c r="AA491" s="1781"/>
      <c r="AB491" s="1781"/>
      <c r="AC491" s="1781"/>
      <c r="AD491" s="1781"/>
      <c r="AE491" s="1781"/>
      <c r="AF491" s="1781"/>
      <c r="AG491" s="1781"/>
      <c r="AH491" s="1781"/>
      <c r="AI491" s="1781"/>
      <c r="AJ491" s="1781"/>
      <c r="AK491" s="1782"/>
      <c r="AZ491" s="3"/>
      <c r="BA491" s="3"/>
      <c r="BB491" s="3"/>
      <c r="BC491" s="3"/>
    </row>
    <row r="492" spans="1:55" ht="13.15" customHeight="1">
      <c r="B492" s="37" t="s">
        <v>1327</v>
      </c>
      <c r="C492" s="5"/>
      <c r="D492" s="5"/>
      <c r="E492" s="5"/>
      <c r="F492" s="5"/>
      <c r="G492" s="5"/>
      <c r="H492" s="5"/>
      <c r="I492" s="5"/>
      <c r="J492" s="5"/>
      <c r="K492" s="5"/>
      <c r="L492" s="5"/>
      <c r="M492" s="5"/>
      <c r="N492" s="5"/>
      <c r="O492" s="5"/>
      <c r="P492" s="5"/>
      <c r="Q492" s="1526" t="s">
        <v>1328</v>
      </c>
      <c r="R492" s="1310"/>
      <c r="S492" s="1310"/>
      <c r="T492" s="1310"/>
      <c r="U492" s="1310"/>
      <c r="V492" s="1310"/>
      <c r="W492" s="1310"/>
      <c r="X492" s="1310"/>
      <c r="Y492" s="1310"/>
      <c r="Z492" s="1310"/>
      <c r="AA492" s="1310"/>
      <c r="AB492" s="1310"/>
      <c r="AC492" s="1310"/>
      <c r="AD492" s="1310"/>
      <c r="AE492" s="1310"/>
      <c r="AF492" s="1310"/>
      <c r="AG492" s="1310"/>
      <c r="AH492" s="1310"/>
      <c r="AI492" s="1310"/>
      <c r="AJ492" s="1310"/>
      <c r="AK492" s="1527"/>
      <c r="AZ492" s="3"/>
      <c r="BA492" s="3"/>
      <c r="BB492" s="3"/>
      <c r="BC492" s="3"/>
    </row>
    <row r="493" spans="1:55" ht="13.15" customHeight="1">
      <c r="B493" s="37" t="s">
        <v>1329</v>
      </c>
      <c r="C493" s="5"/>
      <c r="D493" s="5"/>
      <c r="E493" s="5"/>
      <c r="F493" s="5"/>
      <c r="G493" s="5"/>
      <c r="H493" s="5"/>
      <c r="I493" s="5"/>
      <c r="J493" s="5"/>
      <c r="K493" s="5"/>
      <c r="L493" s="5"/>
      <c r="M493" s="5"/>
      <c r="N493" s="5"/>
      <c r="O493" s="5"/>
      <c r="P493" s="5"/>
      <c r="Q493" s="1526" t="s">
        <v>1330</v>
      </c>
      <c r="R493" s="1310"/>
      <c r="S493" s="1310"/>
      <c r="T493" s="1310"/>
      <c r="U493" s="1310"/>
      <c r="V493" s="1310"/>
      <c r="W493" s="1310"/>
      <c r="X493" s="1310"/>
      <c r="Y493" s="1310"/>
      <c r="Z493" s="1310"/>
      <c r="AA493" s="1310"/>
      <c r="AB493" s="1310"/>
      <c r="AC493" s="1310"/>
      <c r="AD493" s="1310"/>
      <c r="AE493" s="1310"/>
      <c r="AF493" s="1310"/>
      <c r="AG493" s="1310"/>
      <c r="AH493" s="1310"/>
      <c r="AI493" s="1310"/>
      <c r="AJ493" s="1310"/>
      <c r="AK493" s="1527"/>
      <c r="AZ493" s="3"/>
      <c r="BA493" s="3"/>
      <c r="BB493" s="3"/>
      <c r="BC493" s="3"/>
    </row>
    <row r="494" spans="1:55" ht="13.15" customHeight="1">
      <c r="B494" s="87" t="s">
        <v>1331</v>
      </c>
      <c r="C494" s="5"/>
      <c r="D494" s="5"/>
      <c r="E494" s="5"/>
      <c r="F494" s="5"/>
      <c r="G494" s="5"/>
      <c r="H494" s="5"/>
      <c r="I494" s="5"/>
      <c r="J494" s="5"/>
      <c r="K494" s="5"/>
      <c r="L494" s="5"/>
      <c r="M494" s="5"/>
      <c r="N494" s="5"/>
      <c r="O494" s="5"/>
      <c r="P494" s="5"/>
      <c r="Q494" s="1526">
        <v>239</v>
      </c>
      <c r="R494" s="1310"/>
      <c r="S494" s="1310"/>
      <c r="T494" s="1310"/>
      <c r="U494" s="1310"/>
      <c r="V494" s="1310"/>
      <c r="W494" s="1310"/>
      <c r="X494" s="1310"/>
      <c r="Y494" s="1310"/>
      <c r="Z494" s="1310"/>
      <c r="AA494" s="1310"/>
      <c r="AB494" s="1310"/>
      <c r="AC494" s="1310"/>
      <c r="AD494" s="1310"/>
      <c r="AE494" s="1310"/>
      <c r="AF494" s="1310"/>
      <c r="AG494" s="1310"/>
      <c r="AH494" s="1310"/>
      <c r="AI494" s="1310"/>
      <c r="AJ494" s="1310"/>
      <c r="AK494" s="1527"/>
      <c r="AZ494" s="3"/>
      <c r="BA494" s="3"/>
      <c r="BB494" s="3"/>
      <c r="BC494" s="3"/>
    </row>
    <row r="495" spans="1:55" ht="13.15" customHeight="1">
      <c r="B495" s="87" t="s">
        <v>1332</v>
      </c>
      <c r="C495" s="5"/>
      <c r="D495" s="5"/>
      <c r="E495" s="5"/>
      <c r="F495" s="5"/>
      <c r="G495" s="5"/>
      <c r="H495" s="5"/>
      <c r="I495" s="5"/>
      <c r="J495" s="5"/>
      <c r="K495" s="5"/>
      <c r="L495" s="5"/>
      <c r="M495" s="1404"/>
      <c r="N495" s="1405"/>
      <c r="O495" s="1405"/>
      <c r="P495" s="1406"/>
      <c r="Q495" s="87" t="s">
        <v>1333</v>
      </c>
      <c r="R495" s="5"/>
      <c r="S495" s="5"/>
      <c r="T495" s="5"/>
      <c r="U495" s="5"/>
      <c r="V495" s="5"/>
      <c r="W495" s="5"/>
      <c r="X495" s="5"/>
      <c r="Y495" s="5"/>
      <c r="Z495" s="5"/>
      <c r="AA495" s="5"/>
      <c r="AB495" s="5"/>
      <c r="AC495" s="5"/>
      <c r="AD495" s="5"/>
      <c r="AE495" s="5"/>
      <c r="AF495" s="5"/>
      <c r="AG495" s="5"/>
      <c r="AH495" s="1404">
        <v>293</v>
      </c>
      <c r="AI495" s="1405"/>
      <c r="AJ495" s="1405"/>
      <c r="AK495" s="1406"/>
      <c r="AZ495" s="3"/>
      <c r="BA495" s="3"/>
      <c r="BB495" s="3"/>
      <c r="BC495" s="3"/>
    </row>
    <row r="496" spans="1:55" ht="13.1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15" customHeight="1">
      <c r="A497" s="2" t="s">
        <v>909</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1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1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04" t="s">
        <v>1334</v>
      </c>
      <c r="AD499" s="1705"/>
      <c r="AE499" s="1705"/>
      <c r="AF499" s="1705"/>
      <c r="AG499" s="1705"/>
      <c r="AH499" s="1705"/>
      <c r="AI499" s="1705"/>
      <c r="AJ499" s="1705"/>
      <c r="AK499" s="1706"/>
      <c r="AZ499" s="3"/>
      <c r="BA499" s="3"/>
      <c r="BB499" s="3"/>
      <c r="BC499" s="3"/>
      <c r="BD499" s="3"/>
      <c r="BE499" s="3"/>
      <c r="BF499" s="3"/>
      <c r="BG499" s="3"/>
      <c r="BH499" s="3"/>
      <c r="BI499" s="3"/>
      <c r="BJ499" s="3"/>
      <c r="BK499" s="3"/>
      <c r="BL499" s="3"/>
      <c r="BM499" s="3"/>
      <c r="BN499" s="3"/>
    </row>
    <row r="500" spans="1:66" ht="13.1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04" t="s">
        <v>1335</v>
      </c>
      <c r="AD500" s="1705"/>
      <c r="AE500" s="1705"/>
      <c r="AF500" s="1705"/>
      <c r="AG500" s="42" t="s">
        <v>1336</v>
      </c>
      <c r="AH500" s="1705" t="s">
        <v>1337</v>
      </c>
      <c r="AI500" s="1705"/>
      <c r="AJ500" s="1705"/>
      <c r="AK500" s="1706"/>
      <c r="AZ500" s="3"/>
      <c r="BA500" s="3"/>
      <c r="BB500" s="3"/>
      <c r="BC500" s="3"/>
      <c r="BD500" s="3"/>
      <c r="BE500" s="3"/>
      <c r="BF500" s="3"/>
      <c r="BG500" s="3"/>
      <c r="BH500" s="3"/>
      <c r="BI500" s="3"/>
      <c r="BJ500" s="3"/>
      <c r="BK500" s="3"/>
      <c r="BL500" s="3"/>
      <c r="BM500" s="3"/>
      <c r="BN500" s="3"/>
    </row>
    <row r="501" spans="1:66" ht="13.15" customHeight="1">
      <c r="B501" s="1616" t="s">
        <v>1338</v>
      </c>
      <c r="C501" s="1389"/>
      <c r="D501" s="1389"/>
      <c r="E501" s="1389"/>
      <c r="F501" s="1389"/>
      <c r="G501" s="1389"/>
      <c r="H501" s="1390"/>
      <c r="I501" s="34" t="s">
        <v>1339</v>
      </c>
      <c r="J501" s="34"/>
      <c r="K501" s="34"/>
      <c r="L501" s="34"/>
      <c r="M501" s="34"/>
      <c r="N501" s="34"/>
      <c r="O501" s="34"/>
      <c r="P501" s="34"/>
      <c r="Q501" s="34"/>
      <c r="R501" s="34"/>
      <c r="S501" s="34"/>
      <c r="T501" s="34"/>
      <c r="U501" s="34"/>
      <c r="V501" s="34"/>
      <c r="W501" s="34"/>
      <c r="AC501" s="1606">
        <v>4</v>
      </c>
      <c r="AD501" s="1607"/>
      <c r="AE501" s="1607"/>
      <c r="AF501" s="1607"/>
      <c r="AG501" s="12" t="s">
        <v>1336</v>
      </c>
      <c r="AH501" s="1364">
        <v>2025</v>
      </c>
      <c r="AI501" s="1364"/>
      <c r="AJ501" s="1364"/>
      <c r="AK501" s="1365"/>
      <c r="AZ501" s="3"/>
      <c r="BA501" s="3"/>
      <c r="BB501" s="3"/>
      <c r="BC501" s="3"/>
      <c r="BD501" s="3"/>
      <c r="BE501" s="3"/>
      <c r="BF501" s="3"/>
      <c r="BG501" s="3"/>
      <c r="BH501" s="3"/>
      <c r="BI501" s="3"/>
      <c r="BJ501" s="3"/>
      <c r="BK501" s="3"/>
      <c r="BL501" s="3"/>
      <c r="BM501" s="3"/>
      <c r="BN501" s="3"/>
    </row>
    <row r="502" spans="1:66" ht="13.15" customHeight="1">
      <c r="B502" s="1617"/>
      <c r="C502" s="1391"/>
      <c r="D502" s="1391"/>
      <c r="E502" s="1391"/>
      <c r="F502" s="1391"/>
      <c r="G502" s="1391"/>
      <c r="H502" s="1392"/>
      <c r="I502" s="40" t="s">
        <v>1340</v>
      </c>
      <c r="J502" s="40"/>
      <c r="K502" s="40"/>
      <c r="L502" s="40"/>
      <c r="M502" s="40"/>
      <c r="N502" s="40"/>
      <c r="O502" s="40"/>
      <c r="P502" s="40"/>
      <c r="Q502" s="40"/>
      <c r="R502" s="40"/>
      <c r="S502" s="40"/>
      <c r="T502" s="40"/>
      <c r="U502" s="40"/>
      <c r="V502" s="40"/>
      <c r="W502" s="40"/>
      <c r="X502" s="40"/>
      <c r="Y502" s="40"/>
      <c r="Z502" s="40"/>
      <c r="AA502" s="40"/>
      <c r="AB502" s="40"/>
      <c r="AC502" s="1606">
        <v>5</v>
      </c>
      <c r="AD502" s="1607"/>
      <c r="AE502" s="1607"/>
      <c r="AF502" s="1607"/>
      <c r="AG502" s="30" t="s">
        <v>1336</v>
      </c>
      <c r="AH502" s="1364">
        <v>2026</v>
      </c>
      <c r="AI502" s="1364"/>
      <c r="AJ502" s="1364"/>
      <c r="AK502" s="1365"/>
      <c r="AZ502" s="3"/>
      <c r="BA502" s="3"/>
      <c r="BB502" s="3"/>
      <c r="BC502" s="3"/>
      <c r="BD502" s="3"/>
      <c r="BE502" s="3"/>
      <c r="BF502" s="3"/>
      <c r="BG502" s="3"/>
      <c r="BH502" s="3"/>
      <c r="BI502" s="3"/>
      <c r="BJ502" s="3"/>
      <c r="BK502" s="3"/>
      <c r="BL502" s="3"/>
      <c r="BM502" s="3"/>
      <c r="BN502" s="3"/>
    </row>
    <row r="503" spans="1:66" ht="13.15" customHeight="1">
      <c r="B503" s="1616" t="s">
        <v>1341</v>
      </c>
      <c r="C503" s="1389"/>
      <c r="D503" s="1389"/>
      <c r="E503" s="1389"/>
      <c r="F503" s="1389"/>
      <c r="G503" s="1389"/>
      <c r="H503" s="1390"/>
      <c r="I503" s="34" t="s">
        <v>1342</v>
      </c>
      <c r="J503" s="34"/>
      <c r="K503" s="34"/>
      <c r="L503" s="34"/>
      <c r="M503" s="34"/>
      <c r="N503" s="34"/>
      <c r="O503" s="34"/>
      <c r="P503" s="34"/>
      <c r="Q503" s="34"/>
      <c r="R503" s="34"/>
      <c r="S503" s="34"/>
      <c r="T503" s="34"/>
      <c r="U503" s="34"/>
      <c r="V503" s="34"/>
      <c r="W503" s="34"/>
      <c r="AC503" s="1606" t="s">
        <v>807</v>
      </c>
      <c r="AD503" s="1607"/>
      <c r="AE503" s="1607"/>
      <c r="AF503" s="1607"/>
      <c r="AG503" s="12" t="s">
        <v>1336</v>
      </c>
      <c r="AH503" s="1364"/>
      <c r="AI503" s="1364"/>
      <c r="AJ503" s="1364"/>
      <c r="AK503" s="1365"/>
      <c r="AZ503" s="3"/>
      <c r="BA503" s="3"/>
      <c r="BB503" s="3"/>
      <c r="BC503" s="3"/>
      <c r="BD503" s="3"/>
      <c r="BE503" s="3"/>
      <c r="BF503" s="3"/>
      <c r="BG503" s="3"/>
      <c r="BH503" s="3"/>
      <c r="BI503" s="3"/>
      <c r="BJ503" s="3"/>
      <c r="BK503" s="3"/>
      <c r="BL503" s="3"/>
      <c r="BM503" s="3"/>
      <c r="BN503" s="3"/>
    </row>
    <row r="504" spans="1:66" ht="13.15" customHeight="1">
      <c r="B504" s="1617"/>
      <c r="C504" s="1391"/>
      <c r="D504" s="1391"/>
      <c r="E504" s="1391"/>
      <c r="F504" s="1391"/>
      <c r="G504" s="1391"/>
      <c r="H504" s="1392"/>
      <c r="I504" t="s">
        <v>1343</v>
      </c>
      <c r="AC504" s="1606" t="s">
        <v>807</v>
      </c>
      <c r="AD504" s="1607"/>
      <c r="AE504" s="1607"/>
      <c r="AF504" s="1607"/>
      <c r="AG504" s="12" t="s">
        <v>1336</v>
      </c>
      <c r="AH504" s="1364"/>
      <c r="AI504" s="1364"/>
      <c r="AJ504" s="1364"/>
      <c r="AK504" s="1365"/>
      <c r="AZ504" s="3"/>
      <c r="BA504" s="3"/>
      <c r="BB504" s="3"/>
      <c r="BC504" s="3"/>
      <c r="BD504" s="3"/>
      <c r="BE504" s="3"/>
      <c r="BF504" s="3"/>
      <c r="BG504" s="3"/>
      <c r="BH504" s="3"/>
      <c r="BI504" s="3"/>
      <c r="BJ504" s="3"/>
      <c r="BK504" s="3"/>
      <c r="BL504" s="3"/>
      <c r="BM504" s="3"/>
      <c r="BN504" s="3"/>
    </row>
    <row r="505" spans="1:66" ht="13.15" customHeight="1">
      <c r="B505" s="1617"/>
      <c r="C505" s="1391"/>
      <c r="D505" s="1391"/>
      <c r="E505" s="1391"/>
      <c r="F505" s="1391"/>
      <c r="G505" s="1391"/>
      <c r="H505" s="1392"/>
      <c r="I505" t="s">
        <v>1344</v>
      </c>
      <c r="AC505" s="1606">
        <v>4</v>
      </c>
      <c r="AD505" s="1607"/>
      <c r="AE505" s="1607"/>
      <c r="AF505" s="1607"/>
      <c r="AG505" s="12" t="s">
        <v>1336</v>
      </c>
      <c r="AH505" s="1364">
        <v>2025</v>
      </c>
      <c r="AI505" s="1364"/>
      <c r="AJ505" s="1364"/>
      <c r="AK505" s="1365"/>
      <c r="AZ505" s="3"/>
      <c r="BA505" s="3"/>
      <c r="BB505" s="3"/>
      <c r="BC505" s="3"/>
      <c r="BD505" s="3"/>
      <c r="BE505" s="3"/>
      <c r="BF505" s="3"/>
      <c r="BG505" s="3"/>
      <c r="BH505" s="3"/>
      <c r="BI505" s="3"/>
      <c r="BJ505" s="3"/>
      <c r="BK505" s="3"/>
      <c r="BL505" s="3"/>
      <c r="BM505" s="3"/>
      <c r="BN505" s="3"/>
    </row>
    <row r="506" spans="1:66" ht="13.15" customHeight="1">
      <c r="B506" s="1617"/>
      <c r="C506" s="1391"/>
      <c r="D506" s="1391"/>
      <c r="E506" s="1391"/>
      <c r="F506" s="1391"/>
      <c r="G506" s="1391"/>
      <c r="H506" s="1392"/>
      <c r="I506" t="s">
        <v>1345</v>
      </c>
      <c r="AC506" s="1606">
        <v>11</v>
      </c>
      <c r="AD506" s="1607"/>
      <c r="AE506" s="1607"/>
      <c r="AF506" s="1607"/>
      <c r="AG506" s="12" t="s">
        <v>1336</v>
      </c>
      <c r="AH506" s="1364">
        <v>2025</v>
      </c>
      <c r="AI506" s="1364"/>
      <c r="AJ506" s="1364"/>
      <c r="AK506" s="1365"/>
      <c r="AZ506" s="3"/>
      <c r="BA506" s="3"/>
      <c r="BB506" s="3"/>
      <c r="BC506" s="3"/>
      <c r="BD506" s="3"/>
      <c r="BE506" s="3"/>
      <c r="BF506" s="3"/>
      <c r="BG506" s="3"/>
      <c r="BH506" s="3"/>
      <c r="BI506" s="3"/>
      <c r="BJ506" s="3"/>
      <c r="BK506" s="3"/>
      <c r="BL506" s="3"/>
      <c r="BM506" s="3"/>
      <c r="BN506" s="3"/>
    </row>
    <row r="507" spans="1:66" ht="13.15" customHeight="1">
      <c r="B507" s="1617"/>
      <c r="C507" s="1391"/>
      <c r="D507" s="1391"/>
      <c r="E507" s="1391"/>
      <c r="F507" s="1391"/>
      <c r="G507" s="1391"/>
      <c r="H507" s="1392"/>
      <c r="I507" s="3" t="s">
        <v>1346</v>
      </c>
      <c r="AC507" s="1299">
        <v>11</v>
      </c>
      <c r="AD507" s="1300"/>
      <c r="AE507" s="1300"/>
      <c r="AF507" s="1300"/>
      <c r="AG507" s="12" t="s">
        <v>1336</v>
      </c>
      <c r="AH507" s="1364">
        <v>2025</v>
      </c>
      <c r="AI507" s="1364"/>
      <c r="AJ507" s="1364"/>
      <c r="AK507" s="1365"/>
      <c r="AZ507" s="3"/>
      <c r="BA507" s="3"/>
      <c r="BB507" s="3"/>
      <c r="BC507" s="3"/>
      <c r="BD507" s="3"/>
      <c r="BE507" s="3"/>
      <c r="BF507" s="3"/>
      <c r="BG507" s="3"/>
      <c r="BH507" s="3"/>
      <c r="BI507" s="3"/>
      <c r="BJ507" s="3"/>
      <c r="BK507" s="3"/>
      <c r="BL507" s="3"/>
      <c r="BM507" s="3"/>
      <c r="BN507" s="3"/>
    </row>
    <row r="508" spans="1:66" ht="13.15" customHeight="1">
      <c r="B508" s="1617"/>
      <c r="C508" s="1391"/>
      <c r="D508" s="1391"/>
      <c r="E508" s="1391"/>
      <c r="F508" s="1391"/>
      <c r="G508" s="1391"/>
      <c r="H508" s="1392"/>
      <c r="I508" s="792" t="s">
        <v>233</v>
      </c>
      <c r="J508" s="40"/>
      <c r="K508" s="40"/>
      <c r="L508" s="1691" t="s">
        <v>1347</v>
      </c>
      <c r="M508" s="1692"/>
      <c r="N508" s="1692"/>
      <c r="O508" s="1692"/>
      <c r="P508" s="1692"/>
      <c r="Q508" s="1692"/>
      <c r="R508" s="1692"/>
      <c r="S508" s="1692"/>
      <c r="T508" s="1692"/>
      <c r="U508" s="1692"/>
      <c r="V508" s="1692"/>
      <c r="W508" s="1692"/>
      <c r="X508" s="1692"/>
      <c r="Y508" s="1692"/>
      <c r="Z508" s="1692"/>
      <c r="AA508" s="1692"/>
      <c r="AB508" s="1778"/>
      <c r="AC508" s="1606" t="s">
        <v>807</v>
      </c>
      <c r="AD508" s="1607"/>
      <c r="AE508" s="1607"/>
      <c r="AF508" s="1607"/>
      <c r="AG508" s="30" t="s">
        <v>1336</v>
      </c>
      <c r="AH508" s="1364"/>
      <c r="AI508" s="1364"/>
      <c r="AJ508" s="1364"/>
      <c r="AK508" s="1365"/>
      <c r="AZ508" s="3"/>
      <c r="BA508" s="3"/>
      <c r="BB508" s="3"/>
      <c r="BC508" s="3"/>
      <c r="BD508" s="3"/>
      <c r="BE508" s="3"/>
      <c r="BF508" s="3"/>
      <c r="BG508" s="3"/>
      <c r="BH508" s="3"/>
      <c r="BI508" s="3"/>
      <c r="BJ508" s="3"/>
      <c r="BK508" s="3"/>
      <c r="BL508" s="3"/>
      <c r="BM508" s="3"/>
      <c r="BN508" s="3"/>
    </row>
    <row r="509" spans="1:66" ht="13.15" customHeight="1">
      <c r="B509" s="770"/>
      <c r="C509" s="95"/>
      <c r="D509" s="95"/>
      <c r="E509" s="95"/>
      <c r="F509" s="95"/>
      <c r="G509" s="95"/>
      <c r="H509" s="771"/>
      <c r="I509" s="3" t="s">
        <v>1348</v>
      </c>
      <c r="AC509" s="1756" t="s">
        <v>843</v>
      </c>
      <c r="AD509" s="1756"/>
      <c r="AE509" s="1756"/>
      <c r="AF509" s="1756"/>
      <c r="AG509" s="12"/>
      <c r="AH509" s="1297"/>
      <c r="AI509" s="1297"/>
      <c r="AJ509" s="1297"/>
      <c r="AK509" s="1615"/>
      <c r="AZ509" s="3"/>
      <c r="BA509" s="3"/>
      <c r="BB509" s="3"/>
      <c r="BC509" s="3"/>
      <c r="BD509" s="3"/>
      <c r="BE509" s="3"/>
      <c r="BF509" s="3"/>
      <c r="BG509" s="3"/>
      <c r="BH509" s="3"/>
      <c r="BI509" s="3"/>
      <c r="BJ509" s="3"/>
      <c r="BK509" s="3"/>
      <c r="BL509" s="3"/>
      <c r="BM509" s="3"/>
      <c r="BN509" s="3"/>
    </row>
    <row r="510" spans="1:66" ht="13.15" customHeight="1">
      <c r="B510" s="770"/>
      <c r="C510" s="95"/>
      <c r="D510" s="95"/>
      <c r="E510" s="95"/>
      <c r="F510" s="95"/>
      <c r="G510" s="95"/>
      <c r="H510" s="771"/>
      <c r="I510" t="s">
        <v>1349</v>
      </c>
      <c r="AC510" s="1299">
        <v>3</v>
      </c>
      <c r="AD510" s="1300"/>
      <c r="AE510" s="1300"/>
      <c r="AF510" s="1301"/>
      <c r="AG510" s="12"/>
      <c r="AH510" s="1297"/>
      <c r="AI510" s="1297"/>
      <c r="AJ510" s="1297"/>
      <c r="AK510" s="1615"/>
      <c r="AZ510" s="3"/>
      <c r="BA510" s="3"/>
      <c r="BB510" s="3"/>
      <c r="BC510" s="3"/>
      <c r="BD510" s="3"/>
      <c r="BE510" s="3"/>
      <c r="BF510" s="3"/>
      <c r="BG510" s="3"/>
      <c r="BH510" s="3"/>
      <c r="BI510" s="3"/>
      <c r="BJ510" s="3"/>
      <c r="BK510" s="3"/>
      <c r="BL510" s="3"/>
      <c r="BM510" s="3"/>
      <c r="BN510" s="3"/>
    </row>
    <row r="511" spans="1:66" ht="13.15" customHeight="1">
      <c r="B511" s="770"/>
      <c r="C511" s="95"/>
      <c r="D511" s="95"/>
      <c r="E511" s="95"/>
      <c r="F511" s="95"/>
      <c r="G511" s="95"/>
      <c r="H511" s="771"/>
      <c r="I511" t="s">
        <v>1350</v>
      </c>
      <c r="AC511" s="1149"/>
      <c r="AD511" s="1150"/>
      <c r="AE511" s="1150"/>
      <c r="AF511" s="1151"/>
      <c r="AG511" s="12"/>
      <c r="AH511" s="1"/>
      <c r="AI511" s="1"/>
      <c r="AJ511" s="1"/>
      <c r="AK511" s="900"/>
      <c r="AZ511" s="3"/>
      <c r="BA511" s="3"/>
      <c r="BB511" s="3"/>
      <c r="BC511" s="3"/>
      <c r="BD511" s="3"/>
      <c r="BE511" s="3"/>
      <c r="BF511" s="3"/>
      <c r="BG511" s="3"/>
      <c r="BH511" s="3"/>
      <c r="BI511" s="3"/>
      <c r="BJ511" s="3"/>
      <c r="BK511" s="3"/>
      <c r="BL511" s="3"/>
      <c r="BM511" s="3"/>
      <c r="BN511" s="3"/>
    </row>
    <row r="512" spans="1:66" ht="13.15" customHeight="1">
      <c r="B512" s="770"/>
      <c r="C512" s="95"/>
      <c r="D512" s="95"/>
      <c r="E512" s="95"/>
      <c r="F512" s="95"/>
      <c r="G512" s="95"/>
      <c r="H512" s="771"/>
      <c r="I512" s="793" t="s">
        <v>1351</v>
      </c>
      <c r="J512" s="40"/>
      <c r="K512" s="40"/>
      <c r="L512" s="40"/>
      <c r="M512" s="40"/>
      <c r="N512" s="40"/>
      <c r="O512" s="40"/>
      <c r="P512" s="40"/>
      <c r="Q512" s="40"/>
      <c r="R512" s="40"/>
      <c r="S512" s="40"/>
      <c r="T512" s="40"/>
      <c r="U512" s="40"/>
      <c r="V512" s="40"/>
      <c r="W512" s="40"/>
      <c r="X512" s="40"/>
      <c r="Y512" s="40"/>
      <c r="Z512" s="40"/>
      <c r="AA512" s="40"/>
      <c r="AB512" s="40"/>
      <c r="AC512" s="1764">
        <v>0.85</v>
      </c>
      <c r="AD512" s="1765"/>
      <c r="AE512" s="1765"/>
      <c r="AF512" s="1766"/>
      <c r="AG512" s="30"/>
      <c r="AH512" s="1689"/>
      <c r="AI512" s="1689"/>
      <c r="AJ512" s="1689"/>
      <c r="AK512" s="1690"/>
      <c r="AZ512" s="3"/>
      <c r="BA512" s="3"/>
      <c r="BB512" s="3"/>
      <c r="BC512" s="3"/>
      <c r="BD512" s="3"/>
      <c r="BE512" s="3"/>
      <c r="BF512" s="3"/>
      <c r="BG512" s="3"/>
      <c r="BH512" s="3"/>
      <c r="BI512" s="3"/>
      <c r="BJ512" s="3"/>
      <c r="BK512" s="3"/>
      <c r="BL512" s="3"/>
      <c r="BM512" s="3"/>
      <c r="BN512" s="3" t="s">
        <v>998</v>
      </c>
    </row>
    <row r="513" spans="2:66" ht="13.1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08" t="s">
        <v>1335</v>
      </c>
      <c r="AD513" s="1582"/>
      <c r="AE513" s="1582"/>
      <c r="AF513" s="1582"/>
      <c r="AG513" s="30" t="s">
        <v>1336</v>
      </c>
      <c r="AH513" s="1582" t="s">
        <v>1337</v>
      </c>
      <c r="AI513" s="1582"/>
      <c r="AJ513" s="1582"/>
      <c r="AK513" s="1777"/>
      <c r="AZ513" s="3"/>
      <c r="BA513" s="3"/>
      <c r="BB513" s="3"/>
      <c r="BC513" s="3"/>
      <c r="BD513" s="3"/>
      <c r="BE513" s="3"/>
      <c r="BF513" s="3"/>
      <c r="BG513" s="3"/>
      <c r="BH513" s="3"/>
      <c r="BI513" s="3"/>
      <c r="BJ513" s="3"/>
      <c r="BK513" s="3"/>
      <c r="BL513" s="3"/>
      <c r="BM513" s="3"/>
      <c r="BN513" s="3" t="s">
        <v>1352</v>
      </c>
    </row>
    <row r="514" spans="2:66" ht="13.15" customHeight="1">
      <c r="B514" s="1616" t="s">
        <v>1353</v>
      </c>
      <c r="C514" s="1389"/>
      <c r="D514" s="1389"/>
      <c r="E514" s="1389"/>
      <c r="F514" s="1389"/>
      <c r="G514" s="1389"/>
      <c r="H514" s="1390"/>
      <c r="I514" s="34" t="s">
        <v>1354</v>
      </c>
      <c r="J514" s="34"/>
      <c r="K514" s="34"/>
      <c r="L514" s="34"/>
      <c r="M514" s="34"/>
      <c r="N514" s="34"/>
      <c r="O514" s="34"/>
      <c r="P514" s="34"/>
      <c r="Q514" s="34"/>
      <c r="R514" s="34"/>
      <c r="S514" s="34"/>
      <c r="T514" s="34"/>
      <c r="U514" s="34"/>
      <c r="V514" s="34"/>
      <c r="W514" s="34"/>
      <c r="AC514" s="1606">
        <v>8</v>
      </c>
      <c r="AD514" s="1607"/>
      <c r="AE514" s="1607"/>
      <c r="AF514" s="1607"/>
      <c r="AG514" s="12" t="s">
        <v>1336</v>
      </c>
      <c r="AH514" s="1364">
        <v>2025</v>
      </c>
      <c r="AI514" s="1364"/>
      <c r="AJ514" s="1364"/>
      <c r="AK514" s="1365"/>
      <c r="AZ514" s="3"/>
      <c r="BA514" s="3"/>
      <c r="BB514" s="3"/>
      <c r="BC514" s="3"/>
      <c r="BD514" s="3"/>
      <c r="BE514" s="3"/>
      <c r="BF514" s="3"/>
      <c r="BG514" s="3"/>
      <c r="BH514" s="3"/>
      <c r="BI514" s="3"/>
      <c r="BJ514" s="3"/>
      <c r="BK514" s="3"/>
      <c r="BL514" s="3"/>
      <c r="BM514" s="3"/>
      <c r="BN514" s="3" t="s">
        <v>1355</v>
      </c>
    </row>
    <row r="515" spans="2:66" ht="13.15" customHeight="1">
      <c r="B515" s="1617"/>
      <c r="C515" s="1391"/>
      <c r="D515" s="1391"/>
      <c r="E515" s="1391"/>
      <c r="F515" s="1391"/>
      <c r="G515" s="1391"/>
      <c r="H515" s="1392"/>
      <c r="I515" t="s">
        <v>1356</v>
      </c>
      <c r="AC515" s="1606">
        <v>9</v>
      </c>
      <c r="AD515" s="1607"/>
      <c r="AE515" s="1607"/>
      <c r="AF515" s="1607"/>
      <c r="AG515" s="12" t="s">
        <v>1336</v>
      </c>
      <c r="AH515" s="1364">
        <v>2025</v>
      </c>
      <c r="AI515" s="1364"/>
      <c r="AJ515" s="1364"/>
      <c r="AK515" s="1365"/>
      <c r="AZ515" s="3"/>
      <c r="BA515" s="3"/>
      <c r="BB515" s="3"/>
      <c r="BC515" s="3"/>
      <c r="BD515" s="3"/>
      <c r="BE515" s="3"/>
      <c r="BF515" s="3"/>
      <c r="BG515" s="3"/>
      <c r="BH515" s="3"/>
      <c r="BI515" s="3"/>
      <c r="BJ515" s="3"/>
      <c r="BK515" s="3"/>
      <c r="BL515" s="3"/>
      <c r="BM515" s="3"/>
      <c r="BN515" s="3" t="s">
        <v>1357</v>
      </c>
    </row>
    <row r="516" spans="2:66" ht="13.15" customHeight="1">
      <c r="B516" s="1617"/>
      <c r="C516" s="1391"/>
      <c r="D516" s="1391"/>
      <c r="E516" s="1391"/>
      <c r="F516" s="1391"/>
      <c r="G516" s="1391"/>
      <c r="H516" s="1392"/>
      <c r="I516" s="40" t="s">
        <v>1358</v>
      </c>
      <c r="J516" s="40"/>
      <c r="K516" s="40"/>
      <c r="L516" s="40"/>
      <c r="M516" s="40"/>
      <c r="N516" s="40"/>
      <c r="O516" s="40"/>
      <c r="P516" s="40"/>
      <c r="Q516" s="40"/>
      <c r="R516" s="40"/>
      <c r="S516" s="40"/>
      <c r="T516" s="40"/>
      <c r="U516" s="40"/>
      <c r="V516" s="40"/>
      <c r="W516" s="40"/>
      <c r="X516" s="40"/>
      <c r="Y516" s="40"/>
      <c r="Z516" s="40"/>
      <c r="AA516" s="40"/>
      <c r="AB516" s="40"/>
      <c r="AC516" s="1606">
        <v>5</v>
      </c>
      <c r="AD516" s="1607"/>
      <c r="AE516" s="1607"/>
      <c r="AF516" s="1607"/>
      <c r="AG516" s="30" t="s">
        <v>1336</v>
      </c>
      <c r="AH516" s="1364">
        <v>2026</v>
      </c>
      <c r="AI516" s="1364"/>
      <c r="AJ516" s="1364"/>
      <c r="AK516" s="1365"/>
      <c r="AZ516" s="3"/>
      <c r="BA516" s="3"/>
      <c r="BB516" s="3"/>
      <c r="BC516" s="3"/>
      <c r="BD516" s="3"/>
      <c r="BE516" s="3"/>
      <c r="BF516" s="3"/>
      <c r="BG516" s="3"/>
      <c r="BH516" s="3"/>
      <c r="BI516" s="3"/>
      <c r="BJ516" s="3"/>
      <c r="BK516" s="3"/>
      <c r="BL516" s="3"/>
      <c r="BM516" s="3"/>
      <c r="BN516" s="3" t="s">
        <v>1359</v>
      </c>
    </row>
    <row r="517" spans="2:66" ht="13.15" customHeight="1">
      <c r="B517" s="1616" t="s">
        <v>1360</v>
      </c>
      <c r="C517" s="1389"/>
      <c r="D517" s="1389"/>
      <c r="E517" s="1389"/>
      <c r="F517" s="1389"/>
      <c r="G517" s="1389"/>
      <c r="H517" s="1390"/>
      <c r="I517" s="34" t="s">
        <v>1354</v>
      </c>
      <c r="J517" s="34"/>
      <c r="K517" s="34"/>
      <c r="L517" s="34"/>
      <c r="M517" s="34"/>
      <c r="N517" s="34"/>
      <c r="O517" s="34"/>
      <c r="P517" s="34"/>
      <c r="Q517" s="34"/>
      <c r="R517" s="34"/>
      <c r="S517" s="34"/>
      <c r="T517" s="34"/>
      <c r="U517" s="34"/>
      <c r="V517" s="34"/>
      <c r="W517" s="34"/>
      <c r="X517" s="34"/>
      <c r="Y517" s="34"/>
      <c r="Z517" s="34"/>
      <c r="AA517" s="34"/>
      <c r="AB517" s="34"/>
      <c r="AC517" s="1299">
        <v>8</v>
      </c>
      <c r="AD517" s="1300"/>
      <c r="AE517" s="1300"/>
      <c r="AF517" s="1300"/>
      <c r="AG517" s="94" t="s">
        <v>1336</v>
      </c>
      <c r="AH517" s="1364">
        <v>2025</v>
      </c>
      <c r="AI517" s="1364"/>
      <c r="AJ517" s="1364"/>
      <c r="AK517" s="1365"/>
      <c r="AZ517" s="3"/>
      <c r="BB517" s="3"/>
      <c r="BC517" s="3"/>
      <c r="BD517" s="3"/>
      <c r="BE517" s="3"/>
      <c r="BF517" s="3"/>
      <c r="BG517" s="3"/>
      <c r="BH517" s="3"/>
      <c r="BI517" s="3"/>
      <c r="BJ517" s="3"/>
      <c r="BK517" s="3"/>
      <c r="BL517" s="3"/>
      <c r="BM517" s="3"/>
      <c r="BN517" s="3" t="s">
        <v>1361</v>
      </c>
    </row>
    <row r="518" spans="2:66" ht="13.15" customHeight="1">
      <c r="B518" s="1617"/>
      <c r="C518" s="1391"/>
      <c r="D518" s="1391"/>
      <c r="E518" s="1391"/>
      <c r="F518" s="1391"/>
      <c r="G518" s="1391"/>
      <c r="H518" s="1392"/>
      <c r="I518" t="s">
        <v>1356</v>
      </c>
      <c r="AC518" s="1606">
        <v>9</v>
      </c>
      <c r="AD518" s="1607"/>
      <c r="AE518" s="1607"/>
      <c r="AF518" s="1607"/>
      <c r="AG518" s="12" t="s">
        <v>1336</v>
      </c>
      <c r="AH518" s="1364">
        <v>2025</v>
      </c>
      <c r="AI518" s="1364"/>
      <c r="AJ518" s="1364"/>
      <c r="AK518" s="1365"/>
      <c r="BB518" s="3"/>
      <c r="BC518" s="3"/>
      <c r="BD518" s="3"/>
      <c r="BE518" s="3"/>
      <c r="BF518" s="3"/>
      <c r="BG518" s="3"/>
      <c r="BH518" s="3"/>
      <c r="BI518" s="3"/>
      <c r="BJ518" s="3"/>
      <c r="BK518" s="3"/>
      <c r="BL518" s="3"/>
      <c r="BM518" s="3"/>
      <c r="BN518" s="3" t="s">
        <v>1362</v>
      </c>
    </row>
    <row r="519" spans="2:66" ht="13.15" customHeight="1">
      <c r="B519" s="1618"/>
      <c r="C519" s="1393"/>
      <c r="D519" s="1393"/>
      <c r="E519" s="1393"/>
      <c r="F519" s="1393"/>
      <c r="G519" s="1393"/>
      <c r="H519" s="1394"/>
      <c r="I519" s="40" t="s">
        <v>1358</v>
      </c>
      <c r="J519" s="40"/>
      <c r="K519" s="40"/>
      <c r="L519" s="40"/>
      <c r="M519" s="40"/>
      <c r="N519" s="40"/>
      <c r="O519" s="40"/>
      <c r="P519" s="40"/>
      <c r="Q519" s="40"/>
      <c r="R519" s="40"/>
      <c r="S519" s="40"/>
      <c r="T519" s="40"/>
      <c r="U519" s="40"/>
      <c r="V519" s="40"/>
      <c r="W519" s="40"/>
      <c r="X519" s="40"/>
      <c r="Y519" s="40"/>
      <c r="Z519" s="40"/>
      <c r="AA519" s="40"/>
      <c r="AB519" s="40"/>
      <c r="AC519" s="1606">
        <v>4</v>
      </c>
      <c r="AD519" s="1607"/>
      <c r="AE519" s="1607"/>
      <c r="AF519" s="1607"/>
      <c r="AG519" s="30" t="s">
        <v>1336</v>
      </c>
      <c r="AH519" s="1364">
        <v>2029</v>
      </c>
      <c r="AI519" s="1364"/>
      <c r="AJ519" s="1364"/>
      <c r="AK519" s="1365"/>
      <c r="BB519" s="3"/>
      <c r="BC519" s="3"/>
      <c r="BD519" s="3"/>
      <c r="BE519" s="3"/>
      <c r="BF519" s="3"/>
      <c r="BG519" s="3"/>
      <c r="BH519" s="3"/>
      <c r="BI519" s="3"/>
      <c r="BJ519" s="3"/>
      <c r="BK519" s="3"/>
      <c r="BL519" s="3"/>
      <c r="BM519" s="3"/>
      <c r="BN519" s="3" t="s">
        <v>1363</v>
      </c>
    </row>
    <row r="520" spans="2:66" ht="13.15" customHeight="1">
      <c r="B520" s="1616" t="s">
        <v>1364</v>
      </c>
      <c r="C520" s="1389"/>
      <c r="D520" s="1389"/>
      <c r="E520" s="1389"/>
      <c r="F520" s="1389"/>
      <c r="G520" s="1389"/>
      <c r="H520" s="1390"/>
      <c r="I520" s="33" t="s">
        <v>1365</v>
      </c>
      <c r="J520" s="34"/>
      <c r="K520" s="34"/>
      <c r="L520" s="34"/>
      <c r="M520" s="34"/>
      <c r="N520" s="34"/>
      <c r="O520" s="1691" t="s">
        <v>1347</v>
      </c>
      <c r="P520" s="1692"/>
      <c r="Q520" s="1692"/>
      <c r="R520" s="1692"/>
      <c r="S520" s="1692"/>
      <c r="T520" s="1692"/>
      <c r="U520" s="1692"/>
      <c r="V520" s="1692"/>
      <c r="W520" s="1692"/>
      <c r="X520" s="1692"/>
      <c r="Y520" s="1692"/>
      <c r="Z520" s="1692"/>
      <c r="AA520" s="1692"/>
      <c r="AB520" s="50"/>
      <c r="AC520" s="1299" t="s">
        <v>807</v>
      </c>
      <c r="AD520" s="1300"/>
      <c r="AE520" s="1300"/>
      <c r="AF520" s="1300"/>
      <c r="AG520" s="94" t="s">
        <v>1336</v>
      </c>
      <c r="AH520" s="1364"/>
      <c r="AI520" s="1364"/>
      <c r="AJ520" s="1364"/>
      <c r="AK520" s="1365"/>
      <c r="AZ520" s="3"/>
      <c r="BB520" s="3"/>
      <c r="BC520" s="3"/>
      <c r="BD520" s="3"/>
      <c r="BE520" s="3"/>
      <c r="BF520" s="3"/>
      <c r="BG520" s="3"/>
      <c r="BH520" s="3"/>
      <c r="BI520" s="3"/>
      <c r="BJ520" s="3"/>
      <c r="BK520" s="3"/>
      <c r="BL520" s="3"/>
      <c r="BM520" s="3"/>
      <c r="BN520" s="3" t="s">
        <v>1366</v>
      </c>
    </row>
    <row r="521" spans="2:66" ht="13.15" customHeight="1">
      <c r="B521" s="1617"/>
      <c r="C521" s="1391"/>
      <c r="D521" s="1391"/>
      <c r="E521" s="1391"/>
      <c r="F521" s="1391"/>
      <c r="G521" s="1391"/>
      <c r="H521" s="1392"/>
      <c r="I521" s="82" t="s">
        <v>44</v>
      </c>
      <c r="AB521" s="56"/>
      <c r="AC521" s="1606" t="s">
        <v>807</v>
      </c>
      <c r="AD521" s="1607"/>
      <c r="AE521" s="1607"/>
      <c r="AF521" s="1607"/>
      <c r="AG521" s="12" t="s">
        <v>1336</v>
      </c>
      <c r="AH521" s="1364"/>
      <c r="AI521" s="1364"/>
      <c r="AJ521" s="1364"/>
      <c r="AK521" s="1365"/>
      <c r="AZ521" s="3"/>
      <c r="BB521" s="3"/>
      <c r="BC521" s="3"/>
      <c r="BD521" s="3"/>
      <c r="BE521" s="3"/>
      <c r="BF521" s="3"/>
      <c r="BG521" s="3"/>
      <c r="BH521" s="3"/>
      <c r="BI521" s="3"/>
      <c r="BJ521" s="3"/>
      <c r="BK521" s="3"/>
      <c r="BL521" s="3"/>
      <c r="BM521" s="3"/>
      <c r="BN521" s="3" t="s">
        <v>1367</v>
      </c>
    </row>
    <row r="522" spans="2:66" ht="13.15" customHeight="1">
      <c r="B522" s="1617"/>
      <c r="C522" s="1391"/>
      <c r="D522" s="1391"/>
      <c r="E522" s="1391"/>
      <c r="F522" s="1391"/>
      <c r="G522" s="1391"/>
      <c r="H522" s="1392"/>
      <c r="I522" s="39" t="s">
        <v>1368</v>
      </c>
      <c r="J522" s="40"/>
      <c r="K522" s="40"/>
      <c r="L522" s="40"/>
      <c r="M522" s="40"/>
      <c r="N522" s="40"/>
      <c r="O522" s="40"/>
      <c r="P522" s="40"/>
      <c r="Q522" s="40"/>
      <c r="R522" s="40"/>
      <c r="S522" s="40"/>
      <c r="T522" s="40"/>
      <c r="U522" s="40"/>
      <c r="V522" s="40"/>
      <c r="W522" s="40"/>
      <c r="X522" s="40"/>
      <c r="Y522" s="40"/>
      <c r="Z522" s="40"/>
      <c r="AA522" s="40"/>
      <c r="AB522" s="41"/>
      <c r="AC522" s="1606" t="s">
        <v>807</v>
      </c>
      <c r="AD522" s="1607"/>
      <c r="AE522" s="1607"/>
      <c r="AF522" s="1607"/>
      <c r="AG522" s="30" t="s">
        <v>1336</v>
      </c>
      <c r="AH522" s="1364"/>
      <c r="AI522" s="1364"/>
      <c r="AJ522" s="1364"/>
      <c r="AK522" s="1365"/>
      <c r="AZ522" s="3"/>
      <c r="BA522" s="3"/>
      <c r="BB522" s="3"/>
      <c r="BC522" s="3"/>
      <c r="BD522" s="3"/>
      <c r="BE522" s="3"/>
      <c r="BF522" s="3"/>
      <c r="BG522" s="3"/>
      <c r="BH522" s="3"/>
      <c r="BI522" s="3"/>
      <c r="BJ522" s="3"/>
      <c r="BK522" s="3"/>
      <c r="BL522" s="3"/>
      <c r="BM522" s="3"/>
      <c r="BN522" s="3" t="s">
        <v>1369</v>
      </c>
    </row>
    <row r="523" spans="2:66" ht="13.15" customHeight="1">
      <c r="B523" s="1617"/>
      <c r="C523" s="1391"/>
      <c r="D523" s="1391"/>
      <c r="E523" s="1391"/>
      <c r="F523" s="1391"/>
      <c r="G523" s="1391"/>
      <c r="H523" s="1392"/>
      <c r="I523" s="34" t="s">
        <v>1370</v>
      </c>
      <c r="J523" s="34"/>
      <c r="K523" s="34"/>
      <c r="L523" s="34"/>
      <c r="M523" s="34"/>
      <c r="N523" s="34"/>
      <c r="O523" s="1691" t="s">
        <v>1347</v>
      </c>
      <c r="P523" s="1692"/>
      <c r="Q523" s="1692"/>
      <c r="R523" s="1692"/>
      <c r="S523" s="1692"/>
      <c r="T523" s="1692"/>
      <c r="U523" s="1692"/>
      <c r="V523" s="1692"/>
      <c r="W523" s="1692"/>
      <c r="X523" s="1692"/>
      <c r="Y523" s="1692"/>
      <c r="Z523" s="1692"/>
      <c r="AA523" s="1692"/>
      <c r="AC523" s="1606" t="s">
        <v>807</v>
      </c>
      <c r="AD523" s="1607"/>
      <c r="AE523" s="1607"/>
      <c r="AF523" s="1607"/>
      <c r="AG523" s="12" t="s">
        <v>1336</v>
      </c>
      <c r="AH523" s="1364"/>
      <c r="AI523" s="1364"/>
      <c r="AJ523" s="1364"/>
      <c r="AK523" s="1365"/>
      <c r="AZ523" s="3"/>
      <c r="BA523" s="3"/>
      <c r="BB523" s="3"/>
      <c r="BC523" s="3"/>
      <c r="BD523" s="3"/>
      <c r="BE523" s="3"/>
      <c r="BF523" s="3"/>
      <c r="BG523" s="3"/>
      <c r="BH523" s="3"/>
      <c r="BI523" s="3"/>
      <c r="BJ523" s="3"/>
      <c r="BK523" s="3"/>
      <c r="BL523" s="3"/>
      <c r="BM523" s="3"/>
      <c r="BN523" s="3" t="s">
        <v>1371</v>
      </c>
    </row>
    <row r="524" spans="2:66" ht="13.15" customHeight="1">
      <c r="B524" s="1617"/>
      <c r="C524" s="1391"/>
      <c r="D524" s="1391"/>
      <c r="E524" s="1391"/>
      <c r="F524" s="1391"/>
      <c r="G524" s="1391"/>
      <c r="H524" s="1392"/>
      <c r="I524" t="s">
        <v>44</v>
      </c>
      <c r="AC524" s="1606" t="s">
        <v>807</v>
      </c>
      <c r="AD524" s="1607"/>
      <c r="AE524" s="1607"/>
      <c r="AF524" s="1607"/>
      <c r="AG524" s="12" t="s">
        <v>1336</v>
      </c>
      <c r="AH524" s="1364"/>
      <c r="AI524" s="1364"/>
      <c r="AJ524" s="1364"/>
      <c r="AK524" s="1365"/>
      <c r="AZ524" s="3"/>
      <c r="BA524" s="3"/>
      <c r="BB524" s="3"/>
      <c r="BC524" s="3"/>
      <c r="BD524" s="3"/>
      <c r="BE524" s="3"/>
      <c r="BF524" s="3"/>
      <c r="BG524" s="3"/>
      <c r="BH524" s="3"/>
      <c r="BI524" s="3"/>
      <c r="BJ524" s="3"/>
      <c r="BK524" s="3"/>
      <c r="BL524" s="3"/>
      <c r="BM524" s="3"/>
      <c r="BN524" s="3" t="s">
        <v>1372</v>
      </c>
    </row>
    <row r="525" spans="2:66" ht="13.15" customHeight="1">
      <c r="B525" s="1617"/>
      <c r="C525" s="1391"/>
      <c r="D525" s="1391"/>
      <c r="E525" s="1391"/>
      <c r="F525" s="1391"/>
      <c r="G525" s="1391"/>
      <c r="H525" s="1392"/>
      <c r="I525" s="40" t="s">
        <v>1368</v>
      </c>
      <c r="J525" s="40"/>
      <c r="K525" s="40"/>
      <c r="L525" s="40"/>
      <c r="M525" s="40"/>
      <c r="N525" s="40"/>
      <c r="O525" s="40"/>
      <c r="P525" s="40"/>
      <c r="Q525" s="40"/>
      <c r="R525" s="40"/>
      <c r="S525" s="40"/>
      <c r="T525" s="40"/>
      <c r="U525" s="40"/>
      <c r="V525" s="40"/>
      <c r="W525" s="40"/>
      <c r="X525" s="40"/>
      <c r="Y525" s="40"/>
      <c r="Z525" s="40"/>
      <c r="AA525" s="40"/>
      <c r="AB525" s="40"/>
      <c r="AC525" s="1606" t="s">
        <v>807</v>
      </c>
      <c r="AD525" s="1607"/>
      <c r="AE525" s="1607"/>
      <c r="AF525" s="1607"/>
      <c r="AG525" s="30" t="s">
        <v>1336</v>
      </c>
      <c r="AH525" s="1364"/>
      <c r="AI525" s="1364"/>
      <c r="AJ525" s="1364"/>
      <c r="AK525" s="1365"/>
      <c r="AZ525" s="3"/>
      <c r="BA525" s="3"/>
      <c r="BB525" s="3"/>
      <c r="BC525" s="3"/>
      <c r="BD525" s="3"/>
      <c r="BE525" s="3"/>
      <c r="BF525" s="3"/>
      <c r="BG525" s="3"/>
      <c r="BH525" s="3"/>
      <c r="BI525" s="3"/>
      <c r="BJ525" s="3"/>
      <c r="BK525" s="3"/>
      <c r="BL525" s="3"/>
      <c r="BM525" s="3"/>
      <c r="BN525" s="3" t="s">
        <v>1373</v>
      </c>
    </row>
    <row r="526" spans="2:66" ht="13.15" customHeight="1">
      <c r="B526" s="1617"/>
      <c r="C526" s="1391"/>
      <c r="D526" s="1391"/>
      <c r="E526" s="1391"/>
      <c r="F526" s="1391"/>
      <c r="G526" s="1391"/>
      <c r="H526" s="1392"/>
      <c r="I526" s="34" t="s">
        <v>1370</v>
      </c>
      <c r="J526" s="34"/>
      <c r="K526" s="34"/>
      <c r="L526" s="34"/>
      <c r="M526" s="34"/>
      <c r="N526" s="34"/>
      <c r="O526" s="1691" t="s">
        <v>1347</v>
      </c>
      <c r="P526" s="1692"/>
      <c r="Q526" s="1692"/>
      <c r="R526" s="1692"/>
      <c r="S526" s="1692"/>
      <c r="T526" s="1692"/>
      <c r="U526" s="1692"/>
      <c r="V526" s="1692"/>
      <c r="W526" s="1692"/>
      <c r="X526" s="1692"/>
      <c r="Y526" s="1692"/>
      <c r="Z526" s="1692"/>
      <c r="AA526" s="1692"/>
      <c r="AC526" s="1606" t="s">
        <v>807</v>
      </c>
      <c r="AD526" s="1607"/>
      <c r="AE526" s="1607"/>
      <c r="AF526" s="1607"/>
      <c r="AG526" s="12" t="s">
        <v>1336</v>
      </c>
      <c r="AH526" s="1364"/>
      <c r="AI526" s="1364"/>
      <c r="AJ526" s="1364"/>
      <c r="AK526" s="1365"/>
      <c r="AZ526" s="3"/>
      <c r="BA526" s="3"/>
      <c r="BB526" s="3"/>
      <c r="BC526" s="3"/>
      <c r="BD526" s="3"/>
      <c r="BE526" s="3"/>
      <c r="BF526" s="3"/>
      <c r="BG526" s="3"/>
      <c r="BH526" s="3"/>
      <c r="BI526" s="3"/>
      <c r="BJ526" s="3"/>
      <c r="BK526" s="3"/>
      <c r="BL526" s="3"/>
      <c r="BM526" s="3"/>
      <c r="BN526" s="3" t="s">
        <v>1374</v>
      </c>
    </row>
    <row r="527" spans="2:66" ht="13.15" customHeight="1">
      <c r="B527" s="1617"/>
      <c r="C527" s="1391"/>
      <c r="D527" s="1391"/>
      <c r="E527" s="1391"/>
      <c r="F527" s="1391"/>
      <c r="G527" s="1391"/>
      <c r="H527" s="1392"/>
      <c r="I527" t="s">
        <v>44</v>
      </c>
      <c r="AC527" s="1606" t="s">
        <v>807</v>
      </c>
      <c r="AD527" s="1607"/>
      <c r="AE527" s="1607"/>
      <c r="AF527" s="1607"/>
      <c r="AG527" s="12" t="s">
        <v>1336</v>
      </c>
      <c r="AH527" s="1364"/>
      <c r="AI527" s="1364"/>
      <c r="AJ527" s="1364"/>
      <c r="AK527" s="1365"/>
      <c r="AZ527" s="3"/>
      <c r="BA527" s="3"/>
      <c r="BB527" s="3"/>
      <c r="BC527" s="3"/>
      <c r="BD527" s="3"/>
      <c r="BE527" s="3"/>
      <c r="BF527" s="3"/>
      <c r="BG527" s="3"/>
      <c r="BH527" s="3"/>
      <c r="BI527" s="3"/>
      <c r="BJ527" s="3"/>
      <c r="BK527" s="3"/>
      <c r="BL527" s="3"/>
      <c r="BM527" s="3"/>
      <c r="BN527" s="3" t="s">
        <v>1375</v>
      </c>
    </row>
    <row r="528" spans="2:66" ht="13.15" customHeight="1">
      <c r="B528" s="1617"/>
      <c r="C528" s="1391"/>
      <c r="D528" s="1391"/>
      <c r="E528" s="1391"/>
      <c r="F528" s="1391"/>
      <c r="G528" s="1391"/>
      <c r="H528" s="1392"/>
      <c r="I528" s="40" t="s">
        <v>1368</v>
      </c>
      <c r="J528" s="40"/>
      <c r="K528" s="40"/>
      <c r="L528" s="40"/>
      <c r="M528" s="40"/>
      <c r="N528" s="40"/>
      <c r="O528" s="40"/>
      <c r="P528" s="40"/>
      <c r="Q528" s="40"/>
      <c r="R528" s="40"/>
      <c r="S528" s="40"/>
      <c r="T528" s="40"/>
      <c r="U528" s="40"/>
      <c r="V528" s="40"/>
      <c r="W528" s="40"/>
      <c r="X528" s="40"/>
      <c r="Y528" s="40"/>
      <c r="Z528" s="40"/>
      <c r="AA528" s="40"/>
      <c r="AB528" s="40"/>
      <c r="AC528" s="1606" t="s">
        <v>807</v>
      </c>
      <c r="AD528" s="1607"/>
      <c r="AE528" s="1607"/>
      <c r="AF528" s="1607"/>
      <c r="AG528" s="30" t="s">
        <v>1336</v>
      </c>
      <c r="AH528" s="1364"/>
      <c r="AI528" s="1364"/>
      <c r="AJ528" s="1364"/>
      <c r="AK528" s="1365"/>
      <c r="AZ528" s="3"/>
      <c r="BA528" s="3"/>
      <c r="BB528" s="3"/>
      <c r="BC528" s="3"/>
      <c r="BD528" s="3"/>
      <c r="BE528" s="3"/>
      <c r="BF528" s="3"/>
      <c r="BG528" s="3"/>
      <c r="BH528" s="3"/>
      <c r="BI528" s="3"/>
      <c r="BJ528" s="3"/>
      <c r="BK528" s="3"/>
      <c r="BL528" s="3"/>
      <c r="BM528" s="3"/>
      <c r="BN528" s="3" t="s">
        <v>1376</v>
      </c>
    </row>
    <row r="529" spans="1:66" ht="13.15" customHeight="1">
      <c r="B529" s="1617"/>
      <c r="C529" s="1391"/>
      <c r="D529" s="1391"/>
      <c r="E529" s="1391"/>
      <c r="F529" s="1391"/>
      <c r="G529" s="1391"/>
      <c r="H529" s="1392"/>
      <c r="I529" s="34" t="s">
        <v>1370</v>
      </c>
      <c r="J529" s="34"/>
      <c r="K529" s="34"/>
      <c r="L529" s="34"/>
      <c r="M529" s="34"/>
      <c r="N529" s="34"/>
      <c r="O529" s="1691" t="s">
        <v>1347</v>
      </c>
      <c r="P529" s="1692"/>
      <c r="Q529" s="1692"/>
      <c r="R529" s="1692"/>
      <c r="S529" s="1692"/>
      <c r="T529" s="1692"/>
      <c r="U529" s="1692"/>
      <c r="V529" s="1692"/>
      <c r="W529" s="1692"/>
      <c r="X529" s="1692"/>
      <c r="Y529" s="1692"/>
      <c r="Z529" s="1692"/>
      <c r="AA529" s="1692"/>
      <c r="AC529" s="1606" t="s">
        <v>807</v>
      </c>
      <c r="AD529" s="1607"/>
      <c r="AE529" s="1607"/>
      <c r="AF529" s="1607"/>
      <c r="AG529" s="12" t="s">
        <v>1336</v>
      </c>
      <c r="AH529" s="1364"/>
      <c r="AI529" s="1364"/>
      <c r="AJ529" s="1364"/>
      <c r="AK529" s="1365"/>
      <c r="AZ529" s="3"/>
      <c r="BA529" s="3"/>
      <c r="BB529" s="3"/>
      <c r="BC529" s="3"/>
      <c r="BD529" s="3"/>
      <c r="BE529" s="3"/>
      <c r="BF529" s="3"/>
      <c r="BG529" s="3"/>
      <c r="BH529" s="3"/>
      <c r="BI529" s="3"/>
      <c r="BJ529" s="3"/>
      <c r="BK529" s="3"/>
      <c r="BL529" s="3"/>
      <c r="BM529" s="3"/>
      <c r="BN529" s="3" t="s">
        <v>1377</v>
      </c>
    </row>
    <row r="530" spans="1:66" ht="13.15" customHeight="1">
      <c r="B530" s="1617"/>
      <c r="C530" s="1391"/>
      <c r="D530" s="1391"/>
      <c r="E530" s="1391"/>
      <c r="F530" s="1391"/>
      <c r="G530" s="1391"/>
      <c r="H530" s="1392"/>
      <c r="I530" t="s">
        <v>44</v>
      </c>
      <c r="AC530" s="1606" t="s">
        <v>807</v>
      </c>
      <c r="AD530" s="1607"/>
      <c r="AE530" s="1607"/>
      <c r="AF530" s="1607"/>
      <c r="AG530" s="12" t="s">
        <v>1336</v>
      </c>
      <c r="AH530" s="1364"/>
      <c r="AI530" s="1364"/>
      <c r="AJ530" s="1364"/>
      <c r="AK530" s="1365"/>
      <c r="AZ530" s="3"/>
      <c r="BA530" s="3"/>
      <c r="BB530" s="3"/>
      <c r="BC530" s="3"/>
      <c r="BD530" s="3"/>
      <c r="BE530" s="3"/>
      <c r="BF530" s="3"/>
      <c r="BG530" s="3"/>
      <c r="BH530" s="3"/>
      <c r="BI530" s="3"/>
      <c r="BJ530" s="3"/>
      <c r="BK530" s="3"/>
      <c r="BL530" s="3"/>
      <c r="BM530" s="3"/>
      <c r="BN530" s="3" t="s">
        <v>1378</v>
      </c>
    </row>
    <row r="531" spans="1:66" ht="13.15" customHeight="1">
      <c r="B531" s="1617"/>
      <c r="C531" s="1391"/>
      <c r="D531" s="1391"/>
      <c r="E531" s="1391"/>
      <c r="F531" s="1391"/>
      <c r="G531" s="1391"/>
      <c r="H531" s="1392"/>
      <c r="I531" s="40" t="s">
        <v>1368</v>
      </c>
      <c r="J531" s="40"/>
      <c r="K531" s="40"/>
      <c r="L531" s="40"/>
      <c r="M531" s="40"/>
      <c r="N531" s="40"/>
      <c r="O531" s="40"/>
      <c r="P531" s="40"/>
      <c r="Q531" s="40"/>
      <c r="R531" s="40"/>
      <c r="S531" s="40"/>
      <c r="T531" s="40"/>
      <c r="U531" s="40"/>
      <c r="V531" s="40"/>
      <c r="W531" s="40"/>
      <c r="X531" s="40"/>
      <c r="Y531" s="40"/>
      <c r="Z531" s="40"/>
      <c r="AA531" s="40"/>
      <c r="AB531" s="40"/>
      <c r="AC531" s="1606" t="s">
        <v>807</v>
      </c>
      <c r="AD531" s="1607"/>
      <c r="AE531" s="1607"/>
      <c r="AF531" s="1607"/>
      <c r="AG531" s="30" t="s">
        <v>1336</v>
      </c>
      <c r="AH531" s="1364"/>
      <c r="AI531" s="1364"/>
      <c r="AJ531" s="1364"/>
      <c r="AK531" s="1365"/>
      <c r="AZ531" s="3"/>
      <c r="BA531" s="3"/>
      <c r="BB531" s="3"/>
      <c r="BC531" s="3"/>
      <c r="BD531" s="3"/>
      <c r="BE531" s="3"/>
      <c r="BF531" s="3"/>
      <c r="BG531" s="3"/>
      <c r="BH531" s="3"/>
      <c r="BI531" s="3"/>
      <c r="BJ531" s="3"/>
      <c r="BK531" s="3"/>
      <c r="BL531" s="3"/>
      <c r="BM531" s="3"/>
      <c r="BN531" s="3" t="s">
        <v>1379</v>
      </c>
    </row>
    <row r="532" spans="1:66" ht="13.15" customHeight="1">
      <c r="B532" s="1617"/>
      <c r="C532" s="1391"/>
      <c r="D532" s="1391"/>
      <c r="E532" s="1391"/>
      <c r="F532" s="1391"/>
      <c r="G532" s="1391"/>
      <c r="H532" s="1392"/>
      <c r="I532" s="34" t="s">
        <v>1370</v>
      </c>
      <c r="J532" s="34"/>
      <c r="K532" s="34"/>
      <c r="L532" s="34"/>
      <c r="M532" s="34"/>
      <c r="N532" s="34"/>
      <c r="O532" s="1691" t="s">
        <v>1347</v>
      </c>
      <c r="P532" s="1692"/>
      <c r="Q532" s="1692"/>
      <c r="R532" s="1692"/>
      <c r="S532" s="1692"/>
      <c r="T532" s="1692"/>
      <c r="U532" s="1692"/>
      <c r="V532" s="1692"/>
      <c r="W532" s="1692"/>
      <c r="X532" s="1692"/>
      <c r="Y532" s="1692"/>
      <c r="Z532" s="1692"/>
      <c r="AA532" s="1692"/>
      <c r="AC532" s="1606" t="s">
        <v>807</v>
      </c>
      <c r="AD532" s="1607"/>
      <c r="AE532" s="1607"/>
      <c r="AF532" s="1607"/>
      <c r="AG532" s="12" t="s">
        <v>1336</v>
      </c>
      <c r="AH532" s="1364"/>
      <c r="AI532" s="1364"/>
      <c r="AJ532" s="1364"/>
      <c r="AK532" s="1365"/>
      <c r="AZ532" s="3"/>
      <c r="BA532" s="3"/>
      <c r="BB532" s="3"/>
      <c r="BC532" s="3"/>
      <c r="BD532" s="3"/>
      <c r="BE532" s="3"/>
      <c r="BF532" s="3"/>
      <c r="BG532" s="3"/>
      <c r="BH532" s="3"/>
      <c r="BI532" s="3"/>
      <c r="BJ532" s="3"/>
      <c r="BK532" s="3"/>
      <c r="BL532" s="3"/>
      <c r="BM532" s="3"/>
      <c r="BN532" s="3" t="s">
        <v>1380</v>
      </c>
    </row>
    <row r="533" spans="1:66" ht="13.15" customHeight="1">
      <c r="B533" s="1617"/>
      <c r="C533" s="1391"/>
      <c r="D533" s="1391"/>
      <c r="E533" s="1391"/>
      <c r="F533" s="1391"/>
      <c r="G533" s="1391"/>
      <c r="H533" s="1392"/>
      <c r="I533" t="s">
        <v>44</v>
      </c>
      <c r="AC533" s="1606" t="s">
        <v>807</v>
      </c>
      <c r="AD533" s="1607"/>
      <c r="AE533" s="1607"/>
      <c r="AF533" s="1607"/>
      <c r="AG533" s="30" t="s">
        <v>1336</v>
      </c>
      <c r="AH533" s="1364"/>
      <c r="AI533" s="1364"/>
      <c r="AJ533" s="1364"/>
      <c r="AK533" s="1365"/>
      <c r="AZ533" s="3"/>
      <c r="BA533" s="3"/>
      <c r="BB533" s="3"/>
      <c r="BC533" s="3"/>
      <c r="BD533" s="3"/>
      <c r="BE533" s="3"/>
      <c r="BF533" s="3"/>
      <c r="BG533" s="3"/>
      <c r="BH533" s="3"/>
      <c r="BI533" s="3"/>
      <c r="BJ533" s="3"/>
      <c r="BK533" s="3"/>
      <c r="BL533" s="3"/>
      <c r="BM533" s="3"/>
      <c r="BN533" s="3" t="s">
        <v>1381</v>
      </c>
    </row>
    <row r="534" spans="1:66" ht="13.15" customHeight="1">
      <c r="B534" s="1617"/>
      <c r="C534" s="1391"/>
      <c r="D534" s="1391"/>
      <c r="E534" s="1391"/>
      <c r="F534" s="1391"/>
      <c r="G534" s="1391"/>
      <c r="H534" s="1392"/>
      <c r="I534" s="40" t="s">
        <v>1368</v>
      </c>
      <c r="J534" s="40"/>
      <c r="K534" s="40"/>
      <c r="L534" s="40"/>
      <c r="M534" s="40"/>
      <c r="N534" s="40"/>
      <c r="O534" s="40"/>
      <c r="P534" s="40"/>
      <c r="Q534" s="40"/>
      <c r="R534" s="40"/>
      <c r="S534" s="40"/>
      <c r="T534" s="40"/>
      <c r="U534" s="40"/>
      <c r="V534" s="40"/>
      <c r="W534" s="40"/>
      <c r="X534" s="40"/>
      <c r="Y534" s="40"/>
      <c r="Z534" s="40"/>
      <c r="AA534" s="40"/>
      <c r="AB534" s="40"/>
      <c r="AC534" s="1606" t="s">
        <v>807</v>
      </c>
      <c r="AD534" s="1607"/>
      <c r="AE534" s="1607"/>
      <c r="AF534" s="1607"/>
      <c r="AG534" s="12" t="s">
        <v>1336</v>
      </c>
      <c r="AH534" s="1364"/>
      <c r="AI534" s="1364"/>
      <c r="AJ534" s="1364"/>
      <c r="AK534" s="1365"/>
      <c r="AZ534" s="3"/>
      <c r="BA534" s="3"/>
      <c r="BB534" s="3"/>
      <c r="BC534" s="3"/>
      <c r="BD534" s="3"/>
      <c r="BE534" s="3"/>
      <c r="BF534" s="3"/>
      <c r="BG534" s="3"/>
      <c r="BH534" s="3"/>
      <c r="BI534" s="3"/>
      <c r="BJ534" s="3"/>
      <c r="BK534" s="3"/>
      <c r="BL534" s="3"/>
      <c r="BM534" s="3"/>
      <c r="BN534" s="3" t="s">
        <v>1382</v>
      </c>
    </row>
    <row r="535" spans="1:66" ht="13.15" customHeight="1">
      <c r="B535" s="1617"/>
      <c r="C535" s="1391"/>
      <c r="D535" s="1391"/>
      <c r="E535" s="1391"/>
      <c r="F535" s="1391"/>
      <c r="G535" s="1391"/>
      <c r="H535" s="1392"/>
      <c r="I535" s="34" t="s">
        <v>1370</v>
      </c>
      <c r="J535" s="34"/>
      <c r="K535" s="34"/>
      <c r="L535" s="34"/>
      <c r="M535" s="34"/>
      <c r="N535" s="34"/>
      <c r="O535" s="1691" t="s">
        <v>1347</v>
      </c>
      <c r="P535" s="1692"/>
      <c r="Q535" s="1692"/>
      <c r="R535" s="1692"/>
      <c r="S535" s="1692"/>
      <c r="T535" s="1692"/>
      <c r="U535" s="1692"/>
      <c r="V535" s="1692"/>
      <c r="W535" s="1692"/>
      <c r="X535" s="1692"/>
      <c r="Y535" s="1692"/>
      <c r="Z535" s="1692"/>
      <c r="AA535" s="1692"/>
      <c r="AC535" s="1606" t="s">
        <v>807</v>
      </c>
      <c r="AD535" s="1607"/>
      <c r="AE535" s="1607"/>
      <c r="AF535" s="1607"/>
      <c r="AG535" s="30" t="s">
        <v>1336</v>
      </c>
      <c r="AH535" s="1364"/>
      <c r="AI535" s="1364"/>
      <c r="AJ535" s="1364"/>
      <c r="AK535" s="1365"/>
      <c r="AZ535" s="3"/>
      <c r="BA535" s="3"/>
      <c r="BB535" s="3"/>
      <c r="BC535" s="3"/>
      <c r="BD535" s="3"/>
      <c r="BE535" s="3"/>
      <c r="BF535" s="3"/>
      <c r="BG535" s="3"/>
      <c r="BH535" s="3"/>
      <c r="BI535" s="3"/>
      <c r="BJ535" s="3"/>
      <c r="BK535" s="3"/>
      <c r="BL535" s="3"/>
      <c r="BM535" s="3"/>
      <c r="BN535" s="3" t="s">
        <v>1383</v>
      </c>
    </row>
    <row r="536" spans="1:66" ht="13.15" customHeight="1">
      <c r="B536" s="1617"/>
      <c r="C536" s="1391"/>
      <c r="D536" s="1391"/>
      <c r="E536" s="1391"/>
      <c r="F536" s="1391"/>
      <c r="G536" s="1391"/>
      <c r="H536" s="1392"/>
      <c r="I536" t="s">
        <v>44</v>
      </c>
      <c r="AC536" s="1606" t="s">
        <v>807</v>
      </c>
      <c r="AD536" s="1607"/>
      <c r="AE536" s="1607"/>
      <c r="AF536" s="1607"/>
      <c r="AG536" s="12" t="s">
        <v>1336</v>
      </c>
      <c r="AH536" s="1364"/>
      <c r="AI536" s="1364"/>
      <c r="AJ536" s="1364"/>
      <c r="AK536" s="1365"/>
      <c r="AZ536" s="3"/>
      <c r="BA536" s="3"/>
      <c r="BB536" s="3"/>
      <c r="BC536" s="3"/>
      <c r="BD536" s="3"/>
      <c r="BE536" s="3"/>
      <c r="BF536" s="3"/>
      <c r="BG536" s="3"/>
      <c r="BH536" s="3"/>
      <c r="BI536" s="3"/>
      <c r="BJ536" s="3"/>
      <c r="BK536" s="3"/>
      <c r="BL536" s="3"/>
      <c r="BM536" s="3"/>
      <c r="BN536" s="3" t="s">
        <v>1384</v>
      </c>
    </row>
    <row r="537" spans="1:66" ht="13.15" customHeight="1">
      <c r="B537" s="1617"/>
      <c r="C537" s="1391"/>
      <c r="D537" s="1391"/>
      <c r="E537" s="1391"/>
      <c r="F537" s="1391"/>
      <c r="G537" s="1391"/>
      <c r="H537" s="1392"/>
      <c r="I537" s="40" t="s">
        <v>1368</v>
      </c>
      <c r="J537" s="40"/>
      <c r="K537" s="40"/>
      <c r="L537" s="40"/>
      <c r="M537" s="40"/>
      <c r="N537" s="40"/>
      <c r="O537" s="40"/>
      <c r="P537" s="40"/>
      <c r="Q537" s="40"/>
      <c r="R537" s="40"/>
      <c r="S537" s="40"/>
      <c r="T537" s="40"/>
      <c r="U537" s="40"/>
      <c r="V537" s="40"/>
      <c r="W537" s="40"/>
      <c r="X537" s="40"/>
      <c r="Y537" s="40"/>
      <c r="Z537" s="40"/>
      <c r="AA537" s="40"/>
      <c r="AB537" s="40"/>
      <c r="AC537" s="1606" t="s">
        <v>807</v>
      </c>
      <c r="AD537" s="1607"/>
      <c r="AE537" s="1607"/>
      <c r="AF537" s="1607"/>
      <c r="AG537" s="30" t="s">
        <v>1336</v>
      </c>
      <c r="AH537" s="1364"/>
      <c r="AI537" s="1364"/>
      <c r="AJ537" s="1364"/>
      <c r="AK537" s="1365"/>
      <c r="AZ537" s="3"/>
      <c r="BA537" s="3"/>
      <c r="BB537" s="3"/>
      <c r="BC537" s="3"/>
      <c r="BD537" s="3"/>
      <c r="BE537" s="3"/>
      <c r="BF537" s="3"/>
      <c r="BG537" s="3"/>
      <c r="BH537" s="3"/>
      <c r="BI537" s="3"/>
      <c r="BJ537" s="3"/>
      <c r="BK537" s="3"/>
      <c r="BL537" s="3"/>
      <c r="BM537" s="3"/>
      <c r="BN537" s="3" t="s">
        <v>1385</v>
      </c>
    </row>
    <row r="538" spans="1:66" ht="13.15" customHeight="1">
      <c r="B538" s="1617"/>
      <c r="C538" s="1391"/>
      <c r="D538" s="1391"/>
      <c r="E538" s="1391"/>
      <c r="F538" s="1391"/>
      <c r="G538" s="1391"/>
      <c r="H538" s="1392"/>
      <c r="I538" s="34" t="s">
        <v>1386</v>
      </c>
      <c r="J538" s="34"/>
      <c r="K538" s="34"/>
      <c r="L538" s="34"/>
      <c r="M538" s="34"/>
      <c r="N538" s="34"/>
      <c r="O538" s="34"/>
      <c r="P538" s="34"/>
      <c r="Q538" s="34"/>
      <c r="R538" s="34"/>
      <c r="S538" s="34"/>
      <c r="T538" s="34"/>
      <c r="U538" s="34"/>
      <c r="V538" s="34"/>
      <c r="W538" s="34"/>
      <c r="AC538" s="1606">
        <v>5</v>
      </c>
      <c r="AD538" s="1607"/>
      <c r="AE538" s="1607"/>
      <c r="AF538" s="1607"/>
      <c r="AG538" s="30" t="s">
        <v>1336</v>
      </c>
      <c r="AH538" s="1364">
        <v>2026</v>
      </c>
      <c r="AI538" s="1364"/>
      <c r="AJ538" s="1364"/>
      <c r="AK538" s="1365"/>
      <c r="AZ538" s="3"/>
      <c r="BA538" s="3"/>
      <c r="BB538" s="3"/>
      <c r="BC538" s="3"/>
      <c r="BD538" s="3"/>
      <c r="BE538" s="3"/>
      <c r="BF538" s="3"/>
      <c r="BG538" s="3"/>
      <c r="BH538" s="3"/>
      <c r="BI538" s="3"/>
      <c r="BJ538" s="3"/>
      <c r="BK538" s="3"/>
      <c r="BL538" s="3"/>
      <c r="BM538" s="3"/>
      <c r="BN538" s="3"/>
    </row>
    <row r="539" spans="1:66" ht="13.15" customHeight="1">
      <c r="B539" s="1617"/>
      <c r="C539" s="1391"/>
      <c r="D539" s="1391"/>
      <c r="E539" s="1391"/>
      <c r="F539" s="1391"/>
      <c r="G539" s="1391"/>
      <c r="H539" s="1392"/>
      <c r="I539" t="s">
        <v>1387</v>
      </c>
      <c r="AC539" s="1606">
        <v>5</v>
      </c>
      <c r="AD539" s="1607"/>
      <c r="AE539" s="1607"/>
      <c r="AF539" s="1607"/>
      <c r="AG539" s="12" t="s">
        <v>1336</v>
      </c>
      <c r="AH539" s="1364">
        <v>2026</v>
      </c>
      <c r="AI539" s="1364"/>
      <c r="AJ539" s="1364"/>
      <c r="AK539" s="1365"/>
      <c r="AZ539" s="3"/>
      <c r="BA539" s="3"/>
      <c r="BB539" s="3"/>
      <c r="BC539" s="3"/>
      <c r="BD539" s="3"/>
      <c r="BE539" s="3"/>
      <c r="BF539" s="3"/>
      <c r="BG539" s="3"/>
      <c r="BH539" s="3"/>
      <c r="BI539" s="3"/>
      <c r="BJ539" s="3"/>
      <c r="BK539" s="3"/>
      <c r="BL539" s="3"/>
      <c r="BM539" s="3"/>
      <c r="BN539" s="3"/>
    </row>
    <row r="540" spans="1:66" ht="13.15" customHeight="1">
      <c r="B540" s="1617"/>
      <c r="C540" s="1391"/>
      <c r="D540" s="1391"/>
      <c r="E540" s="1391"/>
      <c r="F540" s="1391"/>
      <c r="G540" s="1391"/>
      <c r="H540" s="1392"/>
      <c r="I540" t="s">
        <v>1388</v>
      </c>
      <c r="AC540" s="1606">
        <v>5</v>
      </c>
      <c r="AD540" s="1607"/>
      <c r="AE540" s="1607"/>
      <c r="AF540" s="1607"/>
      <c r="AG540" s="30" t="s">
        <v>1336</v>
      </c>
      <c r="AH540" s="1364">
        <v>2028</v>
      </c>
      <c r="AI540" s="1364"/>
      <c r="AJ540" s="1364"/>
      <c r="AK540" s="1365"/>
      <c r="AZ540" s="3"/>
      <c r="BA540" s="3"/>
      <c r="BB540" s="3"/>
      <c r="BC540" s="3"/>
      <c r="BD540" s="3"/>
      <c r="BE540" s="3"/>
      <c r="BF540" s="3"/>
      <c r="BG540" s="3"/>
      <c r="BH540" s="3"/>
      <c r="BI540" s="3"/>
      <c r="BJ540" s="3"/>
      <c r="BK540" s="3"/>
      <c r="BL540" s="3"/>
      <c r="BM540" s="3"/>
      <c r="BN540" s="3"/>
    </row>
    <row r="541" spans="1:66" ht="13.15" customHeight="1">
      <c r="B541" s="1617"/>
      <c r="C541" s="1391"/>
      <c r="D541" s="1391"/>
      <c r="E541" s="1391"/>
      <c r="F541" s="1391"/>
      <c r="G541" s="1391"/>
      <c r="H541" s="1392"/>
      <c r="I541" t="s">
        <v>1389</v>
      </c>
      <c r="AC541" s="1606">
        <v>5</v>
      </c>
      <c r="AD541" s="1607"/>
      <c r="AE541" s="1607"/>
      <c r="AF541" s="1607"/>
      <c r="AG541" s="30" t="s">
        <v>1336</v>
      </c>
      <c r="AH541" s="1364">
        <v>2028</v>
      </c>
      <c r="AI541" s="1364"/>
      <c r="AJ541" s="1364"/>
      <c r="AK541" s="1365"/>
      <c r="AZ541" s="3"/>
      <c r="BA541" s="3"/>
      <c r="BB541" s="3"/>
      <c r="BC541" s="3"/>
      <c r="BD541" s="3"/>
      <c r="BE541" s="3"/>
      <c r="BF541" s="3"/>
      <c r="BG541" s="3"/>
      <c r="BH541" s="3"/>
      <c r="BI541" s="3"/>
      <c r="BJ541" s="3"/>
      <c r="BK541" s="3"/>
      <c r="BL541" s="3"/>
      <c r="BM541" s="3"/>
      <c r="BN541" s="3"/>
    </row>
    <row r="542" spans="1:66" ht="13.15" customHeight="1">
      <c r="B542" s="1618"/>
      <c r="C542" s="1393"/>
      <c r="D542" s="1393"/>
      <c r="E542" s="1393"/>
      <c r="F542" s="1393"/>
      <c r="G542" s="1393"/>
      <c r="H542" s="1394"/>
      <c r="I542" s="40" t="s">
        <v>1390</v>
      </c>
      <c r="J542" s="40"/>
      <c r="K542" s="40"/>
      <c r="L542" s="40"/>
      <c r="M542" s="40"/>
      <c r="N542" s="40"/>
      <c r="O542" s="40"/>
      <c r="P542" s="40"/>
      <c r="Q542" s="40"/>
      <c r="R542" s="40"/>
      <c r="S542" s="40"/>
      <c r="T542" s="40"/>
      <c r="U542" s="40"/>
      <c r="V542" s="40"/>
      <c r="W542" s="40"/>
      <c r="X542" s="40"/>
      <c r="Y542" s="40"/>
      <c r="Z542" s="40"/>
      <c r="AA542" s="40"/>
      <c r="AB542" s="40"/>
      <c r="AC542" s="1606">
        <v>11</v>
      </c>
      <c r="AD542" s="1607"/>
      <c r="AE542" s="1607"/>
      <c r="AF542" s="1607"/>
      <c r="AG542" s="30" t="s">
        <v>1336</v>
      </c>
      <c r="AH542" s="1364">
        <v>2028</v>
      </c>
      <c r="AI542" s="1364"/>
      <c r="AJ542" s="1364"/>
      <c r="AK542" s="1365"/>
      <c r="BB542" s="3"/>
      <c r="BC542" s="3"/>
      <c r="BD542" s="3"/>
      <c r="BE542" s="3"/>
      <c r="BF542" s="3"/>
      <c r="BG542" s="3"/>
      <c r="BH542" s="3" t="s">
        <v>18</v>
      </c>
      <c r="BI542" s="3" t="str">
        <f>N649</f>
        <v>Yes</v>
      </c>
      <c r="BJ542" s="3"/>
      <c r="BK542" s="3"/>
      <c r="BL542" s="3"/>
      <c r="BM542" s="3"/>
      <c r="BN542" s="3"/>
    </row>
    <row r="543" spans="1:66" ht="13.1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15" customHeight="1">
      <c r="A544" s="1222" t="s">
        <v>1391</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95"/>
      <c r="AV544" s="795"/>
      <c r="AW544" s="795"/>
      <c r="AX544" s="795"/>
      <c r="AY544" s="795"/>
      <c r="BB544" s="3"/>
      <c r="BC544" s="3"/>
      <c r="BD544" s="3"/>
      <c r="BE544" s="3"/>
      <c r="BF544" s="3"/>
      <c r="BG544" s="3"/>
      <c r="BH544" s="3"/>
      <c r="BI544" s="3"/>
      <c r="BJ544" s="3"/>
      <c r="BK544" s="3"/>
      <c r="BL544" s="3"/>
      <c r="BM544" s="3"/>
      <c r="BN544" s="3"/>
    </row>
    <row r="545" spans="1:61" ht="13.15"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row>
    <row r="546" spans="1:61" ht="13.15" customHeight="1">
      <c r="BB546" s="3"/>
      <c r="BC546" s="3"/>
      <c r="BD546" s="3"/>
      <c r="BE546" s="3"/>
      <c r="BF546" s="3"/>
      <c r="BG546" s="3"/>
      <c r="BH546" s="3"/>
      <c r="BI546" s="3"/>
    </row>
    <row r="547" spans="1:61" ht="13.15" customHeight="1">
      <c r="A547" s="2" t="s">
        <v>868</v>
      </c>
      <c r="B547" s="2"/>
      <c r="C547" s="2" t="s">
        <v>172</v>
      </c>
      <c r="BB547" s="3"/>
      <c r="BC547" s="3"/>
      <c r="BD547" s="3"/>
      <c r="BE547" s="3"/>
      <c r="BF547" s="3"/>
      <c r="BG547" s="3"/>
      <c r="BH547" s="3"/>
      <c r="BI547" s="3"/>
    </row>
    <row r="548" spans="1:61" ht="13.15" customHeight="1">
      <c r="A548" s="2"/>
      <c r="B548" s="2"/>
      <c r="C548" s="2"/>
      <c r="BB548" s="3"/>
      <c r="BC548" s="3"/>
      <c r="BD548" s="3"/>
      <c r="BE548" s="3"/>
      <c r="BF548" s="3"/>
      <c r="BG548" s="3"/>
      <c r="BH548" s="3"/>
      <c r="BI548" s="3"/>
    </row>
    <row r="549" spans="1:61" ht="13.15" customHeight="1">
      <c r="A549" s="2"/>
      <c r="B549" s="2"/>
      <c r="C549" s="2"/>
      <c r="D549" s="2" t="s">
        <v>1392</v>
      </c>
      <c r="AC549" s="73"/>
      <c r="BB549" s="3"/>
      <c r="BC549" s="3"/>
      <c r="BD549" s="3"/>
      <c r="BE549" s="3"/>
      <c r="BF549" s="3"/>
      <c r="BG549" s="3"/>
      <c r="BH549" s="3"/>
      <c r="BI549" s="3"/>
    </row>
    <row r="550" spans="1:61" ht="13.15" customHeight="1">
      <c r="B550" s="412"/>
      <c r="BB550" s="3"/>
      <c r="BC550" s="3"/>
      <c r="BD550" s="3"/>
      <c r="BE550" s="3"/>
      <c r="BF550" s="3"/>
      <c r="BG550" s="3"/>
      <c r="BH550" s="3" t="s">
        <v>39</v>
      </c>
      <c r="BI550" s="3" t="str">
        <f>N657</f>
        <v>Yes</v>
      </c>
    </row>
    <row r="551" spans="1:61" ht="13.15" customHeight="1">
      <c r="B551" s="1616" t="s">
        <v>1393</v>
      </c>
      <c r="C551" s="1389"/>
      <c r="D551" s="1389"/>
      <c r="E551" s="1389"/>
      <c r="F551" s="1389"/>
      <c r="G551" s="1389"/>
      <c r="H551" s="1389"/>
      <c r="I551" s="1389"/>
      <c r="J551" s="1389"/>
      <c r="K551" s="1389"/>
      <c r="L551" s="1390"/>
      <c r="M551" s="1616" t="s">
        <v>1394</v>
      </c>
      <c r="N551" s="1389"/>
      <c r="O551" s="1389"/>
      <c r="P551" s="1390"/>
      <c r="Q551" s="1616" t="s">
        <v>1395</v>
      </c>
      <c r="R551" s="1389"/>
      <c r="S551" s="1390"/>
      <c r="T551" s="1616" t="s">
        <v>1396</v>
      </c>
      <c r="U551" s="1389"/>
      <c r="V551" s="1390"/>
      <c r="W551" s="1616" t="s">
        <v>1397</v>
      </c>
      <c r="X551" s="1389"/>
      <c r="Y551" s="1390"/>
      <c r="Z551" s="1616" t="s">
        <v>1398</v>
      </c>
      <c r="AA551" s="1389"/>
      <c r="AB551" s="1389"/>
      <c r="AC551" s="1389"/>
      <c r="AD551" s="1390"/>
      <c r="AE551" s="1616" t="s">
        <v>1399</v>
      </c>
      <c r="AF551" s="1389"/>
      <c r="AG551" s="1389"/>
      <c r="AH551" s="1390"/>
      <c r="AI551" s="1616" t="s">
        <v>1400</v>
      </c>
      <c r="AJ551" s="1389"/>
      <c r="AK551" s="1389"/>
      <c r="AL551" s="1390"/>
      <c r="AM551" s="1616" t="s">
        <v>1401</v>
      </c>
      <c r="AN551" s="1389"/>
      <c r="AO551" s="1389"/>
      <c r="AP551" s="1389"/>
      <c r="AQ551" s="1389"/>
      <c r="AR551" s="1389"/>
      <c r="AS551" s="1390"/>
      <c r="BB551" s="3"/>
      <c r="BC551" s="3"/>
      <c r="BD551" s="3"/>
      <c r="BE551" s="3"/>
      <c r="BF551" s="3"/>
      <c r="BG551" s="3"/>
      <c r="BH551" s="3" t="s">
        <v>82</v>
      </c>
      <c r="BI551" s="3" t="str">
        <f>AG657</f>
        <v>No</v>
      </c>
    </row>
    <row r="552" spans="1:61" ht="13.15" customHeight="1">
      <c r="B552" s="1617"/>
      <c r="C552" s="1391"/>
      <c r="D552" s="1391"/>
      <c r="E552" s="1391"/>
      <c r="F552" s="1391"/>
      <c r="G552" s="1391"/>
      <c r="H552" s="1391"/>
      <c r="I552" s="1391"/>
      <c r="J552" s="1391"/>
      <c r="K552" s="1391"/>
      <c r="L552" s="1392"/>
      <c r="M552" s="1617"/>
      <c r="N552" s="1391"/>
      <c r="O552" s="1391"/>
      <c r="P552" s="1392"/>
      <c r="Q552" s="1617"/>
      <c r="R552" s="1391"/>
      <c r="S552" s="1392"/>
      <c r="T552" s="1617"/>
      <c r="U552" s="1391"/>
      <c r="V552" s="1392"/>
      <c r="W552" s="1617"/>
      <c r="X552" s="1391"/>
      <c r="Y552" s="1392"/>
      <c r="Z552" s="1617"/>
      <c r="AA552" s="1391"/>
      <c r="AB552" s="1391"/>
      <c r="AC552" s="1391"/>
      <c r="AD552" s="1392"/>
      <c r="AE552" s="1617"/>
      <c r="AF552" s="1391"/>
      <c r="AG552" s="1391"/>
      <c r="AH552" s="1392"/>
      <c r="AI552" s="1617"/>
      <c r="AJ552" s="1391"/>
      <c r="AK552" s="1391"/>
      <c r="AL552" s="1392"/>
      <c r="AM552" s="1617"/>
      <c r="AN552" s="1391"/>
      <c r="AO552" s="1391"/>
      <c r="AP552" s="1391"/>
      <c r="AQ552" s="1391"/>
      <c r="AR552" s="1391"/>
      <c r="AS552" s="1392"/>
      <c r="AU552" s="1036"/>
      <c r="BB552" s="3"/>
      <c r="BC552" s="3"/>
      <c r="BD552" s="3"/>
      <c r="BE552" s="3"/>
      <c r="BF552" s="3"/>
      <c r="BG552" s="3"/>
      <c r="BH552" s="3"/>
      <c r="BI552" s="3"/>
    </row>
    <row r="553" spans="1:61" ht="13.15" customHeight="1">
      <c r="B553" s="1618"/>
      <c r="C553" s="1393"/>
      <c r="D553" s="1393"/>
      <c r="E553" s="1393"/>
      <c r="F553" s="1393"/>
      <c r="G553" s="1393"/>
      <c r="H553" s="1393"/>
      <c r="I553" s="1393"/>
      <c r="J553" s="1393"/>
      <c r="K553" s="1393"/>
      <c r="L553" s="1394"/>
      <c r="M553" s="1618"/>
      <c r="N553" s="1393"/>
      <c r="O553" s="1393"/>
      <c r="P553" s="1394"/>
      <c r="Q553" s="1618"/>
      <c r="R553" s="1393"/>
      <c r="S553" s="1394"/>
      <c r="T553" s="1618"/>
      <c r="U553" s="1393"/>
      <c r="V553" s="1394"/>
      <c r="W553" s="1618"/>
      <c r="X553" s="1393"/>
      <c r="Y553" s="1394"/>
      <c r="Z553" s="1618"/>
      <c r="AA553" s="1393"/>
      <c r="AB553" s="1393"/>
      <c r="AC553" s="1393"/>
      <c r="AD553" s="1394"/>
      <c r="AE553" s="1618"/>
      <c r="AF553" s="1393"/>
      <c r="AG553" s="1393"/>
      <c r="AH553" s="1394"/>
      <c r="AI553" s="1618"/>
      <c r="AJ553" s="1393"/>
      <c r="AK553" s="1393"/>
      <c r="AL553" s="1394"/>
      <c r="AM553" s="1618"/>
      <c r="AN553" s="1393"/>
      <c r="AO553" s="1393"/>
      <c r="AP553" s="1393"/>
      <c r="AQ553" s="1393"/>
      <c r="AR553" s="1393"/>
      <c r="AS553" s="1394"/>
      <c r="AU553" s="1036"/>
      <c r="BB553" s="3"/>
      <c r="BC553" s="3"/>
      <c r="BD553" s="3"/>
      <c r="BE553" s="3"/>
      <c r="BF553" s="3"/>
      <c r="BG553" s="3"/>
      <c r="BH553" s="3"/>
      <c r="BI553" s="3"/>
    </row>
    <row r="554" spans="1:61" ht="13.15" customHeight="1">
      <c r="B554" s="43" t="s">
        <v>18</v>
      </c>
      <c r="C554" s="1637" t="s">
        <v>1402</v>
      </c>
      <c r="D554" s="1637"/>
      <c r="E554" s="1637"/>
      <c r="F554" s="1637"/>
      <c r="G554" s="1637"/>
      <c r="H554" s="1637"/>
      <c r="I554" s="1637"/>
      <c r="J554" s="1637"/>
      <c r="K554" s="1637"/>
      <c r="L554" s="1637"/>
      <c r="M554" s="1637" t="s">
        <v>1376</v>
      </c>
      <c r="N554" s="1637"/>
      <c r="O554" s="1637"/>
      <c r="P554" s="1637"/>
      <c r="Q554" s="1411">
        <v>36</v>
      </c>
      <c r="R554" s="1411"/>
      <c r="S554" s="1412"/>
      <c r="T554" s="1410">
        <v>0</v>
      </c>
      <c r="U554" s="1411"/>
      <c r="V554" s="1412"/>
      <c r="W554" s="1413">
        <v>6.25E-2</v>
      </c>
      <c r="X554" s="1414"/>
      <c r="Y554" s="1415"/>
      <c r="Z554" s="1638" t="s">
        <v>1403</v>
      </c>
      <c r="AA554" s="1638"/>
      <c r="AB554" s="1638"/>
      <c r="AC554" s="1638"/>
      <c r="AD554" s="1638"/>
      <c r="AE554" s="1619">
        <v>1</v>
      </c>
      <c r="AF554" s="1620"/>
      <c r="AG554" s="1620"/>
      <c r="AH554" s="1621"/>
      <c r="AI554" s="1622"/>
      <c r="AJ554" s="1623"/>
      <c r="AK554" s="1623"/>
      <c r="AL554" s="1624"/>
      <c r="AM554" s="1612">
        <v>25912873</v>
      </c>
      <c r="AN554" s="1613"/>
      <c r="AO554" s="1613"/>
      <c r="AP554" s="1613"/>
      <c r="AQ554" s="1613"/>
      <c r="AR554" s="1613"/>
      <c r="AS554" s="1614"/>
      <c r="AT554" s="1037"/>
      <c r="AU554" s="1036"/>
      <c r="BB554" s="3"/>
      <c r="BC554" s="3"/>
      <c r="BD554" s="3"/>
      <c r="BE554" s="3"/>
      <c r="BF554" s="3"/>
      <c r="BG554" s="3"/>
      <c r="BH554" s="3"/>
      <c r="BI554" s="3"/>
    </row>
    <row r="555" spans="1:61" ht="13.15" customHeight="1">
      <c r="B555" s="44" t="s">
        <v>31</v>
      </c>
      <c r="C555" s="1625" t="s">
        <v>1402</v>
      </c>
      <c r="D555" s="1625"/>
      <c r="E555" s="1625"/>
      <c r="F555" s="1625"/>
      <c r="G555" s="1625"/>
      <c r="H555" s="1625"/>
      <c r="I555" s="1625"/>
      <c r="J555" s="1625"/>
      <c r="K555" s="1625"/>
      <c r="L555" s="1625"/>
      <c r="M555" s="1637" t="s">
        <v>1377</v>
      </c>
      <c r="N555" s="1637"/>
      <c r="O555" s="1637"/>
      <c r="P555" s="1637"/>
      <c r="Q555" s="1410">
        <v>36</v>
      </c>
      <c r="R555" s="1411"/>
      <c r="S555" s="1412"/>
      <c r="T555" s="1410">
        <v>0</v>
      </c>
      <c r="U555" s="1411"/>
      <c r="V555" s="1412"/>
      <c r="W555" s="1413">
        <v>6.25E-2</v>
      </c>
      <c r="X555" s="1414"/>
      <c r="Y555" s="1415"/>
      <c r="Z555" s="1638" t="s">
        <v>1403</v>
      </c>
      <c r="AA555" s="1638"/>
      <c r="AB555" s="1638"/>
      <c r="AC555" s="1638"/>
      <c r="AD555" s="1638"/>
      <c r="AE555" s="1619">
        <v>1</v>
      </c>
      <c r="AF555" s="1620"/>
      <c r="AG555" s="1620"/>
      <c r="AH555" s="1621"/>
      <c r="AI555" s="1622"/>
      <c r="AJ555" s="1623"/>
      <c r="AK555" s="1623"/>
      <c r="AL555" s="1624"/>
      <c r="AM555" s="1612">
        <v>7300000</v>
      </c>
      <c r="AN555" s="1613"/>
      <c r="AO555" s="1613"/>
      <c r="AP555" s="1613"/>
      <c r="AQ555" s="1613"/>
      <c r="AR555" s="1613"/>
      <c r="AS555" s="1614"/>
      <c r="AT555" s="1037" t="str">
        <f>IF(AND(NOT(C554=""),C555="",NOT(C556="")),"!","")</f>
        <v/>
      </c>
      <c r="AU555" s="1036"/>
      <c r="BB555" s="3"/>
      <c r="BC555" s="3"/>
      <c r="BD555" s="3"/>
      <c r="BE555" s="3"/>
      <c r="BF555" s="3"/>
      <c r="BG555" s="3"/>
      <c r="BH555" s="3"/>
      <c r="BI555" s="3"/>
    </row>
    <row r="556" spans="1:61" ht="13.15" customHeight="1">
      <c r="B556" s="44" t="s">
        <v>39</v>
      </c>
      <c r="C556" s="1625" t="s">
        <v>1402</v>
      </c>
      <c r="D556" s="1625"/>
      <c r="E556" s="1625"/>
      <c r="F556" s="1625"/>
      <c r="G556" s="1625"/>
      <c r="H556" s="1625"/>
      <c r="I556" s="1625"/>
      <c r="J556" s="1625"/>
      <c r="K556" s="1625"/>
      <c r="L556" s="1625"/>
      <c r="M556" s="1637" t="s">
        <v>1375</v>
      </c>
      <c r="N556" s="1637"/>
      <c r="O556" s="1637"/>
      <c r="P556" s="1637"/>
      <c r="Q556" s="1410">
        <v>36</v>
      </c>
      <c r="R556" s="1411"/>
      <c r="S556" s="1412"/>
      <c r="T556" s="1410">
        <v>0</v>
      </c>
      <c r="U556" s="1411"/>
      <c r="V556" s="1412"/>
      <c r="W556" s="1413">
        <v>6.25E-2</v>
      </c>
      <c r="X556" s="1414"/>
      <c r="Y556" s="1415"/>
      <c r="Z556" s="1638" t="s">
        <v>1403</v>
      </c>
      <c r="AA556" s="1638"/>
      <c r="AB556" s="1638"/>
      <c r="AC556" s="1638"/>
      <c r="AD556" s="1638"/>
      <c r="AE556" s="1619">
        <v>1</v>
      </c>
      <c r="AF556" s="1620"/>
      <c r="AG556" s="1620"/>
      <c r="AH556" s="1621"/>
      <c r="AI556" s="1622"/>
      <c r="AJ556" s="1623"/>
      <c r="AK556" s="1623"/>
      <c r="AL556" s="1624"/>
      <c r="AM556" s="1612">
        <f>68087595-AM554-AM555</f>
        <v>34874722</v>
      </c>
      <c r="AN556" s="1613"/>
      <c r="AO556" s="1613"/>
      <c r="AP556" s="1613"/>
      <c r="AQ556" s="1613"/>
      <c r="AR556" s="1613"/>
      <c r="AS556" s="1614"/>
      <c r="AT556" s="1037" t="str">
        <f>IF(AND(NOT(C555=""),C556="",NOT(C557="")),"!","")</f>
        <v/>
      </c>
      <c r="AU556" s="1036"/>
      <c r="BB556" s="3"/>
      <c r="BC556" s="3"/>
      <c r="BD556" s="3"/>
      <c r="BE556" s="3"/>
      <c r="BF556" s="3"/>
      <c r="BG556" s="3"/>
      <c r="BH556" s="3"/>
      <c r="BI556" s="3"/>
    </row>
    <row r="557" spans="1:61" ht="13.15" customHeight="1">
      <c r="B557" s="44" t="s">
        <v>82</v>
      </c>
      <c r="C557" s="1625" t="s">
        <v>1161</v>
      </c>
      <c r="D557" s="1625"/>
      <c r="E557" s="1625"/>
      <c r="F557" s="1625"/>
      <c r="G557" s="1625"/>
      <c r="H557" s="1625"/>
      <c r="I557" s="1625"/>
      <c r="J557" s="1625"/>
      <c r="K557" s="1625"/>
      <c r="L557" s="1625"/>
      <c r="M557" s="1637" t="s">
        <v>1363</v>
      </c>
      <c r="N557" s="1637"/>
      <c r="O557" s="1637"/>
      <c r="P557" s="1637"/>
      <c r="Q557" s="1410"/>
      <c r="R557" s="1411"/>
      <c r="S557" s="1412"/>
      <c r="T557" s="1410"/>
      <c r="U557" s="1411"/>
      <c r="V557" s="1412"/>
      <c r="W557" s="1413"/>
      <c r="X557" s="1414"/>
      <c r="Y557" s="1415"/>
      <c r="Z557" s="1638" t="s">
        <v>998</v>
      </c>
      <c r="AA557" s="1638"/>
      <c r="AB557" s="1638"/>
      <c r="AC557" s="1638"/>
      <c r="AD557" s="1638"/>
      <c r="AE557" s="1619"/>
      <c r="AF557" s="1620"/>
      <c r="AG557" s="1620"/>
      <c r="AH557" s="1621"/>
      <c r="AI557" s="1622"/>
      <c r="AJ557" s="1623"/>
      <c r="AK557" s="1623"/>
      <c r="AL557" s="1624"/>
      <c r="AM557" s="1612">
        <v>14644558</v>
      </c>
      <c r="AN557" s="1613"/>
      <c r="AO557" s="1613"/>
      <c r="AP557" s="1613"/>
      <c r="AQ557" s="1613"/>
      <c r="AR557" s="1613"/>
      <c r="AS557" s="1614"/>
      <c r="AT557" s="1037" t="str">
        <f>IF(AND(NOT(C556=""),C557="",NOT(C558="")),"!","")</f>
        <v/>
      </c>
      <c r="AU557" s="1036"/>
      <c r="BB557" s="3"/>
      <c r="BC557" s="3"/>
      <c r="BD557" s="3"/>
      <c r="BE557" s="3"/>
      <c r="BF557" s="3"/>
      <c r="BG557" s="3"/>
      <c r="BH557" s="3"/>
      <c r="BI557" s="3"/>
    </row>
    <row r="558" spans="1:61" ht="13.15" customHeight="1">
      <c r="B558" s="44" t="s">
        <v>86</v>
      </c>
      <c r="C558" s="1625" t="s">
        <v>2744</v>
      </c>
      <c r="D558" s="1625"/>
      <c r="E558" s="1625"/>
      <c r="F558" s="1625"/>
      <c r="G558" s="1625"/>
      <c r="H558" s="1625"/>
      <c r="I558" s="1625"/>
      <c r="J558" s="1625"/>
      <c r="K558" s="1625"/>
      <c r="L558" s="1625"/>
      <c r="M558" s="1637" t="s">
        <v>1352</v>
      </c>
      <c r="N558" s="1637"/>
      <c r="O558" s="1637"/>
      <c r="P558" s="1637"/>
      <c r="Q558" s="1410"/>
      <c r="R558" s="1411"/>
      <c r="S558" s="1412"/>
      <c r="T558" s="1410"/>
      <c r="U558" s="1411"/>
      <c r="V558" s="1412"/>
      <c r="W558" s="1413"/>
      <c r="X558" s="1414"/>
      <c r="Y558" s="1415"/>
      <c r="Z558" s="1638" t="s">
        <v>998</v>
      </c>
      <c r="AA558" s="1638"/>
      <c r="AB558" s="1638"/>
      <c r="AC558" s="1638"/>
      <c r="AD558" s="1638"/>
      <c r="AE558" s="1619"/>
      <c r="AF558" s="1620"/>
      <c r="AG558" s="1620"/>
      <c r="AH558" s="1621"/>
      <c r="AI558" s="1622"/>
      <c r="AJ558" s="1623"/>
      <c r="AK558" s="1623"/>
      <c r="AL558" s="1624"/>
      <c r="AM558" s="1612">
        <v>2471097</v>
      </c>
      <c r="AN558" s="1613"/>
      <c r="AO558" s="1613"/>
      <c r="AP558" s="1613"/>
      <c r="AQ558" s="1613"/>
      <c r="AR558" s="1613"/>
      <c r="AS558" s="1614"/>
      <c r="AT558" s="1037" t="str">
        <f t="shared" ref="AT558:AT565" si="0">IF(AND(NOT(C557=""),C558="",NOT(C559="")),"!","")</f>
        <v/>
      </c>
      <c r="AU558" s="1036"/>
      <c r="BB558" s="3"/>
      <c r="BC558" s="3"/>
      <c r="BD558" s="3"/>
      <c r="BE558" s="3"/>
      <c r="BF558" s="3"/>
      <c r="BG558" s="3"/>
      <c r="BH558" s="3" t="s">
        <v>86</v>
      </c>
      <c r="BI558" s="3" t="str">
        <f>N665</f>
        <v>No</v>
      </c>
    </row>
    <row r="559" spans="1:61" ht="13.15" customHeight="1">
      <c r="B559" s="44" t="s">
        <v>1404</v>
      </c>
      <c r="C559" s="1625" t="s">
        <v>1405</v>
      </c>
      <c r="D559" s="1625"/>
      <c r="E559" s="1625"/>
      <c r="F559" s="1625"/>
      <c r="G559" s="1625"/>
      <c r="H559" s="1625"/>
      <c r="I559" s="1625"/>
      <c r="J559" s="1625"/>
      <c r="K559" s="1625"/>
      <c r="L559" s="1625"/>
      <c r="M559" s="1637" t="s">
        <v>998</v>
      </c>
      <c r="N559" s="1637"/>
      <c r="O559" s="1637"/>
      <c r="P559" s="1637"/>
      <c r="Q559" s="1410"/>
      <c r="R559" s="1411"/>
      <c r="S559" s="1412"/>
      <c r="T559" s="1410"/>
      <c r="U559" s="1411"/>
      <c r="V559" s="1412"/>
      <c r="W559" s="1413"/>
      <c r="X559" s="1414"/>
      <c r="Y559" s="1415"/>
      <c r="Z559" s="1638" t="s">
        <v>998</v>
      </c>
      <c r="AA559" s="1638"/>
      <c r="AB559" s="1638"/>
      <c r="AC559" s="1638"/>
      <c r="AD559" s="1638"/>
      <c r="AE559" s="1619"/>
      <c r="AF559" s="1620"/>
      <c r="AG559" s="1620"/>
      <c r="AH559" s="1621"/>
      <c r="AI559" s="1622"/>
      <c r="AJ559" s="1623"/>
      <c r="AK559" s="1623"/>
      <c r="AL559" s="1624"/>
      <c r="AM559" s="1612">
        <v>10233817</v>
      </c>
      <c r="AN559" s="1613"/>
      <c r="AO559" s="1613"/>
      <c r="AP559" s="1613"/>
      <c r="AQ559" s="1613"/>
      <c r="AR559" s="1613"/>
      <c r="AS559" s="1614"/>
      <c r="AT559" s="1037" t="str">
        <f t="shared" si="0"/>
        <v/>
      </c>
      <c r="AU559" s="1036"/>
      <c r="BB559" s="3"/>
      <c r="BC559" s="3"/>
      <c r="BD559" s="3"/>
      <c r="BE559" s="3"/>
      <c r="BF559" s="3"/>
      <c r="BG559" s="3"/>
      <c r="BH559" s="3" t="s">
        <v>1404</v>
      </c>
      <c r="BI559" s="3" t="str">
        <f>AG665</f>
        <v>No</v>
      </c>
    </row>
    <row r="560" spans="1:61" ht="13.15" customHeight="1">
      <c r="B560" s="44" t="s">
        <v>1406</v>
      </c>
      <c r="C560" s="1625"/>
      <c r="D560" s="1625"/>
      <c r="E560" s="1625"/>
      <c r="F560" s="1625"/>
      <c r="G560" s="1625"/>
      <c r="H560" s="1625"/>
      <c r="I560" s="1625"/>
      <c r="J560" s="1625"/>
      <c r="K560" s="1625"/>
      <c r="L560" s="1625"/>
      <c r="M560" s="1637" t="s">
        <v>998</v>
      </c>
      <c r="N560" s="1637"/>
      <c r="O560" s="1637"/>
      <c r="P560" s="1637"/>
      <c r="Q560" s="1410"/>
      <c r="R560" s="1411"/>
      <c r="S560" s="1412"/>
      <c r="T560" s="1410"/>
      <c r="U560" s="1411"/>
      <c r="V560" s="1412"/>
      <c r="W560" s="1413"/>
      <c r="X560" s="1414"/>
      <c r="Y560" s="1415"/>
      <c r="Z560" s="1638" t="s">
        <v>998</v>
      </c>
      <c r="AA560" s="1638"/>
      <c r="AB560" s="1638"/>
      <c r="AC560" s="1638"/>
      <c r="AD560" s="1638"/>
      <c r="AE560" s="1619"/>
      <c r="AF560" s="1620"/>
      <c r="AG560" s="1620"/>
      <c r="AH560" s="1621"/>
      <c r="AI560" s="1622"/>
      <c r="AJ560" s="1623"/>
      <c r="AK560" s="1623"/>
      <c r="AL560" s="1624"/>
      <c r="AM560" s="1612"/>
      <c r="AN560" s="1613"/>
      <c r="AO560" s="1613"/>
      <c r="AP560" s="1613"/>
      <c r="AQ560" s="1613"/>
      <c r="AR560" s="1613"/>
      <c r="AS560" s="1614"/>
      <c r="AT560" s="1037" t="str">
        <f t="shared" si="0"/>
        <v/>
      </c>
      <c r="AU560" s="1036"/>
      <c r="BB560" s="3"/>
      <c r="BC560" s="3"/>
      <c r="BD560" s="3"/>
      <c r="BE560" s="3"/>
      <c r="BF560" s="3"/>
      <c r="BG560" s="3"/>
      <c r="BH560" s="3"/>
      <c r="BI560" s="3"/>
    </row>
    <row r="561" spans="1:61" ht="13.15" customHeight="1">
      <c r="B561" s="44" t="s">
        <v>1407</v>
      </c>
      <c r="C561" s="1625"/>
      <c r="D561" s="1625"/>
      <c r="E561" s="1625"/>
      <c r="F561" s="1625"/>
      <c r="G561" s="1625"/>
      <c r="H561" s="1625"/>
      <c r="I561" s="1625"/>
      <c r="J561" s="1625"/>
      <c r="K561" s="1625"/>
      <c r="L561" s="1625"/>
      <c r="M561" s="1637" t="s">
        <v>998</v>
      </c>
      <c r="N561" s="1637"/>
      <c r="O561" s="1637"/>
      <c r="P561" s="1637"/>
      <c r="Q561" s="1410"/>
      <c r="R561" s="1411"/>
      <c r="S561" s="1412"/>
      <c r="T561" s="1410"/>
      <c r="U561" s="1411"/>
      <c r="V561" s="1412"/>
      <c r="W561" s="1413"/>
      <c r="X561" s="1414"/>
      <c r="Y561" s="1415"/>
      <c r="Z561" s="1638" t="s">
        <v>998</v>
      </c>
      <c r="AA561" s="1638"/>
      <c r="AB561" s="1638"/>
      <c r="AC561" s="1638"/>
      <c r="AD561" s="1638"/>
      <c r="AE561" s="1619"/>
      <c r="AF561" s="1620"/>
      <c r="AG561" s="1620"/>
      <c r="AH561" s="1621"/>
      <c r="AI561" s="1622"/>
      <c r="AJ561" s="1623"/>
      <c r="AK561" s="1623"/>
      <c r="AL561" s="1624"/>
      <c r="AM561" s="1612"/>
      <c r="AN561" s="1613"/>
      <c r="AO561" s="1613"/>
      <c r="AP561" s="1613"/>
      <c r="AQ561" s="1613"/>
      <c r="AR561" s="1613"/>
      <c r="AS561" s="1614"/>
      <c r="AT561" s="1037" t="str">
        <f t="shared" si="0"/>
        <v/>
      </c>
      <c r="AU561" s="1036"/>
      <c r="BB561" s="3"/>
      <c r="BC561" s="3"/>
      <c r="BD561" s="3"/>
      <c r="BE561" s="3"/>
      <c r="BF561" s="3"/>
      <c r="BG561" s="3"/>
      <c r="BH561" s="3"/>
      <c r="BI561" s="3"/>
    </row>
    <row r="562" spans="1:61" ht="13.15" customHeight="1">
      <c r="B562" s="44" t="s">
        <v>1408</v>
      </c>
      <c r="C562" s="1625"/>
      <c r="D562" s="1625"/>
      <c r="E562" s="1625"/>
      <c r="F562" s="1625"/>
      <c r="G562" s="1625"/>
      <c r="H562" s="1625"/>
      <c r="I562" s="1625"/>
      <c r="J562" s="1625"/>
      <c r="K562" s="1625"/>
      <c r="L562" s="1625"/>
      <c r="M562" s="1637" t="s">
        <v>998</v>
      </c>
      <c r="N562" s="1637"/>
      <c r="O562" s="1637"/>
      <c r="P562" s="1637"/>
      <c r="Q562" s="1410"/>
      <c r="R562" s="1411"/>
      <c r="S562" s="1412"/>
      <c r="T562" s="1410"/>
      <c r="U562" s="1411"/>
      <c r="V562" s="1412"/>
      <c r="W562" s="1413"/>
      <c r="X562" s="1414"/>
      <c r="Y562" s="1415"/>
      <c r="Z562" s="1638" t="s">
        <v>998</v>
      </c>
      <c r="AA562" s="1638"/>
      <c r="AB562" s="1638"/>
      <c r="AC562" s="1638"/>
      <c r="AD562" s="1638"/>
      <c r="AE562" s="1619"/>
      <c r="AF562" s="1620"/>
      <c r="AG562" s="1620"/>
      <c r="AH562" s="1621"/>
      <c r="AI562" s="1622"/>
      <c r="AJ562" s="1623"/>
      <c r="AK562" s="1623"/>
      <c r="AL562" s="1624"/>
      <c r="AM562" s="1612"/>
      <c r="AN562" s="1613"/>
      <c r="AO562" s="1613"/>
      <c r="AP562" s="1613"/>
      <c r="AQ562" s="1613"/>
      <c r="AR562" s="1613"/>
      <c r="AS562" s="1614"/>
      <c r="AT562" s="1037" t="str">
        <f t="shared" si="0"/>
        <v/>
      </c>
      <c r="AU562" s="1036"/>
      <c r="BB562" s="3"/>
      <c r="BC562" s="3"/>
      <c r="BD562" s="3"/>
      <c r="BE562" s="3"/>
      <c r="BF562" s="3"/>
      <c r="BG562" s="3"/>
      <c r="BH562" s="3"/>
      <c r="BI562" s="3"/>
    </row>
    <row r="563" spans="1:61" ht="13.15" customHeight="1">
      <c r="B563" s="44" t="s">
        <v>1409</v>
      </c>
      <c r="C563" s="1625"/>
      <c r="D563" s="1625"/>
      <c r="E563" s="1625"/>
      <c r="F563" s="1625"/>
      <c r="G563" s="1625"/>
      <c r="H563" s="1625"/>
      <c r="I563" s="1625"/>
      <c r="J563" s="1625"/>
      <c r="K563" s="1625"/>
      <c r="L563" s="1625"/>
      <c r="M563" s="1637" t="s">
        <v>998</v>
      </c>
      <c r="N563" s="1637"/>
      <c r="O563" s="1637"/>
      <c r="P563" s="1637"/>
      <c r="Q563" s="1410"/>
      <c r="R563" s="1411"/>
      <c r="S563" s="1412"/>
      <c r="T563" s="1410"/>
      <c r="U563" s="1411"/>
      <c r="V563" s="1412"/>
      <c r="W563" s="1413"/>
      <c r="X563" s="1414"/>
      <c r="Y563" s="1415"/>
      <c r="Z563" s="1638" t="s">
        <v>998</v>
      </c>
      <c r="AA563" s="1638"/>
      <c r="AB563" s="1638"/>
      <c r="AC563" s="1638"/>
      <c r="AD563" s="1638"/>
      <c r="AE563" s="1619"/>
      <c r="AF563" s="1620"/>
      <c r="AG563" s="1620"/>
      <c r="AH563" s="1621"/>
      <c r="AI563" s="1622"/>
      <c r="AJ563" s="1623"/>
      <c r="AK563" s="1623"/>
      <c r="AL563" s="1624"/>
      <c r="AM563" s="1612"/>
      <c r="AN563" s="1613"/>
      <c r="AO563" s="1613"/>
      <c r="AP563" s="1613"/>
      <c r="AQ563" s="1613"/>
      <c r="AR563" s="1613"/>
      <c r="AS563" s="1614"/>
      <c r="AT563" s="1037" t="str">
        <f t="shared" si="0"/>
        <v/>
      </c>
      <c r="BB563" s="3"/>
      <c r="BC563" s="3"/>
      <c r="BD563" s="3"/>
      <c r="BE563" s="3"/>
      <c r="BF563" s="3"/>
      <c r="BG563" s="3"/>
      <c r="BH563" s="3"/>
      <c r="BI563" s="3"/>
    </row>
    <row r="564" spans="1:61" ht="13.15" customHeight="1">
      <c r="B564" s="44" t="s">
        <v>1410</v>
      </c>
      <c r="C564" s="1625"/>
      <c r="D564" s="1625"/>
      <c r="E564" s="1625"/>
      <c r="F564" s="1625"/>
      <c r="G564" s="1625"/>
      <c r="H564" s="1625"/>
      <c r="I564" s="1625"/>
      <c r="J564" s="1625"/>
      <c r="K564" s="1625"/>
      <c r="L564" s="1625"/>
      <c r="M564" s="1637" t="s">
        <v>998</v>
      </c>
      <c r="N564" s="1637"/>
      <c r="O564" s="1637"/>
      <c r="P564" s="1637"/>
      <c r="Q564" s="1410"/>
      <c r="R564" s="1411"/>
      <c r="S564" s="1412"/>
      <c r="T564" s="1410"/>
      <c r="U564" s="1411"/>
      <c r="V564" s="1412"/>
      <c r="W564" s="1413"/>
      <c r="X564" s="1414"/>
      <c r="Y564" s="1415"/>
      <c r="Z564" s="1638" t="s">
        <v>998</v>
      </c>
      <c r="AA564" s="1638"/>
      <c r="AB564" s="1638"/>
      <c r="AC564" s="1638"/>
      <c r="AD564" s="1638"/>
      <c r="AE564" s="1619"/>
      <c r="AF564" s="1620"/>
      <c r="AG564" s="1620"/>
      <c r="AH564" s="1621"/>
      <c r="AI564" s="1622"/>
      <c r="AJ564" s="1623"/>
      <c r="AK564" s="1623"/>
      <c r="AL564" s="1624"/>
      <c r="AM564" s="1612"/>
      <c r="AN564" s="1613"/>
      <c r="AO564" s="1613"/>
      <c r="AP564" s="1613"/>
      <c r="AQ564" s="1613"/>
      <c r="AR564" s="1613"/>
      <c r="AS564" s="1614"/>
      <c r="AT564" s="1037" t="str">
        <f t="shared" si="0"/>
        <v/>
      </c>
      <c r="BB564" s="3"/>
      <c r="BC564" s="3"/>
      <c r="BD564" s="3"/>
      <c r="BE564" s="3"/>
      <c r="BF564" s="3"/>
      <c r="BG564" s="3"/>
      <c r="BH564" s="3"/>
      <c r="BI564" s="3"/>
    </row>
    <row r="565" spans="1:61" ht="13.15" customHeight="1">
      <c r="B565" s="44" t="s">
        <v>1411</v>
      </c>
      <c r="C565" s="1625"/>
      <c r="D565" s="1625"/>
      <c r="E565" s="1625"/>
      <c r="F565" s="1625"/>
      <c r="G565" s="1625"/>
      <c r="H565" s="1625"/>
      <c r="I565" s="1625"/>
      <c r="J565" s="1625"/>
      <c r="K565" s="1625"/>
      <c r="L565" s="1625"/>
      <c r="M565" s="1637" t="s">
        <v>998</v>
      </c>
      <c r="N565" s="1637"/>
      <c r="O565" s="1637"/>
      <c r="P565" s="1637"/>
      <c r="Q565" s="1410"/>
      <c r="R565" s="1411"/>
      <c r="S565" s="1412"/>
      <c r="T565" s="1410"/>
      <c r="U565" s="1411"/>
      <c r="V565" s="1412"/>
      <c r="W565" s="1413"/>
      <c r="X565" s="1414"/>
      <c r="Y565" s="1415"/>
      <c r="Z565" s="1638" t="s">
        <v>998</v>
      </c>
      <c r="AA565" s="1638"/>
      <c r="AB565" s="1638"/>
      <c r="AC565" s="1638"/>
      <c r="AD565" s="1638"/>
      <c r="AE565" s="1619"/>
      <c r="AF565" s="1620"/>
      <c r="AG565" s="1620"/>
      <c r="AH565" s="1621"/>
      <c r="AI565" s="1622"/>
      <c r="AJ565" s="1623"/>
      <c r="AK565" s="1623"/>
      <c r="AL565" s="1624"/>
      <c r="AM565" s="1612"/>
      <c r="AN565" s="1613"/>
      <c r="AO565" s="1613"/>
      <c r="AP565" s="1613"/>
      <c r="AQ565" s="1613"/>
      <c r="AR565" s="1613"/>
      <c r="AS565" s="1614"/>
      <c r="AT565" s="1037" t="str">
        <f t="shared" si="0"/>
        <v/>
      </c>
      <c r="BB565" s="3"/>
      <c r="BC565" s="3"/>
      <c r="BD565" s="3"/>
      <c r="BE565" s="3"/>
      <c r="BF565" s="3"/>
      <c r="BG565" s="3"/>
      <c r="BH565" s="3"/>
      <c r="BI565" s="3"/>
    </row>
    <row r="566" spans="1:61" ht="13.15" customHeight="1">
      <c r="B566" s="1407" t="s">
        <v>1412</v>
      </c>
      <c r="C566" s="1408"/>
      <c r="D566" s="1408"/>
      <c r="E566" s="1408"/>
      <c r="F566" s="1408"/>
      <c r="G566" s="1408"/>
      <c r="H566" s="1408"/>
      <c r="I566" s="1408"/>
      <c r="J566" s="1408"/>
      <c r="K566" s="1408"/>
      <c r="L566" s="1408"/>
      <c r="M566" s="1408"/>
      <c r="N566" s="1408"/>
      <c r="O566" s="1408"/>
      <c r="P566" s="1408"/>
      <c r="Q566" s="1408"/>
      <c r="R566" s="1408"/>
      <c r="S566" s="1408"/>
      <c r="T566" s="1408"/>
      <c r="U566" s="1435"/>
      <c r="V566" s="1408"/>
      <c r="W566" s="1408"/>
      <c r="X566" s="1408"/>
      <c r="Y566" s="1408"/>
      <c r="Z566" s="1408"/>
      <c r="AA566" s="1408"/>
      <c r="AB566" s="1408"/>
      <c r="AC566" s="1408"/>
      <c r="AD566" s="1408"/>
      <c r="AE566" s="1408"/>
      <c r="AF566" s="1408"/>
      <c r="AG566" s="1408"/>
      <c r="AH566" s="1408"/>
      <c r="AI566" s="1408"/>
      <c r="AJ566" s="1408"/>
      <c r="AK566" s="1408"/>
      <c r="AL566" s="1409"/>
      <c r="AM566" s="1561">
        <f>SUM(AM554:AS565)</f>
        <v>95437067</v>
      </c>
      <c r="AN566" s="1562"/>
      <c r="AO566" s="1562"/>
      <c r="AP566" s="1562"/>
      <c r="AQ566" s="1562"/>
      <c r="AR566" s="1562"/>
      <c r="AS566" s="1563"/>
      <c r="BB566" s="3"/>
      <c r="BC566" s="3"/>
      <c r="BD566" s="3"/>
      <c r="BE566" s="3"/>
      <c r="BF566" s="3"/>
      <c r="BG566" s="3"/>
      <c r="BH566" s="3" t="s">
        <v>1406</v>
      </c>
      <c r="BI566" s="3" t="str">
        <f>N673</f>
        <v>No</v>
      </c>
    </row>
    <row r="567" spans="1:61" ht="13.1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1407</v>
      </c>
      <c r="BI567" s="3" t="str">
        <f>AG673</f>
        <v>No</v>
      </c>
    </row>
    <row r="568" spans="1:61" ht="13.15" customHeight="1">
      <c r="A568" s="47" t="s">
        <v>18</v>
      </c>
      <c r="B568" t="s">
        <v>1413</v>
      </c>
      <c r="G568" s="1320" t="str">
        <f>C554</f>
        <v>California Bank &amp; Trust</v>
      </c>
      <c r="H568" s="1320"/>
      <c r="I568" s="1320"/>
      <c r="J568" s="1320"/>
      <c r="K568" s="1320"/>
      <c r="L568" s="1320"/>
      <c r="M568" s="1320"/>
      <c r="N568" s="1320"/>
      <c r="O568" s="1320"/>
      <c r="P568" s="1320"/>
      <c r="Q568" s="1320"/>
      <c r="R568" s="1320"/>
      <c r="S568" s="7"/>
      <c r="T568" s="47" t="s">
        <v>31</v>
      </c>
      <c r="U568" t="s">
        <v>1413</v>
      </c>
      <c r="Z568" s="1320" t="str">
        <f>C555</f>
        <v>California Bank &amp; Trust</v>
      </c>
      <c r="AA568" s="1320"/>
      <c r="AB568" s="1320"/>
      <c r="AC568" s="1320"/>
      <c r="AD568" s="1320"/>
      <c r="AE568" s="1320"/>
      <c r="AF568" s="1320"/>
      <c r="AG568" s="1320"/>
      <c r="AH568" s="1320"/>
      <c r="AI568" s="1320"/>
      <c r="AJ568" s="1320"/>
      <c r="AK568" s="1320"/>
      <c r="BB568" s="3"/>
      <c r="BC568" s="3"/>
      <c r="BD568" s="3"/>
      <c r="BE568" s="3"/>
      <c r="BF568" s="3"/>
      <c r="BG568" s="3"/>
      <c r="BH568" s="3"/>
      <c r="BI568" s="3"/>
    </row>
    <row r="569" spans="1:61" ht="13.15" customHeight="1">
      <c r="A569" s="19"/>
      <c r="B569" t="s">
        <v>1060</v>
      </c>
      <c r="G569" s="1333" t="s">
        <v>1414</v>
      </c>
      <c r="H569" s="1333"/>
      <c r="I569" s="1333"/>
      <c r="J569" s="1333"/>
      <c r="K569" s="1333"/>
      <c r="L569" s="1333"/>
      <c r="M569" s="1333"/>
      <c r="N569" s="1333"/>
      <c r="O569" s="1333"/>
      <c r="P569" s="1333"/>
      <c r="Q569" s="1333"/>
      <c r="R569" s="1333"/>
      <c r="S569" s="7"/>
      <c r="T569" s="19"/>
      <c r="U569" t="s">
        <v>1060</v>
      </c>
      <c r="Z569" s="1333" t="s">
        <v>1414</v>
      </c>
      <c r="AA569" s="1333"/>
      <c r="AB569" s="1333"/>
      <c r="AC569" s="1333"/>
      <c r="AD569" s="1333"/>
      <c r="AE569" s="1333"/>
      <c r="AF569" s="1333"/>
      <c r="AG569" s="1333"/>
      <c r="AH569" s="1333"/>
      <c r="AI569" s="1333"/>
      <c r="AJ569" s="1333"/>
      <c r="AK569" s="1333"/>
      <c r="BB569" s="3"/>
      <c r="BC569" s="3"/>
      <c r="BD569" s="3"/>
      <c r="BE569" s="3"/>
      <c r="BF569" s="3"/>
      <c r="BG569" s="3"/>
      <c r="BH569" s="3"/>
      <c r="BI569" s="3"/>
    </row>
    <row r="570" spans="1:61" ht="13.15" customHeight="1">
      <c r="A570" s="19"/>
      <c r="B570" t="s">
        <v>928</v>
      </c>
      <c r="G570" s="1333" t="s">
        <v>1415</v>
      </c>
      <c r="H570" s="1333"/>
      <c r="I570" s="1333"/>
      <c r="J570" s="1333"/>
      <c r="K570" s="1333"/>
      <c r="L570" s="1333"/>
      <c r="M570" s="1333"/>
      <c r="N570" s="1333"/>
      <c r="O570" s="1333"/>
      <c r="P570" s="1333"/>
      <c r="Q570" s="1333"/>
      <c r="R570" s="1333"/>
      <c r="T570" s="19"/>
      <c r="U570" t="s">
        <v>928</v>
      </c>
      <c r="Z570" s="1310" t="s">
        <v>1415</v>
      </c>
      <c r="AA570" s="1310"/>
      <c r="AB570" s="1310"/>
      <c r="AC570" s="1310"/>
      <c r="AD570" s="1310"/>
      <c r="AE570" s="1310"/>
      <c r="AF570" s="1310"/>
      <c r="AG570" s="1310"/>
      <c r="AH570" s="1310"/>
      <c r="AI570" s="1310"/>
      <c r="AJ570" s="1310"/>
      <c r="AK570" s="1310"/>
      <c r="BB570" s="3"/>
      <c r="BC570" s="3"/>
      <c r="BD570" s="3"/>
      <c r="BE570" s="3"/>
      <c r="BF570" s="3"/>
      <c r="BG570" s="3"/>
      <c r="BH570" s="3"/>
      <c r="BI570" s="3"/>
    </row>
    <row r="571" spans="1:61" ht="13.15" customHeight="1">
      <c r="A571" s="19"/>
      <c r="B571" t="s">
        <v>1416</v>
      </c>
      <c r="G571" s="1333" t="s">
        <v>1417</v>
      </c>
      <c r="H571" s="1333"/>
      <c r="I571" s="1333"/>
      <c r="J571" s="1333"/>
      <c r="K571" s="1333"/>
      <c r="L571" s="1333"/>
      <c r="M571" s="1333"/>
      <c r="N571" s="1333"/>
      <c r="O571" s="1333"/>
      <c r="P571" s="1333"/>
      <c r="Q571" s="1333"/>
      <c r="R571" s="1333"/>
      <c r="S571" s="7"/>
      <c r="T571" s="19"/>
      <c r="U571" t="s">
        <v>1416</v>
      </c>
      <c r="Z571" s="1310" t="s">
        <v>1417</v>
      </c>
      <c r="AA571" s="1310"/>
      <c r="AB571" s="1310"/>
      <c r="AC571" s="1310"/>
      <c r="AD571" s="1310"/>
      <c r="AE571" s="1310"/>
      <c r="AF571" s="1310"/>
      <c r="AG571" s="1310"/>
      <c r="AH571" s="1310"/>
      <c r="AI571" s="1310"/>
      <c r="AJ571" s="1310"/>
      <c r="AK571" s="1310"/>
      <c r="BB571" s="3"/>
      <c r="BC571" s="3"/>
      <c r="BD571" s="3"/>
      <c r="BE571" s="3"/>
      <c r="BF571" s="3"/>
      <c r="BG571" s="3"/>
      <c r="BH571" s="3"/>
      <c r="BI571" s="3"/>
    </row>
    <row r="572" spans="1:61" ht="13.15" customHeight="1">
      <c r="A572" s="19"/>
      <c r="B572" t="s">
        <v>821</v>
      </c>
      <c r="G572" s="1308" t="s">
        <v>1418</v>
      </c>
      <c r="H572" s="1308"/>
      <c r="I572" s="1308"/>
      <c r="J572" s="1308"/>
      <c r="K572" s="1308"/>
      <c r="L572" s="1308"/>
      <c r="O572" s="923" t="s">
        <v>1069</v>
      </c>
      <c r="P572" s="1395"/>
      <c r="Q572" s="1395"/>
      <c r="R572" s="1395"/>
      <c r="S572" s="9"/>
      <c r="T572" s="19"/>
      <c r="U572" t="s">
        <v>821</v>
      </c>
      <c r="Z572" s="1308" t="s">
        <v>1418</v>
      </c>
      <c r="AA572" s="1308"/>
      <c r="AB572" s="1308"/>
      <c r="AC572" s="1308"/>
      <c r="AD572" s="1308"/>
      <c r="AE572" s="1308"/>
      <c r="AH572" s="923" t="s">
        <v>1069</v>
      </c>
      <c r="AI572" s="1395"/>
      <c r="AJ572" s="1395"/>
      <c r="AK572" s="1395"/>
      <c r="BB572" s="3"/>
      <c r="BC572" s="3"/>
      <c r="BD572" s="3"/>
      <c r="BE572" s="3"/>
      <c r="BF572" s="3"/>
      <c r="BG572" s="3"/>
      <c r="BH572" s="3"/>
      <c r="BI572" s="3"/>
    </row>
    <row r="573" spans="1:61" ht="13.15" customHeight="1">
      <c r="A573" s="19"/>
      <c r="B573" t="s">
        <v>1419</v>
      </c>
      <c r="H573" s="1333" t="s">
        <v>1420</v>
      </c>
      <c r="I573" s="1333"/>
      <c r="J573" s="1333"/>
      <c r="K573" s="1333"/>
      <c r="L573" s="1333"/>
      <c r="M573" s="1333"/>
      <c r="N573" s="1333"/>
      <c r="O573" s="1333"/>
      <c r="P573" s="1333"/>
      <c r="Q573" s="1333"/>
      <c r="R573" s="1333"/>
      <c r="S573" s="7"/>
      <c r="T573" s="19"/>
      <c r="U573" t="s">
        <v>1419</v>
      </c>
      <c r="AA573" s="1333" t="s">
        <v>1421</v>
      </c>
      <c r="AB573" s="1333"/>
      <c r="AC573" s="1333"/>
      <c r="AD573" s="1333"/>
      <c r="AE573" s="1333"/>
      <c r="AF573" s="1333"/>
      <c r="AG573" s="1333"/>
      <c r="AH573" s="1333"/>
      <c r="AI573" s="1333"/>
      <c r="AJ573" s="1333"/>
      <c r="AK573" s="1333"/>
      <c r="BB573" s="3"/>
      <c r="BC573" s="3"/>
      <c r="BD573" s="3"/>
      <c r="BE573" s="3"/>
      <c r="BF573" s="3"/>
      <c r="BG573" s="3"/>
      <c r="BH573" s="3"/>
      <c r="BI573" s="3"/>
    </row>
    <row r="574" spans="1:61" ht="13.15" customHeight="1">
      <c r="A574" s="19"/>
      <c r="B574" s="225" t="s">
        <v>1422</v>
      </c>
      <c r="H574" s="7"/>
      <c r="I574" s="7"/>
      <c r="J574" s="7"/>
      <c r="K574" s="7"/>
      <c r="L574" s="7"/>
      <c r="M574" s="1640" t="s">
        <v>1423</v>
      </c>
      <c r="N574" s="1640"/>
      <c r="O574" s="1640"/>
      <c r="P574" s="1640"/>
      <c r="Q574" s="1640"/>
      <c r="R574" s="1640"/>
      <c r="S574" s="7"/>
      <c r="T574" s="19"/>
      <c r="U574" s="225" t="s">
        <v>1422</v>
      </c>
      <c r="AA574" s="7"/>
      <c r="AB574" s="7"/>
      <c r="AC574" s="7"/>
      <c r="AD574" s="7"/>
      <c r="AE574" s="7"/>
      <c r="AF574" s="1640" t="s">
        <v>1423</v>
      </c>
      <c r="AG574" s="1640"/>
      <c r="AH574" s="1640"/>
      <c r="AI574" s="1640"/>
      <c r="AJ574" s="1640"/>
      <c r="AK574" s="1640"/>
      <c r="BB574" s="3"/>
      <c r="BC574" s="3"/>
      <c r="BD574" s="3"/>
      <c r="BE574" s="3"/>
      <c r="BF574" s="3"/>
      <c r="BG574" s="3"/>
      <c r="BH574" s="3"/>
      <c r="BI574" s="3"/>
    </row>
    <row r="575" spans="1:61" ht="13.15" customHeight="1">
      <c r="A575" s="19"/>
      <c r="B575" t="s">
        <v>1424</v>
      </c>
      <c r="N575" s="1294" t="s">
        <v>843</v>
      </c>
      <c r="O575" s="1294"/>
      <c r="T575" s="19"/>
      <c r="U575" t="s">
        <v>1424</v>
      </c>
      <c r="AG575" s="1294" t="s">
        <v>843</v>
      </c>
      <c r="AH575" s="1294"/>
      <c r="BB575" s="3"/>
      <c r="BC575" s="3"/>
      <c r="BD575" s="3"/>
      <c r="BE575" s="3"/>
      <c r="BF575" s="3"/>
      <c r="BG575" s="3"/>
      <c r="BH575" s="3"/>
      <c r="BI575" s="3"/>
    </row>
    <row r="576" spans="1:61" ht="13.15" customHeight="1">
      <c r="A576" s="19"/>
      <c r="T576" s="19"/>
      <c r="BB576" s="3"/>
      <c r="BC576" s="3"/>
      <c r="BD576" s="3"/>
      <c r="BE576" s="3"/>
      <c r="BF576" s="3"/>
      <c r="BG576" s="3"/>
      <c r="BH576" s="3"/>
      <c r="BI576" s="3"/>
    </row>
    <row r="577" spans="1:55" ht="13.15" customHeight="1">
      <c r="A577" s="47" t="s">
        <v>39</v>
      </c>
      <c r="B577" t="s">
        <v>1413</v>
      </c>
      <c r="G577" s="1320" t="str">
        <f>C556</f>
        <v>California Bank &amp; Trust</v>
      </c>
      <c r="H577" s="1320"/>
      <c r="I577" s="1320"/>
      <c r="J577" s="1320"/>
      <c r="K577" s="1320"/>
      <c r="L577" s="1320"/>
      <c r="M577" s="1320"/>
      <c r="N577" s="1320"/>
      <c r="O577" s="1320"/>
      <c r="P577" s="1320"/>
      <c r="Q577" s="1320"/>
      <c r="R577" s="1320"/>
      <c r="T577" s="47" t="s">
        <v>82</v>
      </c>
      <c r="U577" t="s">
        <v>1413</v>
      </c>
      <c r="Z577" s="1320" t="str">
        <f>C557</f>
        <v>Hudson Housing Capital</v>
      </c>
      <c r="AA577" s="1320"/>
      <c r="AB577" s="1320"/>
      <c r="AC577" s="1320"/>
      <c r="AD577" s="1320"/>
      <c r="AE577" s="1320"/>
      <c r="AF577" s="1320"/>
      <c r="AG577" s="1320"/>
      <c r="AH577" s="1320"/>
      <c r="AI577" s="1320"/>
      <c r="AJ577" s="1320"/>
      <c r="AK577" s="1320"/>
      <c r="BB577" s="3"/>
      <c r="BC577" s="3"/>
    </row>
    <row r="578" spans="1:55" ht="13.15" customHeight="1">
      <c r="A578" s="19"/>
      <c r="B578" t="s">
        <v>1060</v>
      </c>
      <c r="G578" s="1333" t="s">
        <v>1414</v>
      </c>
      <c r="H578" s="1333"/>
      <c r="I578" s="1333"/>
      <c r="J578" s="1333"/>
      <c r="K578" s="1333"/>
      <c r="L578" s="1333"/>
      <c r="M578" s="1333"/>
      <c r="N578" s="1333"/>
      <c r="O578" s="1333"/>
      <c r="P578" s="1333"/>
      <c r="Q578" s="1333"/>
      <c r="R578" s="1333"/>
      <c r="T578" s="19"/>
      <c r="U578" t="s">
        <v>1060</v>
      </c>
      <c r="Z578" s="1333" t="s">
        <v>1163</v>
      </c>
      <c r="AA578" s="1333"/>
      <c r="AB578" s="1333"/>
      <c r="AC578" s="1333"/>
      <c r="AD578" s="1333"/>
      <c r="AE578" s="1333"/>
      <c r="AF578" s="1333"/>
      <c r="AG578" s="1333"/>
      <c r="AH578" s="1333"/>
      <c r="AI578" s="1333"/>
      <c r="AJ578" s="1333"/>
      <c r="AK578" s="1333"/>
      <c r="BB578" s="3"/>
      <c r="BC578" s="3"/>
    </row>
    <row r="579" spans="1:55" ht="13.15" customHeight="1">
      <c r="A579" s="19"/>
      <c r="B579" t="s">
        <v>928</v>
      </c>
      <c r="G579" s="1310" t="s">
        <v>1415</v>
      </c>
      <c r="H579" s="1310"/>
      <c r="I579" s="1310"/>
      <c r="J579" s="1310"/>
      <c r="K579" s="1310"/>
      <c r="L579" s="1310"/>
      <c r="M579" s="1310"/>
      <c r="N579" s="1310"/>
      <c r="O579" s="1310"/>
      <c r="P579" s="1310"/>
      <c r="Q579" s="1310"/>
      <c r="R579" s="1310"/>
      <c r="T579" s="19"/>
      <c r="U579" t="s">
        <v>928</v>
      </c>
      <c r="Z579" s="1310" t="s">
        <v>1165</v>
      </c>
      <c r="AA579" s="1310"/>
      <c r="AB579" s="1310"/>
      <c r="AC579" s="1310"/>
      <c r="AD579" s="1310"/>
      <c r="AE579" s="1310"/>
      <c r="AF579" s="1310"/>
      <c r="AG579" s="1310"/>
      <c r="AH579" s="1310"/>
      <c r="AI579" s="1310"/>
      <c r="AJ579" s="1310"/>
      <c r="AK579" s="1310"/>
      <c r="BB579" s="3"/>
      <c r="BC579" s="3"/>
    </row>
    <row r="580" spans="1:55" ht="13.15" customHeight="1">
      <c r="A580" s="19"/>
      <c r="B580" t="s">
        <v>1416</v>
      </c>
      <c r="G580" s="1310" t="s">
        <v>1417</v>
      </c>
      <c r="H580" s="1310"/>
      <c r="I580" s="1310"/>
      <c r="J580" s="1310"/>
      <c r="K580" s="1310"/>
      <c r="L580" s="1310"/>
      <c r="M580" s="1310"/>
      <c r="N580" s="1310"/>
      <c r="O580" s="1310"/>
      <c r="P580" s="1310"/>
      <c r="Q580" s="1310"/>
      <c r="R580" s="1310"/>
      <c r="T580" s="19"/>
      <c r="U580" t="s">
        <v>1416</v>
      </c>
      <c r="Z580" s="1310" t="s">
        <v>1167</v>
      </c>
      <c r="AA580" s="1310"/>
      <c r="AB580" s="1310"/>
      <c r="AC580" s="1310"/>
      <c r="AD580" s="1310"/>
      <c r="AE580" s="1310"/>
      <c r="AF580" s="1310"/>
      <c r="AG580" s="1310"/>
      <c r="AH580" s="1310"/>
      <c r="AI580" s="1310"/>
      <c r="AJ580" s="1310"/>
      <c r="AK580" s="1310"/>
      <c r="BB580" s="3"/>
      <c r="BC580" s="3"/>
    </row>
    <row r="581" spans="1:55" ht="13.15" customHeight="1">
      <c r="A581" s="19"/>
      <c r="B581" t="s">
        <v>821</v>
      </c>
      <c r="G581" s="1308" t="s">
        <v>1418</v>
      </c>
      <c r="H581" s="1308"/>
      <c r="I581" s="1308"/>
      <c r="J581" s="1308"/>
      <c r="K581" s="1308"/>
      <c r="L581" s="1308"/>
      <c r="O581" s="923" t="s">
        <v>1069</v>
      </c>
      <c r="P581" s="1395"/>
      <c r="Q581" s="1395"/>
      <c r="R581" s="1395"/>
      <c r="T581" s="19"/>
      <c r="U581" t="s">
        <v>821</v>
      </c>
      <c r="Z581" s="1308" t="s">
        <v>1426</v>
      </c>
      <c r="AA581" s="1308"/>
      <c r="AB581" s="1308"/>
      <c r="AC581" s="1308"/>
      <c r="AD581" s="1308"/>
      <c r="AE581" s="1308"/>
      <c r="AH581" s="923" t="s">
        <v>1069</v>
      </c>
      <c r="AI581" s="1395"/>
      <c r="AJ581" s="1395"/>
      <c r="AK581" s="1395"/>
      <c r="BB581" s="3"/>
      <c r="BC581" s="3"/>
    </row>
    <row r="582" spans="1:55" ht="13.15" customHeight="1">
      <c r="A582" s="19"/>
      <c r="B582" t="s">
        <v>1419</v>
      </c>
      <c r="H582" s="1333" t="s">
        <v>1427</v>
      </c>
      <c r="I582" s="1333"/>
      <c r="J582" s="1333"/>
      <c r="K582" s="1333"/>
      <c r="L582" s="1333"/>
      <c r="M582" s="1333"/>
      <c r="N582" s="1333"/>
      <c r="O582" s="1333"/>
      <c r="P582" s="1333"/>
      <c r="Q582" s="1333"/>
      <c r="R582" s="1333"/>
      <c r="T582" s="19"/>
      <c r="U582" t="s">
        <v>1419</v>
      </c>
      <c r="AA582" s="1333" t="s">
        <v>2746</v>
      </c>
      <c r="AB582" s="1333"/>
      <c r="AC582" s="1333"/>
      <c r="AD582" s="1333"/>
      <c r="AE582" s="1333"/>
      <c r="AF582" s="1333"/>
      <c r="AG582" s="1333"/>
      <c r="AH582" s="1333"/>
      <c r="AI582" s="1333"/>
      <c r="AJ582" s="1333"/>
      <c r="AK582" s="1333"/>
      <c r="BB582" s="3"/>
      <c r="BC582" s="3"/>
    </row>
    <row r="583" spans="1:55" ht="13.15" customHeight="1">
      <c r="A583" s="19"/>
      <c r="B583" t="s">
        <v>1424</v>
      </c>
      <c r="N583" s="1294" t="s">
        <v>843</v>
      </c>
      <c r="O583" s="1294"/>
      <c r="T583" s="19"/>
      <c r="U583" t="s">
        <v>1424</v>
      </c>
      <c r="AG583" s="1294" t="s">
        <v>843</v>
      </c>
      <c r="AH583" s="1294"/>
      <c r="BB583" s="3"/>
      <c r="BC583" s="3"/>
    </row>
    <row r="584" spans="1:55" ht="13.15" customHeight="1">
      <c r="A584" s="19"/>
      <c r="T584" s="19"/>
      <c r="BB584" s="3"/>
      <c r="BC584" s="3"/>
    </row>
    <row r="585" spans="1:55" ht="13.15" customHeight="1">
      <c r="A585" s="47" t="s">
        <v>86</v>
      </c>
      <c r="B585" t="s">
        <v>1413</v>
      </c>
      <c r="G585" s="1320" t="str">
        <f>C558</f>
        <v>Stifel</v>
      </c>
      <c r="H585" s="1320"/>
      <c r="I585" s="1320"/>
      <c r="J585" s="1320"/>
      <c r="K585" s="1320"/>
      <c r="L585" s="1320"/>
      <c r="M585" s="1320"/>
      <c r="N585" s="1320"/>
      <c r="O585" s="1320"/>
      <c r="P585" s="1320"/>
      <c r="Q585" s="1320"/>
      <c r="R585" s="1320"/>
      <c r="T585" s="47" t="s">
        <v>1404</v>
      </c>
      <c r="U585" t="s">
        <v>1413</v>
      </c>
      <c r="Z585" s="1320" t="str">
        <f>C559</f>
        <v>Standard Development Partners</v>
      </c>
      <c r="AA585" s="1320"/>
      <c r="AB585" s="1320"/>
      <c r="AC585" s="1320"/>
      <c r="AD585" s="1320"/>
      <c r="AE585" s="1320"/>
      <c r="AF585" s="1320"/>
      <c r="AG585" s="1320"/>
      <c r="AH585" s="1320"/>
      <c r="AI585" s="1320"/>
      <c r="AJ585" s="1320"/>
      <c r="AK585" s="1320"/>
      <c r="BB585" s="3"/>
      <c r="BC585" s="3"/>
    </row>
    <row r="586" spans="1:55" ht="13.15" customHeight="1">
      <c r="A586" s="19"/>
      <c r="B586" t="s">
        <v>1060</v>
      </c>
      <c r="G586" s="1333" t="s">
        <v>2742</v>
      </c>
      <c r="H586" s="1333"/>
      <c r="I586" s="1333"/>
      <c r="J586" s="1333"/>
      <c r="K586" s="1333"/>
      <c r="L586" s="1333"/>
      <c r="M586" s="1333"/>
      <c r="N586" s="1333"/>
      <c r="O586" s="1333"/>
      <c r="P586" s="1333"/>
      <c r="Q586" s="1333"/>
      <c r="R586" s="1333"/>
      <c r="T586" s="19"/>
      <c r="U586" t="s">
        <v>1060</v>
      </c>
      <c r="Z586" s="1310" t="s">
        <v>1425</v>
      </c>
      <c r="AA586" s="1310"/>
      <c r="AB586" s="1310"/>
      <c r="AC586" s="1310"/>
      <c r="AD586" s="1310"/>
      <c r="AE586" s="1310"/>
      <c r="AF586" s="1310"/>
      <c r="AG586" s="1310"/>
      <c r="AH586" s="1310"/>
      <c r="AI586" s="1310"/>
      <c r="AJ586" s="1310"/>
      <c r="AK586" s="1310"/>
      <c r="BB586" s="3"/>
      <c r="BC586" s="3"/>
    </row>
    <row r="587" spans="1:55" ht="13.15" customHeight="1">
      <c r="A587" s="19"/>
      <c r="B587" t="s">
        <v>928</v>
      </c>
      <c r="G587" s="1626" t="s">
        <v>1151</v>
      </c>
      <c r="H587" s="1333"/>
      <c r="I587" s="1333"/>
      <c r="J587" s="1333"/>
      <c r="K587" s="1333"/>
      <c r="L587" s="1333"/>
      <c r="M587" s="1333"/>
      <c r="N587" s="1333"/>
      <c r="O587" s="1333"/>
      <c r="P587" s="1333"/>
      <c r="Q587" s="1333"/>
      <c r="R587" s="1333"/>
      <c r="T587" s="19"/>
      <c r="U587" t="s">
        <v>928</v>
      </c>
      <c r="Z587" s="1310" t="s">
        <v>1124</v>
      </c>
      <c r="AA587" s="1310"/>
      <c r="AB587" s="1310"/>
      <c r="AC587" s="1310"/>
      <c r="AD587" s="1310"/>
      <c r="AE587" s="1310"/>
      <c r="AF587" s="1310"/>
      <c r="AG587" s="1310"/>
      <c r="AH587" s="1310"/>
      <c r="AI587" s="1310"/>
      <c r="AJ587" s="1310"/>
      <c r="AK587" s="1310"/>
      <c r="BB587" s="3"/>
      <c r="BC587" s="3"/>
    </row>
    <row r="588" spans="1:55" ht="13.15" customHeight="1">
      <c r="A588" s="19"/>
      <c r="B588" t="s">
        <v>1416</v>
      </c>
      <c r="G588" s="1333" t="s">
        <v>2743</v>
      </c>
      <c r="H588" s="1333"/>
      <c r="I588" s="1333"/>
      <c r="J588" s="1333"/>
      <c r="K588" s="1333"/>
      <c r="L588" s="1333"/>
      <c r="M588" s="1333"/>
      <c r="N588" s="1333"/>
      <c r="O588" s="1333"/>
      <c r="P588" s="1333"/>
      <c r="Q588" s="1333"/>
      <c r="R588" s="1333"/>
      <c r="T588" s="19"/>
      <c r="U588" t="s">
        <v>1416</v>
      </c>
      <c r="Z588" s="1310" t="s">
        <v>1066</v>
      </c>
      <c r="AA588" s="1310"/>
      <c r="AB588" s="1310"/>
      <c r="AC588" s="1310"/>
      <c r="AD588" s="1310"/>
      <c r="AE588" s="1310"/>
      <c r="AF588" s="1310"/>
      <c r="AG588" s="1310"/>
      <c r="AH588" s="1310"/>
      <c r="AI588" s="1310"/>
      <c r="AJ588" s="1310"/>
      <c r="AK588" s="1310"/>
    </row>
    <row r="589" spans="1:55" ht="13.15" customHeight="1">
      <c r="A589" s="19"/>
      <c r="B589" t="s">
        <v>821</v>
      </c>
      <c r="G589" s="1308">
        <v>4254558133</v>
      </c>
      <c r="H589" s="1308"/>
      <c r="I589" s="1308"/>
      <c r="J589" s="1308"/>
      <c r="K589" s="1308"/>
      <c r="L589" s="1308"/>
      <c r="O589" s="923" t="s">
        <v>1069</v>
      </c>
      <c r="P589" s="1395"/>
      <c r="Q589" s="1395"/>
      <c r="R589" s="1395"/>
      <c r="T589" s="19"/>
      <c r="U589" t="s">
        <v>821</v>
      </c>
      <c r="Z589" s="1308" t="s">
        <v>1426</v>
      </c>
      <c r="AA589" s="1308"/>
      <c r="AB589" s="1308"/>
      <c r="AC589" s="1308"/>
      <c r="AD589" s="1308"/>
      <c r="AE589" s="1308"/>
      <c r="AH589" s="923" t="s">
        <v>1069</v>
      </c>
      <c r="AI589" s="1395"/>
      <c r="AJ589" s="1395"/>
      <c r="AK589" s="1395"/>
      <c r="AZ589" s="3"/>
      <c r="BA589" s="3"/>
      <c r="BB589" s="3"/>
      <c r="BC589" s="3"/>
    </row>
    <row r="590" spans="1:55" ht="13.15" customHeight="1">
      <c r="A590" s="19"/>
      <c r="B590" t="s">
        <v>1419</v>
      </c>
      <c r="H590" s="1333" t="s">
        <v>2745</v>
      </c>
      <c r="I590" s="1333"/>
      <c r="J590" s="1333"/>
      <c r="K590" s="1333"/>
      <c r="L590" s="1333"/>
      <c r="M590" s="1333"/>
      <c r="N590" s="1333"/>
      <c r="O590" s="1333"/>
      <c r="P590" s="1333"/>
      <c r="Q590" s="1333"/>
      <c r="R590" s="1333"/>
      <c r="T590" s="19"/>
      <c r="U590" t="s">
        <v>1419</v>
      </c>
      <c r="AA590" s="1333" t="s">
        <v>1428</v>
      </c>
      <c r="AB590" s="1333"/>
      <c r="AC590" s="1333"/>
      <c r="AD590" s="1333"/>
      <c r="AE590" s="1333"/>
      <c r="AF590" s="1333"/>
      <c r="AG590" s="1333"/>
      <c r="AH590" s="1333"/>
      <c r="AI590" s="1333"/>
      <c r="AJ590" s="1333"/>
      <c r="AK590" s="1333"/>
      <c r="AZ590" s="3"/>
      <c r="BA590" s="3"/>
      <c r="BB590" s="3"/>
      <c r="BC590" s="3"/>
    </row>
    <row r="591" spans="1:55" ht="13.15" customHeight="1">
      <c r="A591" s="19"/>
      <c r="B591" t="s">
        <v>1424</v>
      </c>
      <c r="N591" s="1294" t="s">
        <v>843</v>
      </c>
      <c r="O591" s="1294"/>
      <c r="T591" s="19"/>
      <c r="U591" t="s">
        <v>1424</v>
      </c>
      <c r="AG591" s="1294" t="s">
        <v>843</v>
      </c>
      <c r="AH591" s="1294"/>
      <c r="AZ591" s="3"/>
      <c r="BA591" s="3"/>
      <c r="BB591" s="3"/>
      <c r="BC591" s="3"/>
    </row>
    <row r="592" spans="1:55" ht="13.15" customHeight="1">
      <c r="A592" s="19"/>
      <c r="T592" s="19"/>
      <c r="AZ592" s="3"/>
      <c r="BA592" s="3"/>
      <c r="BB592" s="3"/>
      <c r="BC592" s="3"/>
    </row>
    <row r="593" spans="1:55" ht="13.15" customHeight="1">
      <c r="A593" s="47" t="s">
        <v>1406</v>
      </c>
      <c r="B593" t="s">
        <v>1413</v>
      </c>
      <c r="G593" s="1320">
        <f>C560</f>
        <v>0</v>
      </c>
      <c r="H593" s="1320"/>
      <c r="I593" s="1320"/>
      <c r="J593" s="1320"/>
      <c r="K593" s="1320"/>
      <c r="L593" s="1320"/>
      <c r="M593" s="1320"/>
      <c r="N593" s="1320"/>
      <c r="O593" s="1320"/>
      <c r="P593" s="1320"/>
      <c r="Q593" s="1320"/>
      <c r="R593" s="1320"/>
      <c r="T593" s="47" t="s">
        <v>1407</v>
      </c>
      <c r="U593" t="s">
        <v>1413</v>
      </c>
      <c r="Z593" s="1320">
        <f>C561</f>
        <v>0</v>
      </c>
      <c r="AA593" s="1320"/>
      <c r="AB593" s="1320"/>
      <c r="AC593" s="1320"/>
      <c r="AD593" s="1320"/>
      <c r="AE593" s="1320"/>
      <c r="AF593" s="1320"/>
      <c r="AG593" s="1320"/>
      <c r="AH593" s="1320"/>
      <c r="AI593" s="1320"/>
      <c r="AJ593" s="1320"/>
      <c r="AK593" s="1320"/>
      <c r="AZ593" s="3"/>
      <c r="BA593" s="3"/>
      <c r="BB593" s="3"/>
      <c r="BC593" s="3"/>
    </row>
    <row r="594" spans="1:55" s="4" customFormat="1" ht="13.15" customHeight="1">
      <c r="A594" s="19"/>
      <c r="B594" t="s">
        <v>1060</v>
      </c>
      <c r="C594"/>
      <c r="D594"/>
      <c r="E594"/>
      <c r="F594"/>
      <c r="G594" s="1333"/>
      <c r="H594" s="1333"/>
      <c r="I594" s="1333"/>
      <c r="J594" s="1333"/>
      <c r="K594" s="1333"/>
      <c r="L594" s="1333"/>
      <c r="M594" s="1333"/>
      <c r="N594" s="1333"/>
      <c r="O594" s="1333"/>
      <c r="P594" s="1333"/>
      <c r="Q594" s="1333"/>
      <c r="R594" s="1333"/>
      <c r="S594"/>
      <c r="T594" s="19"/>
      <c r="U594" t="s">
        <v>1060</v>
      </c>
      <c r="V594"/>
      <c r="W594"/>
      <c r="X594"/>
      <c r="Y594"/>
      <c r="Z594" s="1333"/>
      <c r="AA594" s="1333"/>
      <c r="AB594" s="1333"/>
      <c r="AC594" s="1333"/>
      <c r="AD594" s="1333"/>
      <c r="AE594" s="1333"/>
      <c r="AF594" s="1333"/>
      <c r="AG594" s="1333"/>
      <c r="AH594" s="1333"/>
      <c r="AI594" s="1333"/>
      <c r="AJ594" s="1333"/>
      <c r="AK594" s="1333"/>
      <c r="AL594"/>
      <c r="AM594"/>
      <c r="AN594"/>
      <c r="AO594"/>
      <c r="AP594"/>
      <c r="AQ594"/>
      <c r="AR594"/>
      <c r="AS594"/>
      <c r="AT594"/>
      <c r="AU594"/>
      <c r="AV594"/>
      <c r="AW594"/>
      <c r="AX594"/>
      <c r="AY594"/>
      <c r="AZ594" s="3"/>
      <c r="BA594" s="3"/>
      <c r="BB594" s="3"/>
      <c r="BC594" s="3"/>
    </row>
    <row r="595" spans="1:55" s="4" customFormat="1" ht="13.15" customHeight="1">
      <c r="A595" s="19"/>
      <c r="B595" t="s">
        <v>928</v>
      </c>
      <c r="C595"/>
      <c r="D595"/>
      <c r="E595"/>
      <c r="F595"/>
      <c r="G595" s="1333"/>
      <c r="H595" s="1333"/>
      <c r="I595" s="1333"/>
      <c r="J595" s="1333"/>
      <c r="K595" s="1333"/>
      <c r="L595" s="1333"/>
      <c r="M595" s="1333"/>
      <c r="N595" s="1333"/>
      <c r="O595" s="1333"/>
      <c r="P595" s="1333"/>
      <c r="Q595" s="1333"/>
      <c r="R595" s="1333"/>
      <c r="S595"/>
      <c r="T595" s="19"/>
      <c r="U595" t="s">
        <v>928</v>
      </c>
      <c r="V595"/>
      <c r="W595"/>
      <c r="X595"/>
      <c r="Y595"/>
      <c r="Z595" s="1310"/>
      <c r="AA595" s="1310"/>
      <c r="AB595" s="1310"/>
      <c r="AC595" s="1310"/>
      <c r="AD595" s="1310"/>
      <c r="AE595" s="1310"/>
      <c r="AF595" s="1310"/>
      <c r="AG595" s="1310"/>
      <c r="AH595" s="1310"/>
      <c r="AI595" s="1310"/>
      <c r="AJ595" s="1310"/>
      <c r="AK595" s="1310"/>
      <c r="AL595"/>
      <c r="AM595"/>
      <c r="AN595"/>
      <c r="AO595"/>
      <c r="AP595"/>
      <c r="AQ595"/>
      <c r="AR595"/>
      <c r="AS595"/>
      <c r="AT595"/>
      <c r="AU595"/>
      <c r="AV595"/>
      <c r="AW595"/>
      <c r="AX595"/>
      <c r="AY595"/>
      <c r="AZ595" s="3"/>
      <c r="BA595" s="3"/>
      <c r="BB595" s="3"/>
      <c r="BC595" s="3"/>
    </row>
    <row r="596" spans="1:55" s="4" customFormat="1" ht="13.15" customHeight="1">
      <c r="A596" s="19"/>
      <c r="B596" t="s">
        <v>1416</v>
      </c>
      <c r="C596"/>
      <c r="D596"/>
      <c r="E596"/>
      <c r="F596"/>
      <c r="G596" s="1333"/>
      <c r="H596" s="1333"/>
      <c r="I596" s="1333"/>
      <c r="J596" s="1333"/>
      <c r="K596" s="1333"/>
      <c r="L596" s="1333"/>
      <c r="M596" s="1333"/>
      <c r="N596" s="1333"/>
      <c r="O596" s="1333"/>
      <c r="P596" s="1333"/>
      <c r="Q596" s="1333"/>
      <c r="R596" s="1333"/>
      <c r="S596"/>
      <c r="T596" s="19"/>
      <c r="U596" t="s">
        <v>1416</v>
      </c>
      <c r="V596"/>
      <c r="W596"/>
      <c r="X596"/>
      <c r="Y596"/>
      <c r="Z596" s="1310"/>
      <c r="AA596" s="1310"/>
      <c r="AB596" s="1310"/>
      <c r="AC596" s="1310"/>
      <c r="AD596" s="1310"/>
      <c r="AE596" s="1310"/>
      <c r="AF596" s="1310"/>
      <c r="AG596" s="1310"/>
      <c r="AH596" s="1310"/>
      <c r="AI596" s="1310"/>
      <c r="AJ596" s="1310"/>
      <c r="AK596" s="1310"/>
      <c r="AL596"/>
      <c r="AM596"/>
      <c r="AN596"/>
      <c r="AO596"/>
      <c r="AP596"/>
      <c r="AQ596"/>
      <c r="AR596"/>
      <c r="AS596"/>
      <c r="AT596"/>
      <c r="AU596"/>
      <c r="AV596"/>
      <c r="AW596"/>
      <c r="AX596"/>
      <c r="AY596"/>
      <c r="AZ596" s="3"/>
      <c r="BA596" s="3"/>
      <c r="BB596" s="3"/>
      <c r="BC596" s="3"/>
    </row>
    <row r="597" spans="1:55" s="4" customFormat="1" ht="13.15" customHeight="1">
      <c r="A597" s="19"/>
      <c r="B597" t="s">
        <v>821</v>
      </c>
      <c r="C597"/>
      <c r="D597"/>
      <c r="E597"/>
      <c r="F597"/>
      <c r="G597" s="1308"/>
      <c r="H597" s="1308"/>
      <c r="I597" s="1308"/>
      <c r="J597" s="1308"/>
      <c r="K597" s="1308"/>
      <c r="L597" s="1308"/>
      <c r="M597"/>
      <c r="N597"/>
      <c r="O597" s="923" t="s">
        <v>1069</v>
      </c>
      <c r="P597" s="1395"/>
      <c r="Q597" s="1395"/>
      <c r="R597" s="1395"/>
      <c r="S597"/>
      <c r="T597" s="19"/>
      <c r="U597" t="s">
        <v>821</v>
      </c>
      <c r="V597"/>
      <c r="W597"/>
      <c r="X597"/>
      <c r="Y597"/>
      <c r="Z597" s="1308"/>
      <c r="AA597" s="1308"/>
      <c r="AB597" s="1308"/>
      <c r="AC597" s="1308"/>
      <c r="AD597" s="1308"/>
      <c r="AE597" s="1308"/>
      <c r="AF597"/>
      <c r="AG597"/>
      <c r="AH597" s="923" t="s">
        <v>1069</v>
      </c>
      <c r="AI597" s="1395"/>
      <c r="AJ597" s="1395"/>
      <c r="AK597" s="1395"/>
      <c r="AL597"/>
      <c r="AM597"/>
      <c r="AN597"/>
      <c r="AO597"/>
      <c r="AP597"/>
      <c r="AQ597"/>
      <c r="AR597"/>
      <c r="AS597"/>
      <c r="AT597"/>
      <c r="AU597"/>
      <c r="AV597"/>
      <c r="AW597"/>
      <c r="AX597"/>
      <c r="AY597"/>
      <c r="AZ597" s="3"/>
      <c r="BA597" s="3"/>
      <c r="BB597" s="3"/>
      <c r="BC597" s="3"/>
    </row>
    <row r="598" spans="1:55" s="4" customFormat="1" ht="13.15" customHeight="1">
      <c r="A598" s="19"/>
      <c r="B598" t="s">
        <v>1419</v>
      </c>
      <c r="C598"/>
      <c r="D598"/>
      <c r="E598"/>
      <c r="F598"/>
      <c r="G598"/>
      <c r="H598" s="1333"/>
      <c r="I598" s="1333"/>
      <c r="J598" s="1333"/>
      <c r="K598" s="1333"/>
      <c r="L598" s="1333"/>
      <c r="M598" s="1333"/>
      <c r="N598" s="1333"/>
      <c r="O598" s="1333"/>
      <c r="P598" s="1333"/>
      <c r="Q598" s="1333"/>
      <c r="R598" s="1333"/>
      <c r="S598"/>
      <c r="T598" s="19"/>
      <c r="U598" t="s">
        <v>1419</v>
      </c>
      <c r="V598"/>
      <c r="W598"/>
      <c r="X598"/>
      <c r="Y598"/>
      <c r="Z598"/>
      <c r="AA598" s="1333"/>
      <c r="AB598" s="1333"/>
      <c r="AC598" s="1333"/>
      <c r="AD598" s="1333"/>
      <c r="AE598" s="1333"/>
      <c r="AF598" s="1333"/>
      <c r="AG598" s="1333"/>
      <c r="AH598" s="1333"/>
      <c r="AI598" s="1333"/>
      <c r="AJ598" s="1333"/>
      <c r="AK598" s="1333"/>
      <c r="AL598"/>
      <c r="AM598"/>
      <c r="AN598"/>
      <c r="AO598"/>
      <c r="AP598"/>
      <c r="AQ598"/>
      <c r="AR598"/>
      <c r="AS598"/>
      <c r="AT598"/>
      <c r="AU598"/>
      <c r="AV598"/>
      <c r="AW598"/>
      <c r="AX598"/>
      <c r="AY598"/>
      <c r="AZ598" s="3"/>
      <c r="BA598" s="3"/>
      <c r="BB598" s="3"/>
      <c r="BC598" s="3"/>
    </row>
    <row r="599" spans="1:55" ht="13.15" customHeight="1">
      <c r="A599" s="19"/>
      <c r="B599" t="s">
        <v>1424</v>
      </c>
      <c r="N599" s="1294" t="s">
        <v>692</v>
      </c>
      <c r="O599" s="1294"/>
      <c r="T599" s="19"/>
      <c r="U599" t="s">
        <v>1424</v>
      </c>
      <c r="AG599" s="1294" t="s">
        <v>692</v>
      </c>
      <c r="AH599" s="1294"/>
      <c r="BB599" s="3"/>
      <c r="BC599" s="3"/>
    </row>
    <row r="600" spans="1:55" ht="13.15" customHeight="1">
      <c r="A600" s="19"/>
      <c r="T600" s="19"/>
      <c r="BB600" s="3"/>
      <c r="BC600" s="3"/>
    </row>
    <row r="601" spans="1:55" ht="13.15" customHeight="1">
      <c r="A601" s="47" t="s">
        <v>1408</v>
      </c>
      <c r="B601" t="s">
        <v>1413</v>
      </c>
      <c r="G601" s="1320">
        <f>C562</f>
        <v>0</v>
      </c>
      <c r="H601" s="1320"/>
      <c r="I601" s="1320"/>
      <c r="J601" s="1320"/>
      <c r="K601" s="1320"/>
      <c r="L601" s="1320"/>
      <c r="M601" s="1320"/>
      <c r="N601" s="1320"/>
      <c r="O601" s="1320"/>
      <c r="P601" s="1320"/>
      <c r="Q601" s="1320"/>
      <c r="R601" s="1320"/>
      <c r="T601" s="47" t="s">
        <v>1409</v>
      </c>
      <c r="U601" t="s">
        <v>1413</v>
      </c>
      <c r="Z601" s="1320">
        <f>C563</f>
        <v>0</v>
      </c>
      <c r="AA601" s="1320"/>
      <c r="AB601" s="1320"/>
      <c r="AC601" s="1320"/>
      <c r="AD601" s="1320"/>
      <c r="AE601" s="1320"/>
      <c r="AF601" s="1320"/>
      <c r="AG601" s="1320"/>
      <c r="AH601" s="1320"/>
      <c r="AI601" s="1320"/>
      <c r="AJ601" s="1320"/>
      <c r="AK601" s="1320"/>
      <c r="BB601" s="3"/>
      <c r="BC601" s="3"/>
    </row>
    <row r="602" spans="1:55" ht="13.15" customHeight="1">
      <c r="A602" s="19"/>
      <c r="B602" t="s">
        <v>1060</v>
      </c>
      <c r="G602" s="1333"/>
      <c r="H602" s="1333"/>
      <c r="I602" s="1333"/>
      <c r="J602" s="1333"/>
      <c r="K602" s="1333"/>
      <c r="L602" s="1333"/>
      <c r="M602" s="1333"/>
      <c r="N602" s="1333"/>
      <c r="O602" s="1333"/>
      <c r="P602" s="1333"/>
      <c r="Q602" s="1333"/>
      <c r="R602" s="1333"/>
      <c r="T602" s="19"/>
      <c r="U602" t="s">
        <v>1060</v>
      </c>
      <c r="Z602" s="1333"/>
      <c r="AA602" s="1333"/>
      <c r="AB602" s="1333"/>
      <c r="AC602" s="1333"/>
      <c r="AD602" s="1333"/>
      <c r="AE602" s="1333"/>
      <c r="AF602" s="1333"/>
      <c r="AG602" s="1333"/>
      <c r="AH602" s="1333"/>
      <c r="AI602" s="1333"/>
      <c r="AJ602" s="1333"/>
      <c r="AK602" s="1333"/>
      <c r="AZ602" s="3"/>
      <c r="BA602" s="3"/>
      <c r="BB602" s="3"/>
      <c r="BC602" s="3"/>
    </row>
    <row r="603" spans="1:55" ht="13.15" customHeight="1">
      <c r="A603" s="19"/>
      <c r="B603" t="s">
        <v>928</v>
      </c>
      <c r="G603" s="1333"/>
      <c r="H603" s="1333"/>
      <c r="I603" s="1333"/>
      <c r="J603" s="1333"/>
      <c r="K603" s="1333"/>
      <c r="L603" s="1333"/>
      <c r="M603" s="1333"/>
      <c r="N603" s="1333"/>
      <c r="O603" s="1333"/>
      <c r="P603" s="1333"/>
      <c r="Q603" s="1333"/>
      <c r="R603" s="1333"/>
      <c r="T603" s="19"/>
      <c r="U603" t="s">
        <v>928</v>
      </c>
      <c r="Z603" s="1310"/>
      <c r="AA603" s="1310"/>
      <c r="AB603" s="1310"/>
      <c r="AC603" s="1310"/>
      <c r="AD603" s="1310"/>
      <c r="AE603" s="1310"/>
      <c r="AF603" s="1310"/>
      <c r="AG603" s="1310"/>
      <c r="AH603" s="1310"/>
      <c r="AI603" s="1310"/>
      <c r="AJ603" s="1310"/>
      <c r="AK603" s="1310"/>
      <c r="AZ603" s="3"/>
      <c r="BA603" s="3"/>
      <c r="BB603" s="3"/>
      <c r="BC603" s="3"/>
    </row>
    <row r="604" spans="1:55" ht="13.15" customHeight="1">
      <c r="A604" s="19"/>
      <c r="B604" t="s">
        <v>1416</v>
      </c>
      <c r="G604" s="1333"/>
      <c r="H604" s="1333"/>
      <c r="I604" s="1333"/>
      <c r="J604" s="1333"/>
      <c r="K604" s="1333"/>
      <c r="L604" s="1333"/>
      <c r="M604" s="1333"/>
      <c r="N604" s="1333"/>
      <c r="O604" s="1333"/>
      <c r="P604" s="1333"/>
      <c r="Q604" s="1333"/>
      <c r="R604" s="1333"/>
      <c r="T604" s="19"/>
      <c r="U604" t="s">
        <v>1416</v>
      </c>
      <c r="Z604" s="1310"/>
      <c r="AA604" s="1310"/>
      <c r="AB604" s="1310"/>
      <c r="AC604" s="1310"/>
      <c r="AD604" s="1310"/>
      <c r="AE604" s="1310"/>
      <c r="AF604" s="1310"/>
      <c r="AG604" s="1310"/>
      <c r="AH604" s="1310"/>
      <c r="AI604" s="1310"/>
      <c r="AJ604" s="1310"/>
      <c r="AK604" s="1310"/>
      <c r="AZ604" s="3"/>
      <c r="BA604" s="3"/>
      <c r="BB604" s="3"/>
      <c r="BC604" s="3"/>
    </row>
    <row r="605" spans="1:55" s="4" customFormat="1" ht="13.15" customHeight="1">
      <c r="A605" s="19"/>
      <c r="B605" t="s">
        <v>821</v>
      </c>
      <c r="C605"/>
      <c r="D605"/>
      <c r="E605"/>
      <c r="F605"/>
      <c r="G605" s="1308"/>
      <c r="H605" s="1308"/>
      <c r="I605" s="1308"/>
      <c r="J605" s="1308"/>
      <c r="K605" s="1308"/>
      <c r="L605" s="1308"/>
      <c r="M605"/>
      <c r="N605"/>
      <c r="O605" s="923" t="s">
        <v>1069</v>
      </c>
      <c r="P605" s="1395"/>
      <c r="Q605" s="1395"/>
      <c r="R605" s="1395"/>
      <c r="S605"/>
      <c r="T605" s="19"/>
      <c r="U605" t="s">
        <v>821</v>
      </c>
      <c r="V605"/>
      <c r="W605"/>
      <c r="X605"/>
      <c r="Y605"/>
      <c r="Z605" s="1308"/>
      <c r="AA605" s="1308"/>
      <c r="AB605" s="1308"/>
      <c r="AC605" s="1308"/>
      <c r="AD605" s="1308"/>
      <c r="AE605" s="1308"/>
      <c r="AF605"/>
      <c r="AG605"/>
      <c r="AH605" s="923" t="s">
        <v>1069</v>
      </c>
      <c r="AI605" s="1395"/>
      <c r="AJ605" s="1395"/>
      <c r="AK605" s="1395"/>
      <c r="AL605"/>
      <c r="AM605"/>
      <c r="AN605"/>
      <c r="AO605"/>
      <c r="AP605"/>
      <c r="AQ605"/>
      <c r="AR605"/>
      <c r="AS605"/>
      <c r="AT605"/>
      <c r="AU605"/>
      <c r="AV605"/>
      <c r="AW605"/>
      <c r="AX605"/>
      <c r="AY605"/>
      <c r="AZ605" s="3"/>
      <c r="BA605" s="3"/>
      <c r="BB605" s="3"/>
      <c r="BC605" s="3"/>
    </row>
    <row r="606" spans="1:55" s="4" customFormat="1" ht="13.15" customHeight="1">
      <c r="A606" s="19"/>
      <c r="B606" t="s">
        <v>1419</v>
      </c>
      <c r="C606"/>
      <c r="D606"/>
      <c r="E606"/>
      <c r="F606"/>
      <c r="G606"/>
      <c r="H606" s="1333"/>
      <c r="I606" s="1333"/>
      <c r="J606" s="1333"/>
      <c r="K606" s="1333"/>
      <c r="L606" s="1333"/>
      <c r="M606" s="1333"/>
      <c r="N606" s="1333"/>
      <c r="O606" s="1333"/>
      <c r="P606" s="1333"/>
      <c r="Q606" s="1333"/>
      <c r="R606" s="1333"/>
      <c r="S606"/>
      <c r="T606" s="19"/>
      <c r="U606" t="s">
        <v>1419</v>
      </c>
      <c r="V606"/>
      <c r="W606"/>
      <c r="X606"/>
      <c r="Y606"/>
      <c r="Z606"/>
      <c r="AA606" s="1333"/>
      <c r="AB606" s="1333"/>
      <c r="AC606" s="1333"/>
      <c r="AD606" s="1333"/>
      <c r="AE606" s="1333"/>
      <c r="AF606" s="1333"/>
      <c r="AG606" s="1333"/>
      <c r="AH606" s="1333"/>
      <c r="AI606" s="1333"/>
      <c r="AJ606" s="1333"/>
      <c r="AK606" s="1333"/>
      <c r="AL606"/>
      <c r="AM606"/>
      <c r="AN606"/>
      <c r="AO606"/>
      <c r="AP606"/>
      <c r="AQ606"/>
      <c r="AR606"/>
      <c r="AS606"/>
      <c r="AT606"/>
      <c r="AU606"/>
      <c r="AV606"/>
      <c r="AW606"/>
      <c r="AX606"/>
      <c r="AY606"/>
      <c r="AZ606" s="3"/>
      <c r="BA606" s="3"/>
      <c r="BB606" s="3"/>
      <c r="BC606" s="3"/>
    </row>
    <row r="607" spans="1:55" s="4" customFormat="1" ht="13.15" customHeight="1">
      <c r="A607" s="19"/>
      <c r="B607" t="s">
        <v>1424</v>
      </c>
      <c r="C607"/>
      <c r="D607"/>
      <c r="E607"/>
      <c r="F607"/>
      <c r="G607"/>
      <c r="H607"/>
      <c r="I607"/>
      <c r="J607"/>
      <c r="K607"/>
      <c r="L607"/>
      <c r="M607"/>
      <c r="N607" s="1294" t="s">
        <v>692</v>
      </c>
      <c r="O607" s="1294"/>
      <c r="P607"/>
      <c r="Q607"/>
      <c r="R607"/>
      <c r="S607"/>
      <c r="T607" s="19"/>
      <c r="U607" t="s">
        <v>1424</v>
      </c>
      <c r="V607"/>
      <c r="W607"/>
      <c r="X607"/>
      <c r="Y607"/>
      <c r="Z607"/>
      <c r="AA607"/>
      <c r="AB607"/>
      <c r="AC607"/>
      <c r="AD607"/>
      <c r="AE607"/>
      <c r="AF607"/>
      <c r="AG607" s="1294" t="s">
        <v>692</v>
      </c>
      <c r="AH607" s="1294"/>
      <c r="AI607"/>
      <c r="AJ607"/>
      <c r="AK607"/>
      <c r="AL607"/>
      <c r="AM607"/>
      <c r="AN607"/>
      <c r="AO607"/>
      <c r="AP607"/>
      <c r="AQ607"/>
      <c r="AR607"/>
      <c r="AS607"/>
      <c r="AT607"/>
      <c r="AU607"/>
      <c r="AV607"/>
      <c r="AW607"/>
      <c r="AX607"/>
      <c r="AY607"/>
      <c r="AZ607" s="3"/>
      <c r="BA607" s="3"/>
      <c r="BB607" s="3"/>
      <c r="BC607" s="3"/>
    </row>
    <row r="608" spans="1:55" ht="13.15" customHeight="1">
      <c r="A608" s="19"/>
      <c r="T608" s="19"/>
      <c r="AZ608" s="3"/>
      <c r="BA608" s="3"/>
      <c r="BB608" s="3"/>
      <c r="BC608" s="3"/>
    </row>
    <row r="609" spans="1:55" ht="13.15" customHeight="1">
      <c r="A609" s="47" t="s">
        <v>1410</v>
      </c>
      <c r="B609" t="s">
        <v>1413</v>
      </c>
      <c r="G609" s="1320">
        <f>C564</f>
        <v>0</v>
      </c>
      <c r="H609" s="1320"/>
      <c r="I609" s="1320"/>
      <c r="J609" s="1320"/>
      <c r="K609" s="1320"/>
      <c r="L609" s="1320"/>
      <c r="M609" s="1320"/>
      <c r="N609" s="1320"/>
      <c r="O609" s="1320"/>
      <c r="P609" s="1320"/>
      <c r="Q609" s="1320"/>
      <c r="R609" s="1320"/>
      <c r="T609" s="47" t="s">
        <v>1411</v>
      </c>
      <c r="U609" t="s">
        <v>1413</v>
      </c>
      <c r="Z609" s="1320">
        <f>C565</f>
        <v>0</v>
      </c>
      <c r="AA609" s="1320"/>
      <c r="AB609" s="1320"/>
      <c r="AC609" s="1320"/>
      <c r="AD609" s="1320"/>
      <c r="AE609" s="1320"/>
      <c r="AF609" s="1320"/>
      <c r="AG609" s="1320"/>
      <c r="AH609" s="1320"/>
      <c r="AI609" s="1320"/>
      <c r="AJ609" s="1320"/>
      <c r="AK609" s="1320"/>
      <c r="AZ609" s="3"/>
      <c r="BA609" s="3"/>
      <c r="BB609" s="3"/>
      <c r="BC609" s="3"/>
    </row>
    <row r="610" spans="1:55" ht="13.15" customHeight="1">
      <c r="B610" t="s">
        <v>1060</v>
      </c>
      <c r="G610" s="1333"/>
      <c r="H610" s="1333"/>
      <c r="I610" s="1333"/>
      <c r="J610" s="1333"/>
      <c r="K610" s="1333"/>
      <c r="L610" s="1333"/>
      <c r="M610" s="1333"/>
      <c r="N610" s="1333"/>
      <c r="O610" s="1333"/>
      <c r="P610" s="1333"/>
      <c r="Q610" s="1333"/>
      <c r="R610" s="1333"/>
      <c r="U610" t="s">
        <v>1060</v>
      </c>
      <c r="Z610" s="1333"/>
      <c r="AA610" s="1333"/>
      <c r="AB610" s="1333"/>
      <c r="AC610" s="1333"/>
      <c r="AD610" s="1333"/>
      <c r="AE610" s="1333"/>
      <c r="AF610" s="1333"/>
      <c r="AG610" s="1333"/>
      <c r="AH610" s="1333"/>
      <c r="AI610" s="1333"/>
      <c r="AJ610" s="1333"/>
      <c r="AK610" s="1333"/>
      <c r="AZ610" s="3"/>
      <c r="BA610" s="3"/>
      <c r="BB610" s="3"/>
      <c r="BC610" s="3"/>
    </row>
    <row r="611" spans="1:55" ht="13.15" customHeight="1">
      <c r="B611" t="s">
        <v>928</v>
      </c>
      <c r="G611" s="1333"/>
      <c r="H611" s="1333"/>
      <c r="I611" s="1333"/>
      <c r="J611" s="1333"/>
      <c r="K611" s="1333"/>
      <c r="L611" s="1333"/>
      <c r="M611" s="1333"/>
      <c r="N611" s="1333"/>
      <c r="O611" s="1333"/>
      <c r="P611" s="1333"/>
      <c r="Q611" s="1333"/>
      <c r="R611" s="1333"/>
      <c r="U611" t="s">
        <v>928</v>
      </c>
      <c r="Z611" s="1310"/>
      <c r="AA611" s="1310"/>
      <c r="AB611" s="1310"/>
      <c r="AC611" s="1310"/>
      <c r="AD611" s="1310"/>
      <c r="AE611" s="1310"/>
      <c r="AF611" s="1310"/>
      <c r="AG611" s="1310"/>
      <c r="AH611" s="1310"/>
      <c r="AI611" s="1310"/>
      <c r="AJ611" s="1310"/>
      <c r="AK611" s="1310"/>
      <c r="AZ611" s="3"/>
      <c r="BA611" s="3"/>
      <c r="BB611" s="3"/>
      <c r="BC611" s="3"/>
    </row>
    <row r="612" spans="1:55" ht="13.15" customHeight="1">
      <c r="B612" t="s">
        <v>1416</v>
      </c>
      <c r="G612" s="1333"/>
      <c r="H612" s="1333"/>
      <c r="I612" s="1333"/>
      <c r="J612" s="1333"/>
      <c r="K612" s="1333"/>
      <c r="L612" s="1333"/>
      <c r="M612" s="1333"/>
      <c r="N612" s="1333"/>
      <c r="O612" s="1333"/>
      <c r="P612" s="1333"/>
      <c r="Q612" s="1333"/>
      <c r="R612" s="1333"/>
      <c r="U612" t="s">
        <v>1416</v>
      </c>
      <c r="Z612" s="1310"/>
      <c r="AA612" s="1310"/>
      <c r="AB612" s="1310"/>
      <c r="AC612" s="1310"/>
      <c r="AD612" s="1310"/>
      <c r="AE612" s="1310"/>
      <c r="AF612" s="1310"/>
      <c r="AG612" s="1310"/>
      <c r="AH612" s="1310"/>
      <c r="AI612" s="1310"/>
      <c r="AJ612" s="1310"/>
      <c r="AK612" s="1310"/>
      <c r="AZ612" s="3"/>
      <c r="BA612" s="3"/>
      <c r="BB612" s="3"/>
      <c r="BC612" s="3"/>
    </row>
    <row r="613" spans="1:55" ht="13.15" customHeight="1">
      <c r="B613" t="s">
        <v>821</v>
      </c>
      <c r="G613" s="1308"/>
      <c r="H613" s="1308"/>
      <c r="I613" s="1308"/>
      <c r="J613" s="1308"/>
      <c r="K613" s="1308"/>
      <c r="L613" s="1308"/>
      <c r="O613" s="923" t="s">
        <v>1069</v>
      </c>
      <c r="P613" s="1395"/>
      <c r="Q613" s="1395"/>
      <c r="R613" s="1395"/>
      <c r="U613" t="s">
        <v>821</v>
      </c>
      <c r="Z613" s="1308"/>
      <c r="AA613" s="1308"/>
      <c r="AB613" s="1308"/>
      <c r="AC613" s="1308"/>
      <c r="AD613" s="1308"/>
      <c r="AE613" s="1308"/>
      <c r="AH613" s="923" t="s">
        <v>1069</v>
      </c>
      <c r="AI613" s="1395"/>
      <c r="AJ613" s="1395"/>
      <c r="AK613" s="1395"/>
      <c r="AZ613" s="3"/>
      <c r="BA613" s="3"/>
      <c r="BB613" s="3"/>
      <c r="BC613" s="3"/>
    </row>
    <row r="614" spans="1:55" ht="13.15" customHeight="1">
      <c r="B614" t="s">
        <v>1419</v>
      </c>
      <c r="H614" s="1333"/>
      <c r="I614" s="1333"/>
      <c r="J614" s="1333"/>
      <c r="K614" s="1333"/>
      <c r="L614" s="1333"/>
      <c r="M614" s="1333"/>
      <c r="N614" s="1333"/>
      <c r="O614" s="1333"/>
      <c r="P614" s="1333"/>
      <c r="Q614" s="1333"/>
      <c r="R614" s="1333"/>
      <c r="U614" t="s">
        <v>1419</v>
      </c>
      <c r="AA614" s="1333"/>
      <c r="AB614" s="1333"/>
      <c r="AC614" s="1333"/>
      <c r="AD614" s="1333"/>
      <c r="AE614" s="1333"/>
      <c r="AF614" s="1333"/>
      <c r="AG614" s="1333"/>
      <c r="AH614" s="1333"/>
      <c r="AI614" s="1333"/>
      <c r="AJ614" s="1333"/>
      <c r="AK614" s="1333"/>
      <c r="AU614" s="795"/>
      <c r="AV614" s="795"/>
      <c r="AW614" s="795"/>
      <c r="AX614" s="795"/>
      <c r="AY614" s="795"/>
      <c r="AZ614" s="3"/>
      <c r="BA614" s="3"/>
      <c r="BB614" s="3"/>
      <c r="BC614" s="3"/>
    </row>
    <row r="615" spans="1:55" ht="13.15" customHeight="1">
      <c r="B615" t="s">
        <v>1424</v>
      </c>
      <c r="N615" s="1294" t="s">
        <v>692</v>
      </c>
      <c r="O615" s="1294"/>
      <c r="U615" t="s">
        <v>1424</v>
      </c>
      <c r="AG615" s="1294" t="s">
        <v>692</v>
      </c>
      <c r="AH615" s="1294"/>
      <c r="AU615" s="795"/>
      <c r="AV615" s="795"/>
      <c r="AW615" s="795"/>
      <c r="AX615" s="795"/>
      <c r="AY615" s="795"/>
      <c r="AZ615" s="3"/>
      <c r="BA615" s="3"/>
      <c r="BB615" s="3"/>
      <c r="BC615" s="3"/>
    </row>
    <row r="616" spans="1:55" ht="13.15" customHeight="1">
      <c r="AZ616" s="3"/>
      <c r="BA616" s="3"/>
      <c r="BB616" s="3"/>
      <c r="BC616" s="3"/>
    </row>
    <row r="617" spans="1:55" ht="13.15" customHeight="1">
      <c r="A617" s="1222" t="s">
        <v>1429</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row>
    <row r="618" spans="1:55" ht="13.15"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row>
    <row r="619" spans="1:55" ht="13.15" customHeight="1">
      <c r="AZ619" s="3"/>
      <c r="BA619" s="3"/>
      <c r="BB619" s="3"/>
      <c r="BC619" s="3"/>
    </row>
    <row r="620" spans="1:55" ht="13.15" customHeight="1">
      <c r="A620" s="2" t="s">
        <v>868</v>
      </c>
      <c r="B620" s="2"/>
      <c r="C620" s="2" t="s">
        <v>175</v>
      </c>
      <c r="AZ620" s="3"/>
      <c r="BA620" s="3"/>
      <c r="BB620" s="3"/>
      <c r="BC620" s="3"/>
    </row>
    <row r="621" spans="1:55" ht="13.15" customHeight="1">
      <c r="A621" s="2"/>
      <c r="B621" s="2"/>
      <c r="C621" s="2"/>
      <c r="AZ621" s="3"/>
      <c r="BA621" s="3"/>
      <c r="BB621" s="3"/>
      <c r="BC621" s="3"/>
    </row>
    <row r="622" spans="1:55" ht="13.15" customHeight="1">
      <c r="C622" s="2" t="s">
        <v>1392</v>
      </c>
      <c r="AZ622" s="3"/>
      <c r="BA622" s="3"/>
      <c r="BB622" s="3"/>
      <c r="BC622" s="3"/>
    </row>
    <row r="623" spans="1:55" ht="13.15" customHeight="1">
      <c r="B623" s="412"/>
      <c r="C623" s="2"/>
      <c r="AU623" s="3"/>
      <c r="AZ623" s="3"/>
      <c r="BA623" s="3"/>
      <c r="BB623" s="3"/>
      <c r="BC623" s="3"/>
    </row>
    <row r="624" spans="1:55" ht="13.15" customHeight="1">
      <c r="B624" s="1644" t="s">
        <v>1393</v>
      </c>
      <c r="C624" s="1644"/>
      <c r="D624" s="1644"/>
      <c r="E624" s="1644"/>
      <c r="F624" s="1644"/>
      <c r="G624" s="1644"/>
      <c r="H624" s="1644"/>
      <c r="I624" s="1644"/>
      <c r="J624" s="1644"/>
      <c r="K624" s="1644"/>
      <c r="L624" s="1644"/>
      <c r="M624" s="1400" t="s">
        <v>1394</v>
      </c>
      <c r="N624" s="1400"/>
      <c r="O624" s="1400"/>
      <c r="P624" s="1400"/>
      <c r="Q624" s="1400" t="s">
        <v>1430</v>
      </c>
      <c r="R624" s="1400"/>
      <c r="S624" s="1400"/>
      <c r="T624" s="1400" t="s">
        <v>1431</v>
      </c>
      <c r="U624" s="1400"/>
      <c r="V624" s="1400"/>
      <c r="W624" s="1645" t="s">
        <v>1397</v>
      </c>
      <c r="X624" s="1645"/>
      <c r="Y624" s="1645"/>
      <c r="Z624" s="1389" t="s">
        <v>1432</v>
      </c>
      <c r="AA624" s="1389"/>
      <c r="AB624" s="1390"/>
      <c r="AC624" s="1627" t="s">
        <v>1399</v>
      </c>
      <c r="AD624" s="1628"/>
      <c r="AE624" s="1629"/>
      <c r="AF624" s="1616" t="s">
        <v>1433</v>
      </c>
      <c r="AG624" s="1389"/>
      <c r="AH624" s="1389"/>
      <c r="AI624" s="1389"/>
      <c r="AJ624" s="1390"/>
      <c r="AK624" s="1676" t="s">
        <v>1434</v>
      </c>
      <c r="AL624" s="1677"/>
      <c r="AM624" s="1677"/>
      <c r="AN624" s="1678"/>
      <c r="AO624" s="1400" t="s">
        <v>1401</v>
      </c>
      <c r="AP624" s="1400"/>
      <c r="AQ624" s="1400"/>
      <c r="AR624" s="1400"/>
      <c r="AS624" s="1400"/>
      <c r="AU624" s="3"/>
      <c r="AZ624" s="3"/>
      <c r="BA624" s="3"/>
      <c r="BB624" s="3"/>
      <c r="BC624" s="3"/>
    </row>
    <row r="625" spans="2:157" ht="13.15" customHeight="1">
      <c r="B625" s="1644"/>
      <c r="C625" s="1644"/>
      <c r="D625" s="1644"/>
      <c r="E625" s="1644"/>
      <c r="F625" s="1644"/>
      <c r="G625" s="1644"/>
      <c r="H625" s="1644"/>
      <c r="I625" s="1644"/>
      <c r="J625" s="1644"/>
      <c r="K625" s="1644"/>
      <c r="L625" s="1644"/>
      <c r="M625" s="1400"/>
      <c r="N625" s="1400"/>
      <c r="O625" s="1400"/>
      <c r="P625" s="1400"/>
      <c r="Q625" s="1400"/>
      <c r="R625" s="1400"/>
      <c r="S625" s="1400"/>
      <c r="T625" s="1400"/>
      <c r="U625" s="1400"/>
      <c r="V625" s="1400"/>
      <c r="W625" s="1645"/>
      <c r="X625" s="1645"/>
      <c r="Y625" s="1645"/>
      <c r="Z625" s="1391"/>
      <c r="AA625" s="1391"/>
      <c r="AB625" s="1392"/>
      <c r="AC625" s="1630"/>
      <c r="AD625" s="1631"/>
      <c r="AE625" s="1632"/>
      <c r="AF625" s="1617"/>
      <c r="AG625" s="1391"/>
      <c r="AH625" s="1391"/>
      <c r="AI625" s="1391"/>
      <c r="AJ625" s="1392"/>
      <c r="AK625" s="1679"/>
      <c r="AL625" s="1680"/>
      <c r="AM625" s="1680"/>
      <c r="AN625" s="1681"/>
      <c r="AO625" s="1400"/>
      <c r="AP625" s="1400"/>
      <c r="AQ625" s="1400"/>
      <c r="AR625" s="1400"/>
      <c r="AS625" s="1400"/>
      <c r="AU625" s="3"/>
      <c r="AZ625" s="3"/>
      <c r="BA625" s="3"/>
      <c r="BB625" s="3"/>
      <c r="BC625" s="3"/>
      <c r="BD625" s="3"/>
    </row>
    <row r="626" spans="2:157" ht="13.15" customHeight="1">
      <c r="B626" s="1644"/>
      <c r="C626" s="1644"/>
      <c r="D626" s="1644"/>
      <c r="E626" s="1644"/>
      <c r="F626" s="1644"/>
      <c r="G626" s="1644"/>
      <c r="H626" s="1644"/>
      <c r="I626" s="1644"/>
      <c r="J626" s="1644"/>
      <c r="K626" s="1644"/>
      <c r="L626" s="1644"/>
      <c r="M626" s="1400"/>
      <c r="N626" s="1400"/>
      <c r="O626" s="1400"/>
      <c r="P626" s="1400"/>
      <c r="Q626" s="1400"/>
      <c r="R626" s="1400"/>
      <c r="S626" s="1400"/>
      <c r="T626" s="1400"/>
      <c r="U626" s="1400"/>
      <c r="V626" s="1400"/>
      <c r="W626" s="1645"/>
      <c r="X626" s="1645"/>
      <c r="Y626" s="1645"/>
      <c r="Z626" s="1393"/>
      <c r="AA626" s="1393"/>
      <c r="AB626" s="1394"/>
      <c r="AC626" s="1633"/>
      <c r="AD626" s="1634"/>
      <c r="AE626" s="1635"/>
      <c r="AF626" s="1618"/>
      <c r="AG626" s="1393"/>
      <c r="AH626" s="1393"/>
      <c r="AI626" s="1393"/>
      <c r="AJ626" s="1394"/>
      <c r="AK626" s="1682"/>
      <c r="AL626" s="1683"/>
      <c r="AM626" s="1683"/>
      <c r="AN626" s="1684"/>
      <c r="AO626" s="1400"/>
      <c r="AP626" s="1400"/>
      <c r="AQ626" s="1400"/>
      <c r="AR626" s="1400"/>
      <c r="AS626" s="1400"/>
      <c r="AT626" s="3"/>
      <c r="AU626" s="3"/>
      <c r="AZ626" s="3"/>
      <c r="BA626" s="3"/>
      <c r="BB626" s="3"/>
      <c r="BC626" s="3"/>
      <c r="BD626" s="3"/>
    </row>
    <row r="627" spans="2:157" ht="13.15" customHeight="1">
      <c r="B627" s="43" t="s">
        <v>18</v>
      </c>
      <c r="C627" s="1309" t="s">
        <v>1435</v>
      </c>
      <c r="D627" s="1309"/>
      <c r="E627" s="1309"/>
      <c r="F627" s="1309"/>
      <c r="G627" s="1309"/>
      <c r="H627" s="1309"/>
      <c r="I627" s="1309"/>
      <c r="J627" s="1309"/>
      <c r="K627" s="1309"/>
      <c r="L627" s="1309"/>
      <c r="M627" s="1564" t="s">
        <v>998</v>
      </c>
      <c r="N627" s="1564"/>
      <c r="O627" s="1564"/>
      <c r="P627" s="1564"/>
      <c r="Q627" s="1384">
        <f>15*12</f>
        <v>180</v>
      </c>
      <c r="R627" s="1384"/>
      <c r="S627" s="1385"/>
      <c r="T627" s="1383">
        <v>480</v>
      </c>
      <c r="U627" s="1384"/>
      <c r="V627" s="1385"/>
      <c r="W627" s="1396">
        <v>0.06</v>
      </c>
      <c r="X627" s="1397"/>
      <c r="Y627" s="1398"/>
      <c r="Z627" s="1430" t="s">
        <v>1439</v>
      </c>
      <c r="AA627" s="1431"/>
      <c r="AB627" s="1432"/>
      <c r="AC627" s="1404">
        <v>1</v>
      </c>
      <c r="AD627" s="1405"/>
      <c r="AE627" s="1406"/>
      <c r="AF627" s="1427">
        <v>2681019</v>
      </c>
      <c r="AG627" s="1428"/>
      <c r="AH627" s="1428"/>
      <c r="AI627" s="1428"/>
      <c r="AJ627" s="1429"/>
      <c r="AK627" s="1386"/>
      <c r="AL627" s="1387"/>
      <c r="AM627" s="1387"/>
      <c r="AN627" s="1388"/>
      <c r="AO627" s="1433">
        <v>40339401</v>
      </c>
      <c r="AP627" s="1433"/>
      <c r="AQ627" s="1433"/>
      <c r="AR627" s="1433"/>
      <c r="AS627" s="1433"/>
      <c r="AT627" s="3"/>
      <c r="AU627" s="3"/>
      <c r="AZ627" s="3"/>
      <c r="BA627" s="3"/>
      <c r="BB627" s="3"/>
      <c r="BC627" s="3"/>
      <c r="BD627" s="3"/>
    </row>
    <row r="628" spans="2:157" ht="13.15" customHeight="1">
      <c r="B628" s="44" t="s">
        <v>31</v>
      </c>
      <c r="C628" s="1309" t="s">
        <v>1436</v>
      </c>
      <c r="D628" s="1309"/>
      <c r="E628" s="1309"/>
      <c r="F628" s="1309"/>
      <c r="G628" s="1309"/>
      <c r="H628" s="1309"/>
      <c r="I628" s="1309"/>
      <c r="J628" s="1309"/>
      <c r="K628" s="1309"/>
      <c r="L628" s="1309"/>
      <c r="M628" s="1564" t="s">
        <v>998</v>
      </c>
      <c r="N628" s="1564"/>
      <c r="O628" s="1564"/>
      <c r="P628" s="1564"/>
      <c r="Q628" s="1383"/>
      <c r="R628" s="1384"/>
      <c r="S628" s="1385"/>
      <c r="T628" s="1383"/>
      <c r="U628" s="1384"/>
      <c r="V628" s="1385"/>
      <c r="W628" s="1396"/>
      <c r="X628" s="1397"/>
      <c r="Y628" s="1398"/>
      <c r="Z628" s="1430" t="s">
        <v>1437</v>
      </c>
      <c r="AA628" s="1431"/>
      <c r="AB628" s="1432"/>
      <c r="AC628" s="1404"/>
      <c r="AD628" s="1405"/>
      <c r="AE628" s="1406"/>
      <c r="AF628" s="1427"/>
      <c r="AG628" s="1428"/>
      <c r="AH628" s="1428"/>
      <c r="AI628" s="1428"/>
      <c r="AJ628" s="1429"/>
      <c r="AK628" s="1386"/>
      <c r="AL628" s="1387"/>
      <c r="AM628" s="1387"/>
      <c r="AN628" s="1388"/>
      <c r="AO628" s="1424">
        <v>9406102</v>
      </c>
      <c r="AP628" s="1425"/>
      <c r="AQ628" s="1425"/>
      <c r="AR628" s="1425"/>
      <c r="AS628" s="1426"/>
      <c r="AT628" s="1037" t="str">
        <f>IF(AND(NOT(C627=""),C628="",NOT(C629="")),"!","")</f>
        <v/>
      </c>
      <c r="AU628" s="3"/>
      <c r="AZ628" s="3"/>
      <c r="BA628" s="3"/>
      <c r="BB628" s="3"/>
      <c r="BC628" s="3"/>
      <c r="BD628" s="3"/>
    </row>
    <row r="629" spans="2:157" ht="13.15" customHeight="1">
      <c r="B629" s="44" t="s">
        <v>39</v>
      </c>
      <c r="C629" s="1309" t="s">
        <v>2744</v>
      </c>
      <c r="D629" s="1309"/>
      <c r="E629" s="1309"/>
      <c r="F629" s="1309"/>
      <c r="G629" s="1309"/>
      <c r="H629" s="1309"/>
      <c r="I629" s="1309"/>
      <c r="J629" s="1309"/>
      <c r="K629" s="1309"/>
      <c r="L629" s="1309"/>
      <c r="M629" s="1564" t="s">
        <v>998</v>
      </c>
      <c r="N629" s="1564"/>
      <c r="O629" s="1564"/>
      <c r="P629" s="1564"/>
      <c r="Q629" s="1383"/>
      <c r="R629" s="1384"/>
      <c r="S629" s="1385"/>
      <c r="T629" s="1383"/>
      <c r="U629" s="1384"/>
      <c r="V629" s="1385"/>
      <c r="W629" s="1396"/>
      <c r="X629" s="1397"/>
      <c r="Y629" s="1398"/>
      <c r="Z629" s="1430" t="s">
        <v>1439</v>
      </c>
      <c r="AA629" s="1431"/>
      <c r="AB629" s="1432"/>
      <c r="AC629" s="1404"/>
      <c r="AD629" s="1405"/>
      <c r="AE629" s="1406"/>
      <c r="AF629" s="1427"/>
      <c r="AG629" s="1428"/>
      <c r="AH629" s="1428"/>
      <c r="AI629" s="1428"/>
      <c r="AJ629" s="1429"/>
      <c r="AK629" s="1386"/>
      <c r="AL629" s="1387"/>
      <c r="AM629" s="1387"/>
      <c r="AN629" s="1388"/>
      <c r="AO629" s="1424">
        <v>2471097</v>
      </c>
      <c r="AP629" s="1425"/>
      <c r="AQ629" s="1425"/>
      <c r="AR629" s="1425"/>
      <c r="AS629" s="1426"/>
      <c r="AT629" s="1037" t="str">
        <f t="shared" ref="AT629:AT638" si="1">IF(AND(NOT(C628=""),C629="",NOT(C630="")),"!","")</f>
        <v/>
      </c>
      <c r="AU629" s="3"/>
      <c r="AZ629" s="3"/>
      <c r="BA629" s="3"/>
      <c r="BB629" s="3"/>
      <c r="BC629" s="3"/>
      <c r="BD629" s="3"/>
    </row>
    <row r="630" spans="2:157" ht="13.15" customHeight="1">
      <c r="B630" s="44" t="s">
        <v>82</v>
      </c>
      <c r="C630" s="1309"/>
      <c r="D630" s="1309"/>
      <c r="E630" s="1309"/>
      <c r="F630" s="1309"/>
      <c r="G630" s="1309"/>
      <c r="H630" s="1309"/>
      <c r="I630" s="1309"/>
      <c r="J630" s="1309"/>
      <c r="K630" s="1309"/>
      <c r="L630" s="1309"/>
      <c r="M630" s="1564" t="s">
        <v>998</v>
      </c>
      <c r="N630" s="1564"/>
      <c r="O630" s="1564"/>
      <c r="P630" s="1564"/>
      <c r="Q630" s="1383"/>
      <c r="R630" s="1384"/>
      <c r="S630" s="1385"/>
      <c r="T630" s="1383"/>
      <c r="U630" s="1384"/>
      <c r="V630" s="1385"/>
      <c r="W630" s="1396"/>
      <c r="X630" s="1397"/>
      <c r="Y630" s="1398"/>
      <c r="Z630" s="1430" t="s">
        <v>998</v>
      </c>
      <c r="AA630" s="1431"/>
      <c r="AB630" s="1432"/>
      <c r="AC630" s="1404"/>
      <c r="AD630" s="1405"/>
      <c r="AE630" s="1406"/>
      <c r="AF630" s="1427"/>
      <c r="AG630" s="1428"/>
      <c r="AH630" s="1428"/>
      <c r="AI630" s="1428"/>
      <c r="AJ630" s="1429"/>
      <c r="AK630" s="1386"/>
      <c r="AL630" s="1387"/>
      <c r="AM630" s="1387"/>
      <c r="AN630" s="1388"/>
      <c r="AO630" s="1424"/>
      <c r="AP630" s="1425"/>
      <c r="AQ630" s="1425"/>
      <c r="AR630" s="1425"/>
      <c r="AS630" s="1426"/>
      <c r="AT630" s="1037" t="str">
        <f t="shared" si="1"/>
        <v/>
      </c>
      <c r="AU630" s="3"/>
      <c r="AZ630" s="3"/>
      <c r="BA630" s="3"/>
      <c r="BB630" s="3"/>
      <c r="BC630" s="3"/>
      <c r="BD630" s="3"/>
    </row>
    <row r="631" spans="2:157" ht="13.15" customHeight="1">
      <c r="B631" s="44" t="s">
        <v>86</v>
      </c>
      <c r="C631" s="1309"/>
      <c r="D631" s="1309"/>
      <c r="E631" s="1309"/>
      <c r="F631" s="1309"/>
      <c r="G631" s="1309"/>
      <c r="H631" s="1309"/>
      <c r="I631" s="1309"/>
      <c r="J631" s="1309"/>
      <c r="K631" s="1309"/>
      <c r="L631" s="1309"/>
      <c r="M631" s="1564" t="s">
        <v>998</v>
      </c>
      <c r="N631" s="1564"/>
      <c r="O631" s="1564"/>
      <c r="P631" s="1564"/>
      <c r="Q631" s="1383"/>
      <c r="R631" s="1384"/>
      <c r="S631" s="1385"/>
      <c r="T631" s="1383"/>
      <c r="U631" s="1384"/>
      <c r="V631" s="1385"/>
      <c r="W631" s="1396"/>
      <c r="X631" s="1397"/>
      <c r="Y631" s="1398"/>
      <c r="Z631" s="1430" t="s">
        <v>998</v>
      </c>
      <c r="AA631" s="1431"/>
      <c r="AB631" s="1432"/>
      <c r="AC631" s="1404"/>
      <c r="AD631" s="1405"/>
      <c r="AE631" s="1406"/>
      <c r="AF631" s="1427"/>
      <c r="AG631" s="1428"/>
      <c r="AH631" s="1428"/>
      <c r="AI631" s="1428"/>
      <c r="AJ631" s="1429"/>
      <c r="AK631" s="1386"/>
      <c r="AL631" s="1387"/>
      <c r="AM631" s="1387"/>
      <c r="AN631" s="1388"/>
      <c r="AO631" s="1424"/>
      <c r="AP631" s="1425"/>
      <c r="AQ631" s="1425"/>
      <c r="AR631" s="1425"/>
      <c r="AS631" s="1426"/>
      <c r="AT631" s="1037" t="str">
        <f t="shared" si="1"/>
        <v/>
      </c>
      <c r="AU631" s="3"/>
      <c r="AZ631" s="3"/>
      <c r="BA631" s="3"/>
      <c r="BB631" s="3"/>
      <c r="BC631" s="3"/>
      <c r="BD631" s="3"/>
    </row>
    <row r="632" spans="2:157" ht="13.15" customHeight="1">
      <c r="B632" s="44" t="s">
        <v>1404</v>
      </c>
      <c r="C632" s="1309"/>
      <c r="D632" s="1309"/>
      <c r="E632" s="1309"/>
      <c r="F632" s="1309"/>
      <c r="G632" s="1309"/>
      <c r="H632" s="1309"/>
      <c r="I632" s="1309"/>
      <c r="J632" s="1309"/>
      <c r="K632" s="1309"/>
      <c r="L632" s="1309"/>
      <c r="M632" s="1564" t="s">
        <v>998</v>
      </c>
      <c r="N632" s="1564"/>
      <c r="O632" s="1564"/>
      <c r="P632" s="1564"/>
      <c r="Q632" s="1383"/>
      <c r="R632" s="1384"/>
      <c r="S632" s="1385"/>
      <c r="T632" s="1383"/>
      <c r="U632" s="1384"/>
      <c r="V632" s="1385"/>
      <c r="W632" s="1396"/>
      <c r="X632" s="1397"/>
      <c r="Y632" s="1398"/>
      <c r="Z632" s="1430" t="s">
        <v>998</v>
      </c>
      <c r="AA632" s="1431"/>
      <c r="AB632" s="1432"/>
      <c r="AC632" s="1404"/>
      <c r="AD632" s="1405"/>
      <c r="AE632" s="1406"/>
      <c r="AF632" s="1427"/>
      <c r="AG632" s="1428"/>
      <c r="AH632" s="1428"/>
      <c r="AI632" s="1428"/>
      <c r="AJ632" s="1429"/>
      <c r="AK632" s="1386"/>
      <c r="AL632" s="1387"/>
      <c r="AM632" s="1387"/>
      <c r="AN632" s="1388"/>
      <c r="AO632" s="1424"/>
      <c r="AP632" s="1425"/>
      <c r="AQ632" s="1425"/>
      <c r="AR632" s="1425"/>
      <c r="AS632" s="1426"/>
      <c r="AT632" s="1037" t="str">
        <f t="shared" si="1"/>
        <v/>
      </c>
      <c r="AU632" s="3"/>
      <c r="AZ632" s="3"/>
      <c r="BA632" s="3"/>
      <c r="BB632" s="3"/>
      <c r="BC632" s="3"/>
      <c r="BD632" s="3"/>
    </row>
    <row r="633" spans="2:157" ht="13.15" customHeight="1">
      <c r="B633" s="44" t="s">
        <v>1406</v>
      </c>
      <c r="C633" s="1309"/>
      <c r="D633" s="1309"/>
      <c r="E633" s="1309"/>
      <c r="F633" s="1309"/>
      <c r="G633" s="1309"/>
      <c r="H633" s="1309"/>
      <c r="I633" s="1309"/>
      <c r="J633" s="1309"/>
      <c r="K633" s="1309"/>
      <c r="L633" s="1309"/>
      <c r="M633" s="1564" t="s">
        <v>998</v>
      </c>
      <c r="N633" s="1564"/>
      <c r="O633" s="1564"/>
      <c r="P633" s="1564"/>
      <c r="Q633" s="1383"/>
      <c r="R633" s="1384"/>
      <c r="S633" s="1385"/>
      <c r="T633" s="1383"/>
      <c r="U633" s="1384"/>
      <c r="V633" s="1385"/>
      <c r="W633" s="1396"/>
      <c r="X633" s="1397"/>
      <c r="Y633" s="1398"/>
      <c r="Z633" s="1430" t="s">
        <v>998</v>
      </c>
      <c r="AA633" s="1431"/>
      <c r="AB633" s="1432"/>
      <c r="AC633" s="1404"/>
      <c r="AD633" s="1405"/>
      <c r="AE633" s="1406"/>
      <c r="AF633" s="1427"/>
      <c r="AG633" s="1428"/>
      <c r="AH633" s="1428"/>
      <c r="AI633" s="1428"/>
      <c r="AJ633" s="1429"/>
      <c r="AK633" s="1386"/>
      <c r="AL633" s="1387"/>
      <c r="AM633" s="1387"/>
      <c r="AN633" s="1388"/>
      <c r="AO633" s="1424"/>
      <c r="AP633" s="1425"/>
      <c r="AQ633" s="1425"/>
      <c r="AR633" s="1425"/>
      <c r="AS633" s="1426"/>
      <c r="AT633" s="1037" t="str">
        <f t="shared" si="1"/>
        <v/>
      </c>
      <c r="AU633" s="3"/>
      <c r="AV633" s="3"/>
      <c r="AW633" s="3"/>
      <c r="AX633" s="3"/>
      <c r="AY633" s="3"/>
      <c r="AZ633" s="3"/>
      <c r="BA633" s="3"/>
      <c r="BB633" s="3"/>
      <c r="BC633" s="3"/>
      <c r="BD633" s="3"/>
    </row>
    <row r="634" spans="2:157" ht="13.15" customHeight="1">
      <c r="B634" s="44" t="s">
        <v>1407</v>
      </c>
      <c r="C634" s="1309"/>
      <c r="D634" s="1309"/>
      <c r="E634" s="1309"/>
      <c r="F634" s="1309"/>
      <c r="G634" s="1309"/>
      <c r="H634" s="1309"/>
      <c r="I634" s="1309"/>
      <c r="J634" s="1309"/>
      <c r="K634" s="1309"/>
      <c r="L634" s="1309"/>
      <c r="M634" s="1564" t="s">
        <v>998</v>
      </c>
      <c r="N634" s="1564"/>
      <c r="O634" s="1564"/>
      <c r="P634" s="1564"/>
      <c r="Q634" s="1383"/>
      <c r="R634" s="1384"/>
      <c r="S634" s="1385"/>
      <c r="T634" s="1383"/>
      <c r="U634" s="1384"/>
      <c r="V634" s="1385"/>
      <c r="W634" s="1396"/>
      <c r="X634" s="1397"/>
      <c r="Y634" s="1398"/>
      <c r="Z634" s="1430" t="s">
        <v>998</v>
      </c>
      <c r="AA634" s="1431"/>
      <c r="AB634" s="1432"/>
      <c r="AC634" s="1404"/>
      <c r="AD634" s="1405"/>
      <c r="AE634" s="1406"/>
      <c r="AF634" s="1427"/>
      <c r="AG634" s="1428"/>
      <c r="AH634" s="1428"/>
      <c r="AI634" s="1428"/>
      <c r="AJ634" s="1429"/>
      <c r="AK634" s="1386"/>
      <c r="AL634" s="1387"/>
      <c r="AM634" s="1387"/>
      <c r="AN634" s="1388"/>
      <c r="AO634" s="1424"/>
      <c r="AP634" s="1425"/>
      <c r="AQ634" s="1425"/>
      <c r="AR634" s="1425"/>
      <c r="AS634" s="1426"/>
      <c r="AT634" s="1037" t="str">
        <f t="shared" si="1"/>
        <v/>
      </c>
      <c r="AU634" s="3"/>
      <c r="AV634" s="3"/>
      <c r="AW634" s="3"/>
      <c r="AX634" s="3"/>
      <c r="AY634" s="3"/>
      <c r="AZ634" s="3"/>
      <c r="BA634" s="3" t="s">
        <v>998</v>
      </c>
      <c r="BB634" s="3"/>
      <c r="BC634" s="3"/>
      <c r="BD634" s="3"/>
    </row>
    <row r="635" spans="2:157" ht="13.15" customHeight="1">
      <c r="B635" s="44" t="s">
        <v>1408</v>
      </c>
      <c r="C635" s="1309"/>
      <c r="D635" s="1309"/>
      <c r="E635" s="1309"/>
      <c r="F635" s="1309"/>
      <c r="G635" s="1309"/>
      <c r="H635" s="1309"/>
      <c r="I635" s="1309"/>
      <c r="J635" s="1309"/>
      <c r="K635" s="1309"/>
      <c r="L635" s="1309"/>
      <c r="M635" s="1564" t="s">
        <v>998</v>
      </c>
      <c r="N635" s="1564"/>
      <c r="O635" s="1564"/>
      <c r="P635" s="1564"/>
      <c r="Q635" s="1383"/>
      <c r="R635" s="1384"/>
      <c r="S635" s="1385"/>
      <c r="T635" s="1383"/>
      <c r="U635" s="1384"/>
      <c r="V635" s="1385"/>
      <c r="W635" s="1396"/>
      <c r="X635" s="1397"/>
      <c r="Y635" s="1398"/>
      <c r="Z635" s="1430" t="s">
        <v>998</v>
      </c>
      <c r="AA635" s="1431"/>
      <c r="AB635" s="1432"/>
      <c r="AC635" s="1404"/>
      <c r="AD635" s="1405"/>
      <c r="AE635" s="1406"/>
      <c r="AF635" s="1427"/>
      <c r="AG635" s="1428"/>
      <c r="AH635" s="1428"/>
      <c r="AI635" s="1428"/>
      <c r="AJ635" s="1429"/>
      <c r="AK635" s="1386"/>
      <c r="AL635" s="1387"/>
      <c r="AM635" s="1387"/>
      <c r="AN635" s="1388"/>
      <c r="AO635" s="1424"/>
      <c r="AP635" s="1425"/>
      <c r="AQ635" s="1425"/>
      <c r="AR635" s="1425"/>
      <c r="AS635" s="1426"/>
      <c r="AT635" s="1037" t="str">
        <f t="shared" si="1"/>
        <v/>
      </c>
      <c r="AU635" s="3"/>
      <c r="AV635" s="3"/>
      <c r="AW635" s="3"/>
      <c r="AX635" s="3"/>
      <c r="AY635" s="3"/>
      <c r="AZ635" s="3"/>
      <c r="BA635" s="3" t="s">
        <v>1437</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3" t="e">
        <f t="shared" ref="DX635:DX669" si="2">EZ718*(CP718/$CP$753)</f>
        <v>#VALUE!</v>
      </c>
      <c r="DY635" s="1403"/>
      <c r="DZ635" s="1403"/>
      <c r="EA635" s="1403"/>
      <c r="EB635" s="1403"/>
      <c r="EC635" s="1403">
        <f t="shared" ref="EC635:EC669" si="3">FE718*(CU718/$CU$753)</f>
        <v>191.23595505617976</v>
      </c>
      <c r="ED635" s="1403"/>
      <c r="EE635" s="1403"/>
      <c r="EF635" s="1403"/>
      <c r="EG635" s="1403"/>
      <c r="EH635" s="1403" t="e">
        <f t="shared" ref="EH635:EH669" si="4">FJ718*(CZ718/$CZ$753)</f>
        <v>#VALUE!</v>
      </c>
      <c r="EI635" s="1403"/>
      <c r="EJ635" s="1403"/>
      <c r="EK635" s="1403"/>
      <c r="EL635" s="1403"/>
      <c r="EM635" s="1403" t="e">
        <f t="shared" ref="EM635:EM669" si="5">FO718*(DE718/$DE$753)</f>
        <v>#VALUE!</v>
      </c>
      <c r="EN635" s="1403"/>
      <c r="EO635" s="1403"/>
      <c r="EP635" s="1403"/>
      <c r="EQ635" s="1403"/>
      <c r="ER635" s="1403" t="e">
        <f t="shared" ref="ER635:ER669" si="6">FT718*(DJ718/$DJ$753)</f>
        <v>#VALUE!</v>
      </c>
      <c r="ES635" s="1403"/>
      <c r="ET635" s="1403"/>
      <c r="EU635" s="1403"/>
      <c r="EV635" s="1403"/>
      <c r="EW635" s="1403" t="e">
        <f t="shared" ref="EW635:EW669" si="7">FY718*(DO718/$DO$753)</f>
        <v>#VALUE!</v>
      </c>
      <c r="EX635" s="1403"/>
      <c r="EY635" s="1403"/>
      <c r="EZ635" s="1403"/>
      <c r="FA635" s="1403"/>
    </row>
    <row r="636" spans="2:157" ht="13.15" customHeight="1">
      <c r="B636" s="44" t="s">
        <v>1409</v>
      </c>
      <c r="C636" s="1309"/>
      <c r="D636" s="1309"/>
      <c r="E636" s="1309"/>
      <c r="F636" s="1309"/>
      <c r="G636" s="1309"/>
      <c r="H636" s="1309"/>
      <c r="I636" s="1309"/>
      <c r="J636" s="1309"/>
      <c r="K636" s="1309"/>
      <c r="L636" s="1309"/>
      <c r="M636" s="1564" t="s">
        <v>998</v>
      </c>
      <c r="N636" s="1564"/>
      <c r="O636" s="1564"/>
      <c r="P636" s="1564"/>
      <c r="Q636" s="1383"/>
      <c r="R636" s="1384"/>
      <c r="S636" s="1385"/>
      <c r="T636" s="1383"/>
      <c r="U636" s="1384"/>
      <c r="V636" s="1385"/>
      <c r="W636" s="1396"/>
      <c r="X636" s="1397"/>
      <c r="Y636" s="1398"/>
      <c r="Z636" s="1430" t="s">
        <v>998</v>
      </c>
      <c r="AA636" s="1431"/>
      <c r="AB636" s="1432"/>
      <c r="AC636" s="1404"/>
      <c r="AD636" s="1405"/>
      <c r="AE636" s="1406"/>
      <c r="AF636" s="1427"/>
      <c r="AG636" s="1428"/>
      <c r="AH636" s="1428"/>
      <c r="AI636" s="1428"/>
      <c r="AJ636" s="1429"/>
      <c r="AK636" s="1386"/>
      <c r="AL636" s="1387"/>
      <c r="AM636" s="1387"/>
      <c r="AN636" s="1388"/>
      <c r="AO636" s="1424"/>
      <c r="AP636" s="1425"/>
      <c r="AQ636" s="1425"/>
      <c r="AR636" s="1425"/>
      <c r="AS636" s="1426"/>
      <c r="AT636" s="1037" t="str">
        <f t="shared" si="1"/>
        <v/>
      </c>
      <c r="AV636" s="3"/>
      <c r="AW636" s="3"/>
      <c r="AX636" s="3"/>
      <c r="AY636" s="3"/>
      <c r="AZ636" s="3"/>
      <c r="BA636" s="3" t="s">
        <v>1438</v>
      </c>
      <c r="BB636" s="3"/>
      <c r="BC636" s="3"/>
      <c r="BD636" s="3"/>
      <c r="BE636" s="3"/>
      <c r="BF636" s="3"/>
      <c r="BG636" s="3"/>
      <c r="BH636" s="3"/>
      <c r="BI636" s="3"/>
      <c r="BJ636" s="3"/>
      <c r="BK636" s="3"/>
      <c r="BL636" s="3"/>
      <c r="BM636" s="3"/>
      <c r="DA636" s="3"/>
      <c r="DB636" s="3"/>
      <c r="DC636" s="3"/>
      <c r="DD636" s="3"/>
      <c r="DE636" s="3"/>
      <c r="DF636" s="3"/>
      <c r="DX636" s="1403" t="e">
        <f t="shared" si="2"/>
        <v>#VALUE!</v>
      </c>
      <c r="DY636" s="1403"/>
      <c r="DZ636" s="1403"/>
      <c r="EA636" s="1403"/>
      <c r="EB636" s="1403"/>
      <c r="EC636" s="1403" t="e">
        <f t="shared" si="3"/>
        <v>#VALUE!</v>
      </c>
      <c r="ED636" s="1403"/>
      <c r="EE636" s="1403"/>
      <c r="EF636" s="1403"/>
      <c r="EG636" s="1403"/>
      <c r="EH636" s="1403">
        <f t="shared" si="4"/>
        <v>146.42857142857142</v>
      </c>
      <c r="EI636" s="1403"/>
      <c r="EJ636" s="1403"/>
      <c r="EK636" s="1403"/>
      <c r="EL636" s="1403"/>
      <c r="EM636" s="1403" t="e">
        <f t="shared" si="5"/>
        <v>#VALUE!</v>
      </c>
      <c r="EN636" s="1403"/>
      <c r="EO636" s="1403"/>
      <c r="EP636" s="1403"/>
      <c r="EQ636" s="1403"/>
      <c r="ER636" s="1403" t="e">
        <f t="shared" si="6"/>
        <v>#VALUE!</v>
      </c>
      <c r="ES636" s="1403"/>
      <c r="ET636" s="1403"/>
      <c r="EU636" s="1403"/>
      <c r="EV636" s="1403"/>
      <c r="EW636" s="1403" t="e">
        <f t="shared" si="7"/>
        <v>#VALUE!</v>
      </c>
      <c r="EX636" s="1403"/>
      <c r="EY636" s="1403"/>
      <c r="EZ636" s="1403"/>
      <c r="FA636" s="1403"/>
    </row>
    <row r="637" spans="2:157" ht="13.15" customHeight="1">
      <c r="B637" s="44" t="s">
        <v>1410</v>
      </c>
      <c r="C637" s="1309"/>
      <c r="D637" s="1309"/>
      <c r="E637" s="1309"/>
      <c r="F637" s="1309"/>
      <c r="G637" s="1309"/>
      <c r="H637" s="1309"/>
      <c r="I637" s="1309"/>
      <c r="J637" s="1309"/>
      <c r="K637" s="1309"/>
      <c r="L637" s="1309"/>
      <c r="M637" s="1564" t="s">
        <v>998</v>
      </c>
      <c r="N637" s="1564"/>
      <c r="O637" s="1564"/>
      <c r="P637" s="1564"/>
      <c r="Q637" s="1383"/>
      <c r="R637" s="1384"/>
      <c r="S637" s="1385"/>
      <c r="T637" s="1383"/>
      <c r="U637" s="1384"/>
      <c r="V637" s="1385"/>
      <c r="W637" s="1396"/>
      <c r="X637" s="1397"/>
      <c r="Y637" s="1398"/>
      <c r="Z637" s="1430" t="s">
        <v>998</v>
      </c>
      <c r="AA637" s="1431"/>
      <c r="AB637" s="1432"/>
      <c r="AC637" s="1404"/>
      <c r="AD637" s="1405"/>
      <c r="AE637" s="1406"/>
      <c r="AF637" s="1427"/>
      <c r="AG637" s="1428"/>
      <c r="AH637" s="1428"/>
      <c r="AI637" s="1428"/>
      <c r="AJ637" s="1429"/>
      <c r="AK637" s="1386"/>
      <c r="AL637" s="1387"/>
      <c r="AM637" s="1387"/>
      <c r="AN637" s="1388"/>
      <c r="AO637" s="1424"/>
      <c r="AP637" s="1425"/>
      <c r="AQ637" s="1425"/>
      <c r="AR637" s="1425"/>
      <c r="AS637" s="1426"/>
      <c r="AT637" s="1037" t="str">
        <f t="shared" si="1"/>
        <v/>
      </c>
      <c r="AV637" s="3"/>
      <c r="AW637" s="3"/>
      <c r="AX637" s="3"/>
      <c r="AY637" s="3"/>
      <c r="AZ637" s="3"/>
      <c r="BA637" s="3" t="s">
        <v>1439</v>
      </c>
      <c r="BB637" s="3"/>
      <c r="BC637" s="3"/>
      <c r="BD637" s="3"/>
      <c r="BE637" s="3"/>
      <c r="BF637" s="3"/>
      <c r="BG637" s="3"/>
      <c r="BH637" s="3"/>
      <c r="BI637" s="3"/>
      <c r="BJ637" s="3"/>
      <c r="BK637" s="3"/>
      <c r="BL637" s="3"/>
      <c r="BM637" s="3"/>
      <c r="DA637" s="3"/>
      <c r="DB637" s="3"/>
      <c r="DC637" s="3"/>
      <c r="DD637" s="3"/>
      <c r="DE637" s="3"/>
      <c r="DF637" s="3"/>
      <c r="DX637" s="1403" t="e">
        <f t="shared" si="2"/>
        <v>#VALUE!</v>
      </c>
      <c r="DY637" s="1403"/>
      <c r="DZ637" s="1403"/>
      <c r="EA637" s="1403"/>
      <c r="EB637" s="1403"/>
      <c r="EC637" s="1403" t="e">
        <f t="shared" si="3"/>
        <v>#VALUE!</v>
      </c>
      <c r="ED637" s="1403"/>
      <c r="EE637" s="1403"/>
      <c r="EF637" s="1403"/>
      <c r="EG637" s="1403"/>
      <c r="EH637" s="1403" t="e">
        <f t="shared" si="4"/>
        <v>#VALUE!</v>
      </c>
      <c r="EI637" s="1403"/>
      <c r="EJ637" s="1403"/>
      <c r="EK637" s="1403"/>
      <c r="EL637" s="1403"/>
      <c r="EM637" s="1403">
        <f t="shared" si="5"/>
        <v>173.52727272727273</v>
      </c>
      <c r="EN637" s="1403"/>
      <c r="EO637" s="1403"/>
      <c r="EP637" s="1403"/>
      <c r="EQ637" s="1403"/>
      <c r="ER637" s="1403" t="e">
        <f t="shared" si="6"/>
        <v>#VALUE!</v>
      </c>
      <c r="ES637" s="1403"/>
      <c r="ET637" s="1403"/>
      <c r="EU637" s="1403"/>
      <c r="EV637" s="1403"/>
      <c r="EW637" s="1403" t="e">
        <f t="shared" si="7"/>
        <v>#VALUE!</v>
      </c>
      <c r="EX637" s="1403"/>
      <c r="EY637" s="1403"/>
      <c r="EZ637" s="1403"/>
      <c r="FA637" s="1403"/>
    </row>
    <row r="638" spans="2:157" ht="13.15" customHeight="1">
      <c r="B638" s="44" t="s">
        <v>1411</v>
      </c>
      <c r="C638" s="1309"/>
      <c r="D638" s="1309"/>
      <c r="E638" s="1309"/>
      <c r="F638" s="1309"/>
      <c r="G638" s="1309"/>
      <c r="H638" s="1309"/>
      <c r="I638" s="1309"/>
      <c r="J638" s="1309"/>
      <c r="K638" s="1309"/>
      <c r="L638" s="1309"/>
      <c r="M638" s="1564" t="s">
        <v>998</v>
      </c>
      <c r="N638" s="1564"/>
      <c r="O638" s="1564"/>
      <c r="P638" s="1564"/>
      <c r="Q638" s="1383"/>
      <c r="R638" s="1384"/>
      <c r="S638" s="1385"/>
      <c r="T638" s="1383"/>
      <c r="U638" s="1384"/>
      <c r="V638" s="1385"/>
      <c r="W638" s="1396"/>
      <c r="X638" s="1397"/>
      <c r="Y638" s="1398"/>
      <c r="Z638" s="1430" t="s">
        <v>998</v>
      </c>
      <c r="AA638" s="1431"/>
      <c r="AB638" s="1432"/>
      <c r="AC638" s="1404"/>
      <c r="AD638" s="1405"/>
      <c r="AE638" s="1406"/>
      <c r="AF638" s="1427"/>
      <c r="AG638" s="1428"/>
      <c r="AH638" s="1428"/>
      <c r="AI638" s="1428"/>
      <c r="AJ638" s="1429"/>
      <c r="AK638" s="1386"/>
      <c r="AL638" s="1387"/>
      <c r="AM638" s="1387"/>
      <c r="AN638" s="1388"/>
      <c r="AO638" s="1424"/>
      <c r="AP638" s="1425"/>
      <c r="AQ638" s="1425"/>
      <c r="AR638" s="1425"/>
      <c r="AS638" s="1426"/>
      <c r="AT638" s="1037" t="str">
        <f t="shared" si="1"/>
        <v/>
      </c>
      <c r="AV638" s="3"/>
      <c r="AW638" s="3"/>
      <c r="AX638" s="3"/>
      <c r="AY638" s="3"/>
      <c r="AZ638" s="3"/>
      <c r="BA638" s="3" t="s">
        <v>1050</v>
      </c>
      <c r="BB638" s="3"/>
      <c r="BC638" s="3"/>
      <c r="BD638" s="3"/>
      <c r="BE638" s="3"/>
      <c r="BF638" s="3"/>
      <c r="BG638" s="3"/>
      <c r="BH638" s="3"/>
      <c r="BI638" s="3"/>
      <c r="BJ638" s="3"/>
      <c r="BK638" s="3"/>
      <c r="BL638" s="3"/>
      <c r="BM638" s="3"/>
      <c r="DA638" s="3"/>
      <c r="DB638" s="3"/>
      <c r="DC638" s="3"/>
      <c r="DD638" s="3"/>
      <c r="DE638" s="3"/>
      <c r="DF638" s="3"/>
      <c r="DX638" s="1403" t="e">
        <f t="shared" si="2"/>
        <v>#VALUE!</v>
      </c>
      <c r="DY638" s="1403"/>
      <c r="DZ638" s="1403"/>
      <c r="EA638" s="1403"/>
      <c r="EB638" s="1403"/>
      <c r="EC638" s="1403">
        <f t="shared" si="3"/>
        <v>146.62921348314606</v>
      </c>
      <c r="ED638" s="1403"/>
      <c r="EE638" s="1403"/>
      <c r="EF638" s="1403"/>
      <c r="EG638" s="1403"/>
      <c r="EH638" s="1403" t="e">
        <f t="shared" si="4"/>
        <v>#VALUE!</v>
      </c>
      <c r="EI638" s="1403"/>
      <c r="EJ638" s="1403"/>
      <c r="EK638" s="1403"/>
      <c r="EL638" s="1403"/>
      <c r="EM638" s="1403" t="e">
        <f t="shared" si="5"/>
        <v>#VALUE!</v>
      </c>
      <c r="EN638" s="1403"/>
      <c r="EO638" s="1403"/>
      <c r="EP638" s="1403"/>
      <c r="EQ638" s="1403"/>
      <c r="ER638" s="1403" t="e">
        <f t="shared" si="6"/>
        <v>#VALUE!</v>
      </c>
      <c r="ES638" s="1403"/>
      <c r="ET638" s="1403"/>
      <c r="EU638" s="1403"/>
      <c r="EV638" s="1403"/>
      <c r="EW638" s="1403" t="e">
        <f t="shared" si="7"/>
        <v>#VALUE!</v>
      </c>
      <c r="EX638" s="1403"/>
      <c r="EY638" s="1403"/>
      <c r="EZ638" s="1403"/>
      <c r="FA638" s="1403"/>
    </row>
    <row r="639" spans="2:157" ht="13.15" customHeight="1">
      <c r="B639" s="1407" t="s">
        <v>1440</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09"/>
      <c r="AO639" s="1561">
        <f>SUM(AO627:AR638)</f>
        <v>52216600</v>
      </c>
      <c r="AP639" s="1562"/>
      <c r="AQ639" s="1562"/>
      <c r="AR639" s="1562"/>
      <c r="AS639" s="1563"/>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3" t="e">
        <f t="shared" si="2"/>
        <v>#VALUE!</v>
      </c>
      <c r="DY639" s="1403"/>
      <c r="DZ639" s="1403"/>
      <c r="EA639" s="1403"/>
      <c r="EB639" s="1403"/>
      <c r="EC639" s="1403" t="e">
        <f t="shared" si="3"/>
        <v>#VALUE!</v>
      </c>
      <c r="ED639" s="1403"/>
      <c r="EE639" s="1403"/>
      <c r="EF639" s="1403"/>
      <c r="EG639" s="1403"/>
      <c r="EH639" s="1403">
        <f t="shared" si="4"/>
        <v>177.9591836734694</v>
      </c>
      <c r="EI639" s="1403"/>
      <c r="EJ639" s="1403"/>
      <c r="EK639" s="1403"/>
      <c r="EL639" s="1403"/>
      <c r="EM639" s="1403" t="e">
        <f t="shared" si="5"/>
        <v>#VALUE!</v>
      </c>
      <c r="EN639" s="1403"/>
      <c r="EO639" s="1403"/>
      <c r="EP639" s="1403"/>
      <c r="EQ639" s="1403"/>
      <c r="ER639" s="1403" t="e">
        <f t="shared" si="6"/>
        <v>#VALUE!</v>
      </c>
      <c r="ES639" s="1403"/>
      <c r="ET639" s="1403"/>
      <c r="EU639" s="1403"/>
      <c r="EV639" s="1403"/>
      <c r="EW639" s="1403" t="e">
        <f t="shared" si="7"/>
        <v>#VALUE!</v>
      </c>
      <c r="EX639" s="1403"/>
      <c r="EY639" s="1403"/>
      <c r="EZ639" s="1403"/>
      <c r="FA639" s="1403"/>
    </row>
    <row r="640" spans="2:157" ht="13.15" customHeight="1">
      <c r="B640" s="1407" t="s">
        <v>1441</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09"/>
      <c r="AO640" s="1424">
        <v>36611394</v>
      </c>
      <c r="AP640" s="1425"/>
      <c r="AQ640" s="1425"/>
      <c r="AR640" s="1425"/>
      <c r="AS640" s="1426"/>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3" t="e">
        <f t="shared" si="2"/>
        <v>#VALUE!</v>
      </c>
      <c r="DY640" s="1403"/>
      <c r="DZ640" s="1403"/>
      <c r="EA640" s="1403"/>
      <c r="EB640" s="1403"/>
      <c r="EC640" s="1403" t="e">
        <f t="shared" si="3"/>
        <v>#VALUE!</v>
      </c>
      <c r="ED640" s="1403"/>
      <c r="EE640" s="1403"/>
      <c r="EF640" s="1403"/>
      <c r="EG640" s="1403"/>
      <c r="EH640" s="1403" t="e">
        <f t="shared" si="4"/>
        <v>#VALUE!</v>
      </c>
      <c r="EI640" s="1403"/>
      <c r="EJ640" s="1403"/>
      <c r="EK640" s="1403"/>
      <c r="EL640" s="1403"/>
      <c r="EM640" s="1403">
        <f t="shared" si="5"/>
        <v>220.79999999999998</v>
      </c>
      <c r="EN640" s="1403"/>
      <c r="EO640" s="1403"/>
      <c r="EP640" s="1403"/>
      <c r="EQ640" s="1403"/>
      <c r="ER640" s="1403" t="e">
        <f t="shared" si="6"/>
        <v>#VALUE!</v>
      </c>
      <c r="ES640" s="1403"/>
      <c r="ET640" s="1403"/>
      <c r="EU640" s="1403"/>
      <c r="EV640" s="1403"/>
      <c r="EW640" s="1403" t="e">
        <f t="shared" si="7"/>
        <v>#VALUE!</v>
      </c>
      <c r="EX640" s="1403"/>
      <c r="EY640" s="1403"/>
      <c r="EZ640" s="1403"/>
      <c r="FA640" s="1403"/>
    </row>
    <row r="641" spans="1:157" ht="13.15" customHeight="1">
      <c r="B641" s="1434" t="s">
        <v>1442</v>
      </c>
      <c r="C641" s="1435"/>
      <c r="D641" s="1435"/>
      <c r="E641" s="1435"/>
      <c r="F641" s="1435"/>
      <c r="G641" s="1435"/>
      <c r="H641" s="1435"/>
      <c r="I641" s="1435"/>
      <c r="J641" s="1435"/>
      <c r="K641" s="1435"/>
      <c r="L641" s="1435"/>
      <c r="M641" s="1435"/>
      <c r="N641" s="1435"/>
      <c r="O641" s="1435"/>
      <c r="P641" s="1435"/>
      <c r="Q641" s="1435"/>
      <c r="R641" s="1435"/>
      <c r="S641" s="1435"/>
      <c r="T641" s="1435"/>
      <c r="U641" s="1435"/>
      <c r="V641" s="1435"/>
      <c r="W641" s="1435"/>
      <c r="X641" s="1435"/>
      <c r="Y641" s="1435"/>
      <c r="Z641" s="1435"/>
      <c r="AA641" s="1435"/>
      <c r="AB641" s="1435"/>
      <c r="AC641" s="1435"/>
      <c r="AD641" s="1435"/>
      <c r="AE641" s="1435"/>
      <c r="AF641" s="1435"/>
      <c r="AG641" s="1435"/>
      <c r="AH641" s="1435"/>
      <c r="AI641" s="1435"/>
      <c r="AJ641" s="1435"/>
      <c r="AK641" s="1435"/>
      <c r="AL641" s="1435"/>
      <c r="AM641" s="1435"/>
      <c r="AN641" s="1436"/>
      <c r="AO641" s="1561">
        <f>AO639+AO640</f>
        <v>88827994</v>
      </c>
      <c r="AP641" s="1562"/>
      <c r="AQ641" s="1562"/>
      <c r="AR641" s="1562"/>
      <c r="AS641" s="1563"/>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3" t="e">
        <f t="shared" si="2"/>
        <v>#VALUE!</v>
      </c>
      <c r="DY641" s="1403"/>
      <c r="DZ641" s="1403"/>
      <c r="EA641" s="1403"/>
      <c r="EB641" s="1403"/>
      <c r="EC641" s="1403">
        <f t="shared" si="3"/>
        <v>727.52808988764048</v>
      </c>
      <c r="ED641" s="1403"/>
      <c r="EE641" s="1403"/>
      <c r="EF641" s="1403"/>
      <c r="EG641" s="1403"/>
      <c r="EH641" s="1403" t="e">
        <f t="shared" si="4"/>
        <v>#VALUE!</v>
      </c>
      <c r="EI641" s="1403"/>
      <c r="EJ641" s="1403"/>
      <c r="EK641" s="1403"/>
      <c r="EL641" s="1403"/>
      <c r="EM641" s="1403" t="e">
        <f t="shared" si="5"/>
        <v>#VALUE!</v>
      </c>
      <c r="EN641" s="1403"/>
      <c r="EO641" s="1403"/>
      <c r="EP641" s="1403"/>
      <c r="EQ641" s="1403"/>
      <c r="ER641" s="1403" t="e">
        <f t="shared" si="6"/>
        <v>#VALUE!</v>
      </c>
      <c r="ES641" s="1403"/>
      <c r="ET641" s="1403"/>
      <c r="EU641" s="1403"/>
      <c r="EV641" s="1403"/>
      <c r="EW641" s="1403" t="e">
        <f t="shared" si="7"/>
        <v>#VALUE!</v>
      </c>
      <c r="EX641" s="1403"/>
      <c r="EY641" s="1403"/>
      <c r="EZ641" s="1403"/>
      <c r="FA641" s="1403"/>
    </row>
    <row r="642" spans="1:157" ht="13.1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3" t="e">
        <f t="shared" si="2"/>
        <v>#VALUE!</v>
      </c>
      <c r="DY642" s="1403"/>
      <c r="DZ642" s="1403"/>
      <c r="EA642" s="1403"/>
      <c r="EB642" s="1403"/>
      <c r="EC642" s="1403" t="e">
        <f t="shared" si="3"/>
        <v>#VALUE!</v>
      </c>
      <c r="ED642" s="1403"/>
      <c r="EE642" s="1403"/>
      <c r="EF642" s="1403"/>
      <c r="EG642" s="1403"/>
      <c r="EH642" s="1403">
        <f t="shared" si="4"/>
        <v>901.71428571428567</v>
      </c>
      <c r="EI642" s="1403"/>
      <c r="EJ642" s="1403"/>
      <c r="EK642" s="1403"/>
      <c r="EL642" s="1403"/>
      <c r="EM642" s="1403" t="e">
        <f t="shared" si="5"/>
        <v>#VALUE!</v>
      </c>
      <c r="EN642" s="1403"/>
      <c r="EO642" s="1403"/>
      <c r="EP642" s="1403"/>
      <c r="EQ642" s="1403"/>
      <c r="ER642" s="1403" t="e">
        <f t="shared" si="6"/>
        <v>#VALUE!</v>
      </c>
      <c r="ES642" s="1403"/>
      <c r="ET642" s="1403"/>
      <c r="EU642" s="1403"/>
      <c r="EV642" s="1403"/>
      <c r="EW642" s="1403" t="e">
        <f t="shared" si="7"/>
        <v>#VALUE!</v>
      </c>
      <c r="EX642" s="1403"/>
      <c r="EY642" s="1403"/>
      <c r="EZ642" s="1403"/>
      <c r="FA642" s="1403"/>
    </row>
    <row r="643" spans="1:157" ht="13.15" customHeight="1">
      <c r="A643" s="47" t="s">
        <v>18</v>
      </c>
      <c r="B643" t="s">
        <v>1413</v>
      </c>
      <c r="G643" s="1320" t="str">
        <f>C627</f>
        <v>Cal Bank &amp; Trust</v>
      </c>
      <c r="H643" s="1320"/>
      <c r="I643" s="1320"/>
      <c r="J643" s="1320"/>
      <c r="K643" s="1320"/>
      <c r="L643" s="1320"/>
      <c r="M643" s="1320"/>
      <c r="N643" s="1320"/>
      <c r="O643" s="1320"/>
      <c r="P643" s="1320"/>
      <c r="Q643" s="1320"/>
      <c r="R643" s="1320"/>
      <c r="S643" s="7"/>
      <c r="T643" s="47" t="s">
        <v>31</v>
      </c>
      <c r="U643" t="s">
        <v>1413</v>
      </c>
      <c r="Z643" s="1320" t="str">
        <f>C628</f>
        <v>Deferred Developer Fee</v>
      </c>
      <c r="AA643" s="1320"/>
      <c r="AB643" s="1320"/>
      <c r="AC643" s="1320"/>
      <c r="AD643" s="1320"/>
      <c r="AE643" s="1320"/>
      <c r="AF643" s="1320"/>
      <c r="AG643" s="1320"/>
      <c r="AH643" s="1320"/>
      <c r="AI643" s="1320"/>
      <c r="AJ643" s="1320"/>
      <c r="AK643" s="1320"/>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3" t="e">
        <f t="shared" si="2"/>
        <v>#VALUE!</v>
      </c>
      <c r="DY643" s="1403"/>
      <c r="DZ643" s="1403"/>
      <c r="EA643" s="1403"/>
      <c r="EB643" s="1403"/>
      <c r="EC643" s="1403" t="e">
        <f t="shared" si="3"/>
        <v>#VALUE!</v>
      </c>
      <c r="ED643" s="1403"/>
      <c r="EE643" s="1403"/>
      <c r="EF643" s="1403"/>
      <c r="EG643" s="1403"/>
      <c r="EH643" s="1403" t="e">
        <f t="shared" si="4"/>
        <v>#VALUE!</v>
      </c>
      <c r="EI643" s="1403"/>
      <c r="EJ643" s="1403"/>
      <c r="EK643" s="1403"/>
      <c r="EL643" s="1403"/>
      <c r="EM643" s="1403">
        <f t="shared" si="5"/>
        <v>931.63636363636363</v>
      </c>
      <c r="EN643" s="1403"/>
      <c r="EO643" s="1403"/>
      <c r="EP643" s="1403"/>
      <c r="EQ643" s="1403"/>
      <c r="ER643" s="1403" t="e">
        <f t="shared" si="6"/>
        <v>#VALUE!</v>
      </c>
      <c r="ES643" s="1403"/>
      <c r="ET643" s="1403"/>
      <c r="EU643" s="1403"/>
      <c r="EV643" s="1403"/>
      <c r="EW643" s="1403" t="e">
        <f t="shared" si="7"/>
        <v>#VALUE!</v>
      </c>
      <c r="EX643" s="1403"/>
      <c r="EY643" s="1403"/>
      <c r="EZ643" s="1403"/>
      <c r="FA643" s="1403"/>
    </row>
    <row r="644" spans="1:157" ht="13.15" customHeight="1">
      <c r="A644" s="19"/>
      <c r="B644" t="s">
        <v>1060</v>
      </c>
      <c r="G644" s="1333" t="s">
        <v>1414</v>
      </c>
      <c r="H644" s="1333"/>
      <c r="I644" s="1333"/>
      <c r="J644" s="1333"/>
      <c r="K644" s="1333"/>
      <c r="L644" s="1333"/>
      <c r="M644" s="1333"/>
      <c r="N644" s="1333"/>
      <c r="O644" s="1333"/>
      <c r="P644" s="1333"/>
      <c r="Q644" s="1333"/>
      <c r="R644" s="1333"/>
      <c r="S644" s="7"/>
      <c r="T644" s="19"/>
      <c r="U644" t="s">
        <v>1060</v>
      </c>
      <c r="Z644" s="1333" t="s">
        <v>1425</v>
      </c>
      <c r="AA644" s="1333"/>
      <c r="AB644" s="1333"/>
      <c r="AC644" s="1333"/>
      <c r="AD644" s="1333"/>
      <c r="AE644" s="1333"/>
      <c r="AF644" s="1333"/>
      <c r="AG644" s="1333"/>
      <c r="AH644" s="1333"/>
      <c r="AI644" s="1333"/>
      <c r="AJ644" s="1333"/>
      <c r="AK644" s="1333"/>
      <c r="AV644" s="3"/>
      <c r="AW644" s="3"/>
      <c r="AX644" s="3"/>
      <c r="AY644" s="3"/>
      <c r="AZ644" s="3"/>
      <c r="BA644" s="3"/>
      <c r="BB644" s="3"/>
      <c r="BC644" s="3"/>
      <c r="BD644" s="3"/>
      <c r="BE644" s="3"/>
      <c r="BF644" s="3"/>
      <c r="BG644" s="3"/>
      <c r="BH644" s="3"/>
      <c r="BI644" s="3"/>
      <c r="BJ644" s="3"/>
      <c r="BK644" s="3"/>
      <c r="BL644" s="3"/>
      <c r="BM644" s="3"/>
      <c r="DX644" s="1403" t="e">
        <f t="shared" si="2"/>
        <v>#VALUE!</v>
      </c>
      <c r="DY644" s="1403"/>
      <c r="DZ644" s="1403"/>
      <c r="EA644" s="1403"/>
      <c r="EB644" s="1403"/>
      <c r="EC644" s="1403">
        <f t="shared" si="3"/>
        <v>529.77528089887642</v>
      </c>
      <c r="ED644" s="1403"/>
      <c r="EE644" s="1403"/>
      <c r="EF644" s="1403"/>
      <c r="EG644" s="1403"/>
      <c r="EH644" s="1403" t="e">
        <f t="shared" si="4"/>
        <v>#VALUE!</v>
      </c>
      <c r="EI644" s="1403"/>
      <c r="EJ644" s="1403"/>
      <c r="EK644" s="1403"/>
      <c r="EL644" s="1403"/>
      <c r="EM644" s="1403" t="e">
        <f t="shared" si="5"/>
        <v>#VALUE!</v>
      </c>
      <c r="EN644" s="1403"/>
      <c r="EO644" s="1403"/>
      <c r="EP644" s="1403"/>
      <c r="EQ644" s="1403"/>
      <c r="ER644" s="1403" t="e">
        <f t="shared" si="6"/>
        <v>#VALUE!</v>
      </c>
      <c r="ES644" s="1403"/>
      <c r="ET644" s="1403"/>
      <c r="EU644" s="1403"/>
      <c r="EV644" s="1403"/>
      <c r="EW644" s="1403" t="e">
        <f t="shared" si="7"/>
        <v>#VALUE!</v>
      </c>
      <c r="EX644" s="1403"/>
      <c r="EY644" s="1403"/>
      <c r="EZ644" s="1403"/>
      <c r="FA644" s="1403"/>
    </row>
    <row r="645" spans="1:157" ht="13.15" customHeight="1">
      <c r="A645" s="19"/>
      <c r="B645" t="s">
        <v>928</v>
      </c>
      <c r="G645" s="1333" t="s">
        <v>1415</v>
      </c>
      <c r="H645" s="1333"/>
      <c r="I645" s="1333"/>
      <c r="J645" s="1333"/>
      <c r="K645" s="1333"/>
      <c r="L645" s="1333"/>
      <c r="M645" s="1333"/>
      <c r="N645" s="1333"/>
      <c r="O645" s="1333"/>
      <c r="P645" s="1333"/>
      <c r="Q645" s="1333"/>
      <c r="R645" s="1333"/>
      <c r="T645" s="19"/>
      <c r="U645" t="s">
        <v>928</v>
      </c>
      <c r="Z645" s="1310" t="s">
        <v>1124</v>
      </c>
      <c r="AA645" s="1310"/>
      <c r="AB645" s="1310"/>
      <c r="AC645" s="1310"/>
      <c r="AD645" s="1310"/>
      <c r="AE645" s="1310"/>
      <c r="AF645" s="1310"/>
      <c r="AG645" s="1310"/>
      <c r="AH645" s="1310"/>
      <c r="AI645" s="1310"/>
      <c r="AJ645" s="1310"/>
      <c r="AK645" s="1310"/>
      <c r="AV645" s="3"/>
      <c r="AW645" s="3"/>
      <c r="AX645" s="3"/>
      <c r="AY645" s="3"/>
      <c r="AZ645" s="3"/>
      <c r="BA645" s="3"/>
      <c r="BB645" s="3"/>
      <c r="BC645" s="3"/>
      <c r="BD645" s="3"/>
      <c r="BE645" s="3"/>
      <c r="BF645" s="3"/>
      <c r="BG645" s="3"/>
      <c r="BH645" s="3"/>
      <c r="BI645" s="3"/>
      <c r="BJ645" s="3"/>
      <c r="BK645" s="3"/>
      <c r="BL645" s="3"/>
      <c r="BM645" s="3"/>
      <c r="DX645" s="1403" t="e">
        <f t="shared" si="2"/>
        <v>#VALUE!</v>
      </c>
      <c r="DY645" s="1403"/>
      <c r="DZ645" s="1403"/>
      <c r="EA645" s="1403"/>
      <c r="EB645" s="1403"/>
      <c r="EC645" s="1403" t="e">
        <f t="shared" si="3"/>
        <v>#VALUE!</v>
      </c>
      <c r="ED645" s="1403"/>
      <c r="EE645" s="1403"/>
      <c r="EF645" s="1403"/>
      <c r="EG645" s="1403"/>
      <c r="EH645" s="1403">
        <f t="shared" si="4"/>
        <v>804.57142857142856</v>
      </c>
      <c r="EI645" s="1403"/>
      <c r="EJ645" s="1403"/>
      <c r="EK645" s="1403"/>
      <c r="EL645" s="1403"/>
      <c r="EM645" s="1403" t="e">
        <f t="shared" si="5"/>
        <v>#VALUE!</v>
      </c>
      <c r="EN645" s="1403"/>
      <c r="EO645" s="1403"/>
      <c r="EP645" s="1403"/>
      <c r="EQ645" s="1403"/>
      <c r="ER645" s="1403" t="e">
        <f t="shared" si="6"/>
        <v>#VALUE!</v>
      </c>
      <c r="ES645" s="1403"/>
      <c r="ET645" s="1403"/>
      <c r="EU645" s="1403"/>
      <c r="EV645" s="1403"/>
      <c r="EW645" s="1403" t="e">
        <f t="shared" si="7"/>
        <v>#VALUE!</v>
      </c>
      <c r="EX645" s="1403"/>
      <c r="EY645" s="1403"/>
      <c r="EZ645" s="1403"/>
      <c r="FA645" s="1403"/>
    </row>
    <row r="646" spans="1:157" ht="13.15" customHeight="1">
      <c r="A646" s="19"/>
      <c r="B646" t="s">
        <v>1416</v>
      </c>
      <c r="G646" s="1333" t="s">
        <v>1417</v>
      </c>
      <c r="H646" s="1333"/>
      <c r="I646" s="1333"/>
      <c r="J646" s="1333"/>
      <c r="K646" s="1333"/>
      <c r="L646" s="1333"/>
      <c r="M646" s="1333"/>
      <c r="N646" s="1333"/>
      <c r="O646" s="1333"/>
      <c r="P646" s="1333"/>
      <c r="Q646" s="1333"/>
      <c r="R646" s="1333"/>
      <c r="S646" s="7"/>
      <c r="T646" s="19"/>
      <c r="U646" t="s">
        <v>1416</v>
      </c>
      <c r="Z646" s="1310" t="s">
        <v>1066</v>
      </c>
      <c r="AA646" s="1310"/>
      <c r="AB646" s="1310"/>
      <c r="AC646" s="1310"/>
      <c r="AD646" s="1310"/>
      <c r="AE646" s="1310"/>
      <c r="AF646" s="1310"/>
      <c r="AG646" s="1310"/>
      <c r="AH646" s="1310"/>
      <c r="AI646" s="1310"/>
      <c r="AJ646" s="1310"/>
      <c r="AK646" s="1310"/>
      <c r="AZ646" s="3"/>
      <c r="BA646" s="3"/>
      <c r="BB646" s="3"/>
      <c r="BC646" s="3"/>
      <c r="BD646" s="3"/>
      <c r="BE646" s="3"/>
      <c r="BF646" s="3"/>
      <c r="BG646" s="3"/>
      <c r="BH646" s="3"/>
      <c r="BI646" s="3"/>
      <c r="BJ646" s="3"/>
      <c r="BK646" s="3"/>
      <c r="BL646" s="3"/>
      <c r="BM646" s="3"/>
      <c r="DX646" s="1403" t="e">
        <f t="shared" si="2"/>
        <v>#VALUE!</v>
      </c>
      <c r="DY646" s="1403"/>
      <c r="DZ646" s="1403"/>
      <c r="EA646" s="1403"/>
      <c r="EB646" s="1403"/>
      <c r="EC646" s="1403" t="e">
        <f t="shared" si="3"/>
        <v>#VALUE!</v>
      </c>
      <c r="ED646" s="1403"/>
      <c r="EE646" s="1403"/>
      <c r="EF646" s="1403"/>
      <c r="EG646" s="1403"/>
      <c r="EH646" s="1403" t="e">
        <f t="shared" si="4"/>
        <v>#VALUE!</v>
      </c>
      <c r="EI646" s="1403"/>
      <c r="EJ646" s="1403"/>
      <c r="EK646" s="1403"/>
      <c r="EL646" s="1403"/>
      <c r="EM646" s="1403">
        <f t="shared" si="5"/>
        <v>1038.1818181818182</v>
      </c>
      <c r="EN646" s="1403"/>
      <c r="EO646" s="1403"/>
      <c r="EP646" s="1403"/>
      <c r="EQ646" s="1403"/>
      <c r="ER646" s="1403" t="e">
        <f t="shared" si="6"/>
        <v>#VALUE!</v>
      </c>
      <c r="ES646" s="1403"/>
      <c r="ET646" s="1403"/>
      <c r="EU646" s="1403"/>
      <c r="EV646" s="1403"/>
      <c r="EW646" s="1403" t="e">
        <f t="shared" si="7"/>
        <v>#VALUE!</v>
      </c>
      <c r="EX646" s="1403"/>
      <c r="EY646" s="1403"/>
      <c r="EZ646" s="1403"/>
      <c r="FA646" s="1403"/>
    </row>
    <row r="647" spans="1:157" ht="13.15" customHeight="1">
      <c r="A647" s="19"/>
      <c r="B647" t="s">
        <v>821</v>
      </c>
      <c r="G647" s="1308" t="s">
        <v>1418</v>
      </c>
      <c r="H647" s="1308"/>
      <c r="I647" s="1308"/>
      <c r="J647" s="1308"/>
      <c r="K647" s="1308"/>
      <c r="L647" s="1308"/>
      <c r="O647" s="923" t="s">
        <v>1069</v>
      </c>
      <c r="P647" s="1395"/>
      <c r="Q647" s="1395"/>
      <c r="R647" s="1395"/>
      <c r="S647" s="9"/>
      <c r="T647" s="19"/>
      <c r="U647" t="s">
        <v>821</v>
      </c>
      <c r="Z647" s="1308" t="s">
        <v>1426</v>
      </c>
      <c r="AA647" s="1308"/>
      <c r="AB647" s="1308"/>
      <c r="AC647" s="1308"/>
      <c r="AD647" s="1308"/>
      <c r="AE647" s="1308"/>
      <c r="AH647" s="923" t="s">
        <v>1069</v>
      </c>
      <c r="AI647" s="1395"/>
      <c r="AJ647" s="1395"/>
      <c r="AK647" s="1395"/>
      <c r="AZ647" s="3"/>
      <c r="BA647" s="3"/>
      <c r="BB647" s="3"/>
      <c r="BC647" s="3"/>
      <c r="BD647" s="3"/>
      <c r="BE647" s="3"/>
      <c r="BF647" s="3"/>
      <c r="BG647" s="3"/>
      <c r="BH647" s="3"/>
      <c r="BI647" s="3"/>
      <c r="BJ647" s="3"/>
      <c r="BK647" s="3"/>
      <c r="BL647" s="3"/>
      <c r="BM647" s="3"/>
      <c r="DX647" s="1403" t="e">
        <f t="shared" si="2"/>
        <v>#VALUE!</v>
      </c>
      <c r="DY647" s="1403"/>
      <c r="DZ647" s="1403"/>
      <c r="EA647" s="1403"/>
      <c r="EB647" s="1403"/>
      <c r="EC647" s="1403" t="e">
        <f t="shared" si="3"/>
        <v>#VALUE!</v>
      </c>
      <c r="ED647" s="1403"/>
      <c r="EE647" s="1403"/>
      <c r="EF647" s="1403"/>
      <c r="EG647" s="1403"/>
      <c r="EH647" s="1403" t="e">
        <f t="shared" si="4"/>
        <v>#VALUE!</v>
      </c>
      <c r="EI647" s="1403"/>
      <c r="EJ647" s="1403"/>
      <c r="EK647" s="1403"/>
      <c r="EL647" s="1403"/>
      <c r="EM647" s="1403" t="e">
        <f t="shared" si="5"/>
        <v>#VALUE!</v>
      </c>
      <c r="EN647" s="1403"/>
      <c r="EO647" s="1403"/>
      <c r="EP647" s="1403"/>
      <c r="EQ647" s="1403"/>
      <c r="ER647" s="1403" t="e">
        <f t="shared" si="6"/>
        <v>#VALUE!</v>
      </c>
      <c r="ES647" s="1403"/>
      <c r="ET647" s="1403"/>
      <c r="EU647" s="1403"/>
      <c r="EV647" s="1403"/>
      <c r="EW647" s="1403" t="e">
        <f t="shared" si="7"/>
        <v>#VALUE!</v>
      </c>
      <c r="EX647" s="1403"/>
      <c r="EY647" s="1403"/>
      <c r="EZ647" s="1403"/>
      <c r="FA647" s="1403"/>
    </row>
    <row r="648" spans="1:157" ht="13.15" customHeight="1">
      <c r="A648" s="19"/>
      <c r="B648" t="s">
        <v>1419</v>
      </c>
      <c r="H648" s="1333" t="s">
        <v>1443</v>
      </c>
      <c r="I648" s="1333"/>
      <c r="J648" s="1333"/>
      <c r="K648" s="1333"/>
      <c r="L648" s="1333"/>
      <c r="M648" s="1333"/>
      <c r="N648" s="1333"/>
      <c r="O648" s="1333"/>
      <c r="P648" s="1333"/>
      <c r="Q648" s="1333"/>
      <c r="R648" s="1333"/>
      <c r="S648" s="7"/>
      <c r="T648" s="19"/>
      <c r="U648" t="s">
        <v>1419</v>
      </c>
      <c r="AA648" s="1333" t="s">
        <v>1428</v>
      </c>
      <c r="AB648" s="1333"/>
      <c r="AC648" s="1333"/>
      <c r="AD648" s="1333"/>
      <c r="AE648" s="1333"/>
      <c r="AF648" s="1333"/>
      <c r="AG648" s="1333"/>
      <c r="AH648" s="1333"/>
      <c r="AI648" s="1333"/>
      <c r="AJ648" s="1333"/>
      <c r="AK648" s="1333"/>
      <c r="AZ648" s="3"/>
      <c r="BA648" s="3"/>
      <c r="BB648" s="3"/>
      <c r="BC648" s="3"/>
      <c r="BD648" s="3"/>
      <c r="BE648" s="3"/>
      <c r="BF648" s="3"/>
      <c r="BG648" s="3"/>
      <c r="BH648" s="3"/>
      <c r="BI648" s="3"/>
      <c r="BJ648" s="3"/>
      <c r="BK648" s="3"/>
      <c r="BL648" s="3"/>
      <c r="BM648" s="3"/>
      <c r="DX648" s="1403" t="e">
        <f t="shared" si="2"/>
        <v>#VALUE!</v>
      </c>
      <c r="DY648" s="1403"/>
      <c r="DZ648" s="1403"/>
      <c r="EA648" s="1403"/>
      <c r="EB648" s="1403"/>
      <c r="EC648" s="1403" t="e">
        <f t="shared" si="3"/>
        <v>#VALUE!</v>
      </c>
      <c r="ED648" s="1403"/>
      <c r="EE648" s="1403"/>
      <c r="EF648" s="1403"/>
      <c r="EG648" s="1403"/>
      <c r="EH648" s="1403" t="e">
        <f t="shared" si="4"/>
        <v>#VALUE!</v>
      </c>
      <c r="EI648" s="1403"/>
      <c r="EJ648" s="1403"/>
      <c r="EK648" s="1403"/>
      <c r="EL648" s="1403"/>
      <c r="EM648" s="1403" t="e">
        <f t="shared" si="5"/>
        <v>#VALUE!</v>
      </c>
      <c r="EN648" s="1403"/>
      <c r="EO648" s="1403"/>
      <c r="EP648" s="1403"/>
      <c r="EQ648" s="1403"/>
      <c r="ER648" s="1403" t="e">
        <f t="shared" si="6"/>
        <v>#VALUE!</v>
      </c>
      <c r="ES648" s="1403"/>
      <c r="ET648" s="1403"/>
      <c r="EU648" s="1403"/>
      <c r="EV648" s="1403"/>
      <c r="EW648" s="1403" t="e">
        <f t="shared" si="7"/>
        <v>#VALUE!</v>
      </c>
      <c r="EX648" s="1403"/>
      <c r="EY648" s="1403"/>
      <c r="EZ648" s="1403"/>
      <c r="FA648" s="1403"/>
    </row>
    <row r="649" spans="1:157" ht="13.15" customHeight="1">
      <c r="A649" s="19"/>
      <c r="B649" t="s">
        <v>1424</v>
      </c>
      <c r="N649" s="1294" t="s">
        <v>843</v>
      </c>
      <c r="O649" s="1294"/>
      <c r="T649" s="19"/>
      <c r="U649" t="s">
        <v>1424</v>
      </c>
      <c r="AG649" s="1294" t="s">
        <v>843</v>
      </c>
      <c r="AH649" s="1294"/>
      <c r="AZ649" s="3"/>
      <c r="BA649" s="3"/>
      <c r="BB649" s="3"/>
      <c r="BC649" s="3"/>
      <c r="BD649" s="3"/>
      <c r="BE649" s="3"/>
      <c r="BF649" s="3"/>
      <c r="BG649" s="3"/>
      <c r="BH649" s="3"/>
      <c r="BI649" s="3"/>
      <c r="BJ649" s="3"/>
      <c r="BK649" s="3"/>
      <c r="BL649" s="3"/>
      <c r="BM649" s="3"/>
      <c r="DX649" s="1403" t="e">
        <f t="shared" si="2"/>
        <v>#VALUE!</v>
      </c>
      <c r="DY649" s="1403"/>
      <c r="DZ649" s="1403"/>
      <c r="EA649" s="1403"/>
      <c r="EB649" s="1403"/>
      <c r="EC649" s="1403" t="e">
        <f t="shared" si="3"/>
        <v>#VALUE!</v>
      </c>
      <c r="ED649" s="1403"/>
      <c r="EE649" s="1403"/>
      <c r="EF649" s="1403"/>
      <c r="EG649" s="1403"/>
      <c r="EH649" s="1403" t="e">
        <f t="shared" si="4"/>
        <v>#VALUE!</v>
      </c>
      <c r="EI649" s="1403"/>
      <c r="EJ649" s="1403"/>
      <c r="EK649" s="1403"/>
      <c r="EL649" s="1403"/>
      <c r="EM649" s="1403" t="e">
        <f t="shared" si="5"/>
        <v>#VALUE!</v>
      </c>
      <c r="EN649" s="1403"/>
      <c r="EO649" s="1403"/>
      <c r="EP649" s="1403"/>
      <c r="EQ649" s="1403"/>
      <c r="ER649" s="1403" t="e">
        <f t="shared" si="6"/>
        <v>#VALUE!</v>
      </c>
      <c r="ES649" s="1403"/>
      <c r="ET649" s="1403"/>
      <c r="EU649" s="1403"/>
      <c r="EV649" s="1403"/>
      <c r="EW649" s="1403" t="e">
        <f t="shared" si="7"/>
        <v>#VALUE!</v>
      </c>
      <c r="EX649" s="1403"/>
      <c r="EY649" s="1403"/>
      <c r="EZ649" s="1403"/>
      <c r="FA649" s="1403"/>
    </row>
    <row r="650" spans="1:157" ht="13.15" customHeight="1">
      <c r="A650" s="19"/>
      <c r="T650" s="19"/>
      <c r="AZ650" s="3"/>
      <c r="BA650" s="3"/>
      <c r="BB650" s="3"/>
      <c r="BC650" s="3"/>
      <c r="BD650" s="3"/>
      <c r="BE650" s="3"/>
      <c r="BF650" s="3"/>
      <c r="BG650" s="3"/>
      <c r="BH650" s="3"/>
      <c r="BI650" s="3"/>
      <c r="BJ650" s="3"/>
      <c r="BK650" s="3"/>
      <c r="BL650" s="3"/>
      <c r="BM650" s="3"/>
      <c r="DX650" s="1403" t="e">
        <f t="shared" si="2"/>
        <v>#VALUE!</v>
      </c>
      <c r="DY650" s="1403"/>
      <c r="DZ650" s="1403"/>
      <c r="EA650" s="1403"/>
      <c r="EB650" s="1403"/>
      <c r="EC650" s="1403" t="e">
        <f t="shared" si="3"/>
        <v>#VALUE!</v>
      </c>
      <c r="ED650" s="1403"/>
      <c r="EE650" s="1403"/>
      <c r="EF650" s="1403"/>
      <c r="EG650" s="1403"/>
      <c r="EH650" s="1403" t="e">
        <f t="shared" si="4"/>
        <v>#VALUE!</v>
      </c>
      <c r="EI650" s="1403"/>
      <c r="EJ650" s="1403"/>
      <c r="EK650" s="1403"/>
      <c r="EL650" s="1403"/>
      <c r="EM650" s="1403" t="e">
        <f t="shared" si="5"/>
        <v>#VALUE!</v>
      </c>
      <c r="EN650" s="1403"/>
      <c r="EO650" s="1403"/>
      <c r="EP650" s="1403"/>
      <c r="EQ650" s="1403"/>
      <c r="ER650" s="1403" t="e">
        <f t="shared" si="6"/>
        <v>#VALUE!</v>
      </c>
      <c r="ES650" s="1403"/>
      <c r="ET650" s="1403"/>
      <c r="EU650" s="1403"/>
      <c r="EV650" s="1403"/>
      <c r="EW650" s="1403" t="e">
        <f t="shared" si="7"/>
        <v>#VALUE!</v>
      </c>
      <c r="EX650" s="1403"/>
      <c r="EY650" s="1403"/>
      <c r="EZ650" s="1403"/>
      <c r="FA650" s="1403"/>
    </row>
    <row r="651" spans="1:157" ht="13.15" customHeight="1">
      <c r="A651" s="47" t="s">
        <v>39</v>
      </c>
      <c r="B651" t="s">
        <v>1413</v>
      </c>
      <c r="G651" s="1320" t="str">
        <f>C629</f>
        <v>Stifel</v>
      </c>
      <c r="H651" s="1320"/>
      <c r="I651" s="1320"/>
      <c r="J651" s="1320"/>
      <c r="K651" s="1320"/>
      <c r="L651" s="1320"/>
      <c r="M651" s="1320"/>
      <c r="N651" s="1320"/>
      <c r="O651" s="1320"/>
      <c r="P651" s="1320"/>
      <c r="Q651" s="1320"/>
      <c r="R651" s="1320"/>
      <c r="T651" s="47" t="s">
        <v>82</v>
      </c>
      <c r="U651" t="s">
        <v>1413</v>
      </c>
      <c r="Z651" s="1320">
        <f>C630</f>
        <v>0</v>
      </c>
      <c r="AA651" s="1320"/>
      <c r="AB651" s="1320"/>
      <c r="AC651" s="1320"/>
      <c r="AD651" s="1320"/>
      <c r="AE651" s="1320"/>
      <c r="AF651" s="1320"/>
      <c r="AG651" s="1320"/>
      <c r="AH651" s="1320"/>
      <c r="AI651" s="1320"/>
      <c r="AJ651" s="1320"/>
      <c r="AK651" s="1320"/>
      <c r="AZ651" s="3"/>
      <c r="BA651" s="3"/>
      <c r="BB651" s="3"/>
      <c r="BC651" s="3"/>
      <c r="BD651" s="3"/>
      <c r="BE651" s="3"/>
      <c r="BF651" s="3"/>
      <c r="BG651" s="3"/>
      <c r="BH651" s="3"/>
      <c r="BI651" s="3"/>
      <c r="BJ651" s="3"/>
      <c r="BK651" s="3"/>
      <c r="BL651" s="3"/>
      <c r="BM651" s="3"/>
      <c r="DX651" s="1403" t="e">
        <f t="shared" si="2"/>
        <v>#VALUE!</v>
      </c>
      <c r="DY651" s="1403"/>
      <c r="DZ651" s="1403"/>
      <c r="EA651" s="1403"/>
      <c r="EB651" s="1403"/>
      <c r="EC651" s="1403" t="e">
        <f t="shared" si="3"/>
        <v>#VALUE!</v>
      </c>
      <c r="ED651" s="1403"/>
      <c r="EE651" s="1403"/>
      <c r="EF651" s="1403"/>
      <c r="EG651" s="1403"/>
      <c r="EH651" s="1403" t="e">
        <f t="shared" si="4"/>
        <v>#VALUE!</v>
      </c>
      <c r="EI651" s="1403"/>
      <c r="EJ651" s="1403"/>
      <c r="EK651" s="1403"/>
      <c r="EL651" s="1403"/>
      <c r="EM651" s="1403" t="e">
        <f t="shared" si="5"/>
        <v>#VALUE!</v>
      </c>
      <c r="EN651" s="1403"/>
      <c r="EO651" s="1403"/>
      <c r="EP651" s="1403"/>
      <c r="EQ651" s="1403"/>
      <c r="ER651" s="1403" t="e">
        <f t="shared" si="6"/>
        <v>#VALUE!</v>
      </c>
      <c r="ES651" s="1403"/>
      <c r="ET651" s="1403"/>
      <c r="EU651" s="1403"/>
      <c r="EV651" s="1403"/>
      <c r="EW651" s="1403" t="e">
        <f t="shared" si="7"/>
        <v>#VALUE!</v>
      </c>
      <c r="EX651" s="1403"/>
      <c r="EY651" s="1403"/>
      <c r="EZ651" s="1403"/>
      <c r="FA651" s="1403"/>
    </row>
    <row r="652" spans="1:157" ht="13.15" customHeight="1">
      <c r="A652" s="19"/>
      <c r="B652" t="s">
        <v>1060</v>
      </c>
      <c r="G652" s="1333" t="s">
        <v>2742</v>
      </c>
      <c r="H652" s="1333"/>
      <c r="I652" s="1333"/>
      <c r="J652" s="1333"/>
      <c r="K652" s="1333"/>
      <c r="L652" s="1333"/>
      <c r="M652" s="1333"/>
      <c r="N652" s="1333"/>
      <c r="O652" s="1333"/>
      <c r="P652" s="1333"/>
      <c r="Q652" s="1333"/>
      <c r="R652" s="1333"/>
      <c r="T652" s="19"/>
      <c r="U652" t="s">
        <v>1060</v>
      </c>
      <c r="Z652" s="1333"/>
      <c r="AA652" s="1333"/>
      <c r="AB652" s="1333"/>
      <c r="AC652" s="1333"/>
      <c r="AD652" s="1333"/>
      <c r="AE652" s="1333"/>
      <c r="AF652" s="1333"/>
      <c r="AG652" s="1333"/>
      <c r="AH652" s="1333"/>
      <c r="AI652" s="1333"/>
      <c r="AJ652" s="1333"/>
      <c r="AK652" s="1333"/>
      <c r="AZ652" s="3"/>
      <c r="BA652" s="3"/>
      <c r="BB652" s="3"/>
      <c r="BC652" s="3"/>
      <c r="BD652" s="3"/>
      <c r="BE652" s="3"/>
      <c r="BF652" s="3"/>
      <c r="BG652" s="3"/>
      <c r="BH652" s="3"/>
      <c r="BI652" s="3"/>
      <c r="BJ652" s="3"/>
      <c r="BK652" s="3"/>
      <c r="BL652" s="3"/>
      <c r="BM652" s="3"/>
      <c r="DX652" s="1403" t="e">
        <f t="shared" si="2"/>
        <v>#VALUE!</v>
      </c>
      <c r="DY652" s="1403"/>
      <c r="DZ652" s="1403"/>
      <c r="EA652" s="1403"/>
      <c r="EB652" s="1403"/>
      <c r="EC652" s="1403" t="e">
        <f t="shared" si="3"/>
        <v>#VALUE!</v>
      </c>
      <c r="ED652" s="1403"/>
      <c r="EE652" s="1403"/>
      <c r="EF652" s="1403"/>
      <c r="EG652" s="1403"/>
      <c r="EH652" s="1403" t="e">
        <f t="shared" si="4"/>
        <v>#VALUE!</v>
      </c>
      <c r="EI652" s="1403"/>
      <c r="EJ652" s="1403"/>
      <c r="EK652" s="1403"/>
      <c r="EL652" s="1403"/>
      <c r="EM652" s="1403" t="e">
        <f t="shared" si="5"/>
        <v>#VALUE!</v>
      </c>
      <c r="EN652" s="1403"/>
      <c r="EO652" s="1403"/>
      <c r="EP652" s="1403"/>
      <c r="EQ652" s="1403"/>
      <c r="ER652" s="1403" t="e">
        <f t="shared" si="6"/>
        <v>#VALUE!</v>
      </c>
      <c r="ES652" s="1403"/>
      <c r="ET652" s="1403"/>
      <c r="EU652" s="1403"/>
      <c r="EV652" s="1403"/>
      <c r="EW652" s="1403" t="e">
        <f t="shared" si="7"/>
        <v>#VALUE!</v>
      </c>
      <c r="EX652" s="1403"/>
      <c r="EY652" s="1403"/>
      <c r="EZ652" s="1403"/>
      <c r="FA652" s="1403"/>
    </row>
    <row r="653" spans="1:157" ht="13.15" customHeight="1">
      <c r="A653" s="19"/>
      <c r="B653" t="s">
        <v>928</v>
      </c>
      <c r="G653" s="1310" t="s">
        <v>1151</v>
      </c>
      <c r="H653" s="1310"/>
      <c r="I653" s="1310"/>
      <c r="J653" s="1310"/>
      <c r="K653" s="1310"/>
      <c r="L653" s="1310"/>
      <c r="M653" s="1310"/>
      <c r="N653" s="1310"/>
      <c r="O653" s="1310"/>
      <c r="P653" s="1310"/>
      <c r="Q653" s="1310"/>
      <c r="R653" s="1310"/>
      <c r="T653" s="19"/>
      <c r="U653" t="s">
        <v>928</v>
      </c>
      <c r="Z653" s="1310"/>
      <c r="AA653" s="1310"/>
      <c r="AB653" s="1310"/>
      <c r="AC653" s="1310"/>
      <c r="AD653" s="1310"/>
      <c r="AE653" s="1310"/>
      <c r="AF653" s="1310"/>
      <c r="AG653" s="1310"/>
      <c r="AH653" s="1310"/>
      <c r="AI653" s="1310"/>
      <c r="AJ653" s="1310"/>
      <c r="AK653" s="1310"/>
      <c r="AZ653" s="3"/>
      <c r="BA653" s="3"/>
      <c r="BB653" s="3"/>
      <c r="BC653" s="3"/>
      <c r="BD653" s="3"/>
      <c r="BE653" s="3"/>
      <c r="BF653" s="3"/>
      <c r="BG653" s="3"/>
      <c r="BH653" s="3"/>
      <c r="BI653" s="3"/>
      <c r="BJ653" s="3"/>
      <c r="BK653" s="3"/>
      <c r="BL653" s="3"/>
      <c r="BM653" s="3"/>
      <c r="DX653" s="1403" t="e">
        <f t="shared" si="2"/>
        <v>#VALUE!</v>
      </c>
      <c r="DY653" s="1403"/>
      <c r="DZ653" s="1403"/>
      <c r="EA653" s="1403"/>
      <c r="EB653" s="1403"/>
      <c r="EC653" s="1403" t="e">
        <f t="shared" si="3"/>
        <v>#VALUE!</v>
      </c>
      <c r="ED653" s="1403"/>
      <c r="EE653" s="1403"/>
      <c r="EF653" s="1403"/>
      <c r="EG653" s="1403"/>
      <c r="EH653" s="1403" t="e">
        <f t="shared" si="4"/>
        <v>#VALUE!</v>
      </c>
      <c r="EI653" s="1403"/>
      <c r="EJ653" s="1403"/>
      <c r="EK653" s="1403"/>
      <c r="EL653" s="1403"/>
      <c r="EM653" s="1403" t="e">
        <f t="shared" si="5"/>
        <v>#VALUE!</v>
      </c>
      <c r="EN653" s="1403"/>
      <c r="EO653" s="1403"/>
      <c r="EP653" s="1403"/>
      <c r="EQ653" s="1403"/>
      <c r="ER653" s="1403" t="e">
        <f t="shared" si="6"/>
        <v>#VALUE!</v>
      </c>
      <c r="ES653" s="1403"/>
      <c r="ET653" s="1403"/>
      <c r="EU653" s="1403"/>
      <c r="EV653" s="1403"/>
      <c r="EW653" s="1403" t="e">
        <f t="shared" si="7"/>
        <v>#VALUE!</v>
      </c>
      <c r="EX653" s="1403"/>
      <c r="EY653" s="1403"/>
      <c r="EZ653" s="1403"/>
      <c r="FA653" s="1403"/>
    </row>
    <row r="654" spans="1:157" ht="13.15" customHeight="1">
      <c r="A654" s="19"/>
      <c r="B654" t="s">
        <v>1416</v>
      </c>
      <c r="G654" s="1310" t="s">
        <v>2743</v>
      </c>
      <c r="H654" s="1310"/>
      <c r="I654" s="1310"/>
      <c r="J654" s="1310"/>
      <c r="K654" s="1310"/>
      <c r="L654" s="1310"/>
      <c r="M654" s="1310"/>
      <c r="N654" s="1310"/>
      <c r="O654" s="1310"/>
      <c r="P654" s="1310"/>
      <c r="Q654" s="1310"/>
      <c r="R654" s="1310"/>
      <c r="T654" s="19"/>
      <c r="U654" t="s">
        <v>1416</v>
      </c>
      <c r="Z654" s="1310"/>
      <c r="AA654" s="1310"/>
      <c r="AB654" s="1310"/>
      <c r="AC654" s="1310"/>
      <c r="AD654" s="1310"/>
      <c r="AE654" s="1310"/>
      <c r="AF654" s="1310"/>
      <c r="AG654" s="1310"/>
      <c r="AH654" s="1310"/>
      <c r="AI654" s="1310"/>
      <c r="AJ654" s="1310"/>
      <c r="AK654" s="1310"/>
      <c r="AZ654" s="3"/>
      <c r="BA654" s="3"/>
      <c r="BB654" s="3"/>
      <c r="BC654" s="3"/>
      <c r="BD654" s="3"/>
      <c r="BE654" s="3"/>
      <c r="BF654" s="3"/>
      <c r="BG654" s="3"/>
      <c r="BH654" s="3"/>
      <c r="BI654" s="3"/>
      <c r="BJ654" s="3"/>
      <c r="BK654" s="3"/>
      <c r="BL654" s="3"/>
      <c r="BM654" s="3"/>
      <c r="DX654" s="1403" t="e">
        <f t="shared" si="2"/>
        <v>#VALUE!</v>
      </c>
      <c r="DY654" s="1403"/>
      <c r="DZ654" s="1403"/>
      <c r="EA654" s="1403"/>
      <c r="EB654" s="1403"/>
      <c r="EC654" s="1403" t="e">
        <f t="shared" si="3"/>
        <v>#VALUE!</v>
      </c>
      <c r="ED654" s="1403"/>
      <c r="EE654" s="1403"/>
      <c r="EF654" s="1403"/>
      <c r="EG654" s="1403"/>
      <c r="EH654" s="1403" t="e">
        <f t="shared" si="4"/>
        <v>#VALUE!</v>
      </c>
      <c r="EI654" s="1403"/>
      <c r="EJ654" s="1403"/>
      <c r="EK654" s="1403"/>
      <c r="EL654" s="1403"/>
      <c r="EM654" s="1403" t="e">
        <f t="shared" si="5"/>
        <v>#VALUE!</v>
      </c>
      <c r="EN654" s="1403"/>
      <c r="EO654" s="1403"/>
      <c r="EP654" s="1403"/>
      <c r="EQ654" s="1403"/>
      <c r="ER654" s="1403" t="e">
        <f t="shared" si="6"/>
        <v>#VALUE!</v>
      </c>
      <c r="ES654" s="1403"/>
      <c r="ET654" s="1403"/>
      <c r="EU654" s="1403"/>
      <c r="EV654" s="1403"/>
      <c r="EW654" s="1403" t="e">
        <f t="shared" si="7"/>
        <v>#VALUE!</v>
      </c>
      <c r="EX654" s="1403"/>
      <c r="EY654" s="1403"/>
      <c r="EZ654" s="1403"/>
      <c r="FA654" s="1403"/>
    </row>
    <row r="655" spans="1:157" ht="13.15" customHeight="1">
      <c r="A655" s="19"/>
      <c r="B655" t="s">
        <v>821</v>
      </c>
      <c r="G655" s="1308">
        <v>4254558133</v>
      </c>
      <c r="H655" s="1308"/>
      <c r="I655" s="1308"/>
      <c r="J655" s="1308"/>
      <c r="K655" s="1308"/>
      <c r="L655" s="1308"/>
      <c r="O655" s="923" t="s">
        <v>1069</v>
      </c>
      <c r="P655" s="1395"/>
      <c r="Q655" s="1395"/>
      <c r="R655" s="1395"/>
      <c r="T655" s="19"/>
      <c r="U655" t="s">
        <v>821</v>
      </c>
      <c r="Z655" s="1308"/>
      <c r="AA655" s="1308"/>
      <c r="AB655" s="1308"/>
      <c r="AC655" s="1308"/>
      <c r="AD655" s="1308"/>
      <c r="AE655" s="1308"/>
      <c r="AH655" s="923" t="s">
        <v>1069</v>
      </c>
      <c r="AI655" s="1395"/>
      <c r="AJ655" s="1395"/>
      <c r="AK655" s="1395"/>
      <c r="AZ655" s="3"/>
      <c r="BA655" s="3"/>
      <c r="BB655" s="3"/>
      <c r="BC655" s="3"/>
      <c r="BD655" s="3"/>
      <c r="BE655" s="3"/>
      <c r="BF655" s="3"/>
      <c r="BG655" s="3"/>
      <c r="BH655" s="3"/>
      <c r="BI655" s="3"/>
      <c r="BJ655" s="3"/>
      <c r="BK655" s="3"/>
      <c r="BL655" s="3"/>
      <c r="BM655" s="3"/>
      <c r="DX655" s="1403" t="e">
        <f t="shared" si="2"/>
        <v>#VALUE!</v>
      </c>
      <c r="DY655" s="1403"/>
      <c r="DZ655" s="1403"/>
      <c r="EA655" s="1403"/>
      <c r="EB655" s="1403"/>
      <c r="EC655" s="1403" t="e">
        <f t="shared" si="3"/>
        <v>#VALUE!</v>
      </c>
      <c r="ED655" s="1403"/>
      <c r="EE655" s="1403"/>
      <c r="EF655" s="1403"/>
      <c r="EG655" s="1403"/>
      <c r="EH655" s="1403" t="e">
        <f t="shared" si="4"/>
        <v>#VALUE!</v>
      </c>
      <c r="EI655" s="1403"/>
      <c r="EJ655" s="1403"/>
      <c r="EK655" s="1403"/>
      <c r="EL655" s="1403"/>
      <c r="EM655" s="1403" t="e">
        <f t="shared" si="5"/>
        <v>#VALUE!</v>
      </c>
      <c r="EN655" s="1403"/>
      <c r="EO655" s="1403"/>
      <c r="EP655" s="1403"/>
      <c r="EQ655" s="1403"/>
      <c r="ER655" s="1403" t="e">
        <f t="shared" si="6"/>
        <v>#VALUE!</v>
      </c>
      <c r="ES655" s="1403"/>
      <c r="ET655" s="1403"/>
      <c r="EU655" s="1403"/>
      <c r="EV655" s="1403"/>
      <c r="EW655" s="1403" t="e">
        <f t="shared" si="7"/>
        <v>#VALUE!</v>
      </c>
      <c r="EX655" s="1403"/>
      <c r="EY655" s="1403"/>
      <c r="EZ655" s="1403"/>
      <c r="FA655" s="1403"/>
    </row>
    <row r="656" spans="1:157" ht="13.15" customHeight="1">
      <c r="A656" s="19"/>
      <c r="B656" t="s">
        <v>1419</v>
      </c>
      <c r="H656" s="1333" t="s">
        <v>2745</v>
      </c>
      <c r="I656" s="1333"/>
      <c r="J656" s="1333"/>
      <c r="K656" s="1333"/>
      <c r="L656" s="1333"/>
      <c r="M656" s="1333"/>
      <c r="N656" s="1333"/>
      <c r="O656" s="1333"/>
      <c r="P656" s="1333"/>
      <c r="Q656" s="1333"/>
      <c r="R656" s="1333"/>
      <c r="T656" s="19"/>
      <c r="U656" t="s">
        <v>1419</v>
      </c>
      <c r="AA656" s="1333"/>
      <c r="AB656" s="1333"/>
      <c r="AC656" s="1333"/>
      <c r="AD656" s="1333"/>
      <c r="AE656" s="1333"/>
      <c r="AF656" s="1333"/>
      <c r="AG656" s="1333"/>
      <c r="AH656" s="1333"/>
      <c r="AI656" s="1333"/>
      <c r="AJ656" s="1333"/>
      <c r="AK656" s="1333"/>
      <c r="AZ656" s="3"/>
      <c r="BA656" s="3"/>
      <c r="BB656" s="3"/>
      <c r="BC656" s="3"/>
      <c r="BD656" s="3"/>
      <c r="BE656" s="3"/>
      <c r="BF656" s="3"/>
      <c r="BG656" s="3"/>
      <c r="BH656" s="3"/>
      <c r="BI656" s="3"/>
      <c r="BJ656" s="3"/>
      <c r="BK656" s="3"/>
      <c r="BL656" s="3"/>
      <c r="BM656" s="3"/>
      <c r="DX656" s="1403" t="e">
        <f t="shared" si="2"/>
        <v>#VALUE!</v>
      </c>
      <c r="DY656" s="1403"/>
      <c r="DZ656" s="1403"/>
      <c r="EA656" s="1403"/>
      <c r="EB656" s="1403"/>
      <c r="EC656" s="1403" t="e">
        <f t="shared" si="3"/>
        <v>#VALUE!</v>
      </c>
      <c r="ED656" s="1403"/>
      <c r="EE656" s="1403"/>
      <c r="EF656" s="1403"/>
      <c r="EG656" s="1403"/>
      <c r="EH656" s="1403" t="e">
        <f t="shared" si="4"/>
        <v>#VALUE!</v>
      </c>
      <c r="EI656" s="1403"/>
      <c r="EJ656" s="1403"/>
      <c r="EK656" s="1403"/>
      <c r="EL656" s="1403"/>
      <c r="EM656" s="1403" t="e">
        <f t="shared" si="5"/>
        <v>#VALUE!</v>
      </c>
      <c r="EN656" s="1403"/>
      <c r="EO656" s="1403"/>
      <c r="EP656" s="1403"/>
      <c r="EQ656" s="1403"/>
      <c r="ER656" s="1403" t="e">
        <f t="shared" si="6"/>
        <v>#VALUE!</v>
      </c>
      <c r="ES656" s="1403"/>
      <c r="ET656" s="1403"/>
      <c r="EU656" s="1403"/>
      <c r="EV656" s="1403"/>
      <c r="EW656" s="1403" t="e">
        <f t="shared" si="7"/>
        <v>#VALUE!</v>
      </c>
      <c r="EX656" s="1403"/>
      <c r="EY656" s="1403"/>
      <c r="EZ656" s="1403"/>
      <c r="FA656" s="1403"/>
    </row>
    <row r="657" spans="1:157" ht="13.15" customHeight="1">
      <c r="A657" s="19"/>
      <c r="B657" t="s">
        <v>1424</v>
      </c>
      <c r="N657" s="1294" t="s">
        <v>843</v>
      </c>
      <c r="O657" s="1294"/>
      <c r="T657" s="19"/>
      <c r="U657" t="s">
        <v>1424</v>
      </c>
      <c r="AG657" s="1294" t="s">
        <v>692</v>
      </c>
      <c r="AH657" s="1294"/>
      <c r="AZ657" s="3"/>
      <c r="BA657" s="3"/>
      <c r="BB657" s="3"/>
      <c r="BC657" s="3"/>
      <c r="BD657" s="3"/>
      <c r="BE657" s="3"/>
      <c r="BF657" s="3"/>
      <c r="BG657" s="3"/>
      <c r="BH657" s="3"/>
      <c r="BI657" s="3"/>
      <c r="BJ657" s="3"/>
      <c r="BK657" s="3"/>
      <c r="BL657" s="3"/>
      <c r="BM657" s="3"/>
      <c r="DX657" s="1403" t="e">
        <f t="shared" si="2"/>
        <v>#VALUE!</v>
      </c>
      <c r="DY657" s="1403"/>
      <c r="DZ657" s="1403"/>
      <c r="EA657" s="1403"/>
      <c r="EB657" s="1403"/>
      <c r="EC657" s="1403" t="e">
        <f t="shared" si="3"/>
        <v>#VALUE!</v>
      </c>
      <c r="ED657" s="1403"/>
      <c r="EE657" s="1403"/>
      <c r="EF657" s="1403"/>
      <c r="EG657" s="1403"/>
      <c r="EH657" s="1403" t="e">
        <f t="shared" si="4"/>
        <v>#VALUE!</v>
      </c>
      <c r="EI657" s="1403"/>
      <c r="EJ657" s="1403"/>
      <c r="EK657" s="1403"/>
      <c r="EL657" s="1403"/>
      <c r="EM657" s="1403" t="e">
        <f t="shared" si="5"/>
        <v>#VALUE!</v>
      </c>
      <c r="EN657" s="1403"/>
      <c r="EO657" s="1403"/>
      <c r="EP657" s="1403"/>
      <c r="EQ657" s="1403"/>
      <c r="ER657" s="1403" t="e">
        <f t="shared" si="6"/>
        <v>#VALUE!</v>
      </c>
      <c r="ES657" s="1403"/>
      <c r="ET657" s="1403"/>
      <c r="EU657" s="1403"/>
      <c r="EV657" s="1403"/>
      <c r="EW657" s="1403" t="e">
        <f t="shared" si="7"/>
        <v>#VALUE!</v>
      </c>
      <c r="EX657" s="1403"/>
      <c r="EY657" s="1403"/>
      <c r="EZ657" s="1403"/>
      <c r="FA657" s="1403"/>
    </row>
    <row r="658" spans="1:157" ht="13.15" customHeight="1">
      <c r="A658" s="19"/>
      <c r="T658" s="19"/>
      <c r="AZ658" s="3"/>
      <c r="BA658" s="3"/>
      <c r="BB658" s="3"/>
      <c r="BC658" s="3"/>
      <c r="BD658" s="3"/>
      <c r="BE658" s="3"/>
      <c r="BF658" s="3"/>
      <c r="BG658" s="3"/>
      <c r="BH658" s="3"/>
      <c r="BI658" s="3"/>
      <c r="BJ658" s="3"/>
      <c r="BK658" s="3"/>
      <c r="BL658" s="3"/>
      <c r="BM658" s="3"/>
      <c r="DX658" s="1403" t="e">
        <f t="shared" si="2"/>
        <v>#VALUE!</v>
      </c>
      <c r="DY658" s="1403"/>
      <c r="DZ658" s="1403"/>
      <c r="EA658" s="1403"/>
      <c r="EB658" s="1403"/>
      <c r="EC658" s="1403" t="e">
        <f t="shared" si="3"/>
        <v>#VALUE!</v>
      </c>
      <c r="ED658" s="1403"/>
      <c r="EE658" s="1403"/>
      <c r="EF658" s="1403"/>
      <c r="EG658" s="1403"/>
      <c r="EH658" s="1403" t="e">
        <f t="shared" si="4"/>
        <v>#VALUE!</v>
      </c>
      <c r="EI658" s="1403"/>
      <c r="EJ658" s="1403"/>
      <c r="EK658" s="1403"/>
      <c r="EL658" s="1403"/>
      <c r="EM658" s="1403" t="e">
        <f t="shared" si="5"/>
        <v>#VALUE!</v>
      </c>
      <c r="EN658" s="1403"/>
      <c r="EO658" s="1403"/>
      <c r="EP658" s="1403"/>
      <c r="EQ658" s="1403"/>
      <c r="ER658" s="1403" t="e">
        <f t="shared" si="6"/>
        <v>#VALUE!</v>
      </c>
      <c r="ES658" s="1403"/>
      <c r="ET658" s="1403"/>
      <c r="EU658" s="1403"/>
      <c r="EV658" s="1403"/>
      <c r="EW658" s="1403" t="e">
        <f t="shared" si="7"/>
        <v>#VALUE!</v>
      </c>
      <c r="EX658" s="1403"/>
      <c r="EY658" s="1403"/>
      <c r="EZ658" s="1403"/>
      <c r="FA658" s="1403"/>
    </row>
    <row r="659" spans="1:157" ht="13.15" customHeight="1">
      <c r="A659" s="47" t="s">
        <v>86</v>
      </c>
      <c r="B659" t="s">
        <v>1413</v>
      </c>
      <c r="G659" s="1320">
        <f>C631</f>
        <v>0</v>
      </c>
      <c r="H659" s="1320"/>
      <c r="I659" s="1320"/>
      <c r="J659" s="1320"/>
      <c r="K659" s="1320"/>
      <c r="L659" s="1320"/>
      <c r="M659" s="1320"/>
      <c r="N659" s="1320"/>
      <c r="O659" s="1320"/>
      <c r="P659" s="1320"/>
      <c r="Q659" s="1320"/>
      <c r="R659" s="1320"/>
      <c r="T659" s="47" t="s">
        <v>1404</v>
      </c>
      <c r="U659" t="s">
        <v>1413</v>
      </c>
      <c r="Z659" s="1320">
        <f>C632</f>
        <v>0</v>
      </c>
      <c r="AA659" s="1320"/>
      <c r="AB659" s="1320"/>
      <c r="AC659" s="1320"/>
      <c r="AD659" s="1320"/>
      <c r="AE659" s="1320"/>
      <c r="AF659" s="1320"/>
      <c r="AG659" s="1320"/>
      <c r="AH659" s="1320"/>
      <c r="AI659" s="1320"/>
      <c r="AJ659" s="1320"/>
      <c r="AK659" s="1320"/>
      <c r="AZ659" s="3"/>
      <c r="BA659" s="3"/>
      <c r="BB659" s="3"/>
      <c r="BC659" s="3"/>
      <c r="BD659" s="3"/>
      <c r="BE659" s="3"/>
      <c r="BF659" s="3"/>
      <c r="BG659" s="3"/>
      <c r="BH659" s="3"/>
      <c r="BI659" s="3"/>
      <c r="BJ659" s="3"/>
      <c r="BK659" s="3"/>
      <c r="BL659" s="3"/>
      <c r="BM659" s="3"/>
      <c r="DX659" s="1403" t="e">
        <f t="shared" si="2"/>
        <v>#VALUE!</v>
      </c>
      <c r="DY659" s="1403"/>
      <c r="DZ659" s="1403"/>
      <c r="EA659" s="1403"/>
      <c r="EB659" s="1403"/>
      <c r="EC659" s="1403" t="e">
        <f t="shared" si="3"/>
        <v>#VALUE!</v>
      </c>
      <c r="ED659" s="1403"/>
      <c r="EE659" s="1403"/>
      <c r="EF659" s="1403"/>
      <c r="EG659" s="1403"/>
      <c r="EH659" s="1403" t="e">
        <f t="shared" si="4"/>
        <v>#VALUE!</v>
      </c>
      <c r="EI659" s="1403"/>
      <c r="EJ659" s="1403"/>
      <c r="EK659" s="1403"/>
      <c r="EL659" s="1403"/>
      <c r="EM659" s="1403" t="e">
        <f t="shared" si="5"/>
        <v>#VALUE!</v>
      </c>
      <c r="EN659" s="1403"/>
      <c r="EO659" s="1403"/>
      <c r="EP659" s="1403"/>
      <c r="EQ659" s="1403"/>
      <c r="ER659" s="1403" t="e">
        <f t="shared" si="6"/>
        <v>#VALUE!</v>
      </c>
      <c r="ES659" s="1403"/>
      <c r="ET659" s="1403"/>
      <c r="EU659" s="1403"/>
      <c r="EV659" s="1403"/>
      <c r="EW659" s="1403" t="e">
        <f t="shared" si="7"/>
        <v>#VALUE!</v>
      </c>
      <c r="EX659" s="1403"/>
      <c r="EY659" s="1403"/>
      <c r="EZ659" s="1403"/>
      <c r="FA659" s="1403"/>
    </row>
    <row r="660" spans="1:157" ht="13.15" customHeight="1">
      <c r="A660" s="19"/>
      <c r="B660" t="s">
        <v>1060</v>
      </c>
      <c r="G660" s="1333"/>
      <c r="H660" s="1333"/>
      <c r="I660" s="1333"/>
      <c r="J660" s="1333"/>
      <c r="K660" s="1333"/>
      <c r="L660" s="1333"/>
      <c r="M660" s="1333"/>
      <c r="N660" s="1333"/>
      <c r="O660" s="1333"/>
      <c r="P660" s="1333"/>
      <c r="Q660" s="1333"/>
      <c r="R660" s="1333"/>
      <c r="T660" s="19"/>
      <c r="U660" t="s">
        <v>1060</v>
      </c>
      <c r="Z660" s="1333"/>
      <c r="AA660" s="1333"/>
      <c r="AB660" s="1333"/>
      <c r="AC660" s="1333"/>
      <c r="AD660" s="1333"/>
      <c r="AE660" s="1333"/>
      <c r="AF660" s="1333"/>
      <c r="AG660" s="1333"/>
      <c r="AH660" s="1333"/>
      <c r="AI660" s="1333"/>
      <c r="AJ660" s="1333"/>
      <c r="AK660" s="1333"/>
      <c r="AZ660" s="3"/>
      <c r="BA660" s="3"/>
      <c r="BB660" s="3"/>
      <c r="BC660" s="3"/>
      <c r="BD660" s="3"/>
      <c r="BE660" s="3"/>
      <c r="BF660" s="3"/>
      <c r="BG660" s="3"/>
      <c r="BH660" s="3"/>
      <c r="BI660" s="3"/>
      <c r="BJ660" s="3"/>
      <c r="BK660" s="3"/>
      <c r="BL660" s="3"/>
      <c r="BM660" s="3"/>
      <c r="DX660" s="1403" t="e">
        <f t="shared" si="2"/>
        <v>#VALUE!</v>
      </c>
      <c r="DY660" s="1403"/>
      <c r="DZ660" s="1403"/>
      <c r="EA660" s="1403"/>
      <c r="EB660" s="1403"/>
      <c r="EC660" s="1403" t="e">
        <f t="shared" si="3"/>
        <v>#VALUE!</v>
      </c>
      <c r="ED660" s="1403"/>
      <c r="EE660" s="1403"/>
      <c r="EF660" s="1403"/>
      <c r="EG660" s="1403"/>
      <c r="EH660" s="1403" t="e">
        <f t="shared" si="4"/>
        <v>#VALUE!</v>
      </c>
      <c r="EI660" s="1403"/>
      <c r="EJ660" s="1403"/>
      <c r="EK660" s="1403"/>
      <c r="EL660" s="1403"/>
      <c r="EM660" s="1403" t="e">
        <f t="shared" si="5"/>
        <v>#VALUE!</v>
      </c>
      <c r="EN660" s="1403"/>
      <c r="EO660" s="1403"/>
      <c r="EP660" s="1403"/>
      <c r="EQ660" s="1403"/>
      <c r="ER660" s="1403" t="e">
        <f t="shared" si="6"/>
        <v>#VALUE!</v>
      </c>
      <c r="ES660" s="1403"/>
      <c r="ET660" s="1403"/>
      <c r="EU660" s="1403"/>
      <c r="EV660" s="1403"/>
      <c r="EW660" s="1403" t="e">
        <f t="shared" si="7"/>
        <v>#VALUE!</v>
      </c>
      <c r="EX660" s="1403"/>
      <c r="EY660" s="1403"/>
      <c r="EZ660" s="1403"/>
      <c r="FA660" s="1403"/>
    </row>
    <row r="661" spans="1:157" ht="13.15" customHeight="1">
      <c r="A661" s="19"/>
      <c r="B661" t="s">
        <v>928</v>
      </c>
      <c r="G661" s="1333"/>
      <c r="H661" s="1333"/>
      <c r="I661" s="1333"/>
      <c r="J661" s="1333"/>
      <c r="K661" s="1333"/>
      <c r="L661" s="1333"/>
      <c r="M661" s="1333"/>
      <c r="N661" s="1333"/>
      <c r="O661" s="1333"/>
      <c r="P661" s="1333"/>
      <c r="Q661" s="1333"/>
      <c r="R661" s="1333"/>
      <c r="T661" s="19"/>
      <c r="U661" t="s">
        <v>928</v>
      </c>
      <c r="Z661" s="1310"/>
      <c r="AA661" s="1310"/>
      <c r="AB661" s="1310"/>
      <c r="AC661" s="1310"/>
      <c r="AD661" s="1310"/>
      <c r="AE661" s="1310"/>
      <c r="AF661" s="1310"/>
      <c r="AG661" s="1310"/>
      <c r="AH661" s="1310"/>
      <c r="AI661" s="1310"/>
      <c r="AJ661" s="1310"/>
      <c r="AK661" s="1310"/>
      <c r="AZ661" s="3"/>
      <c r="BA661" s="3"/>
      <c r="BB661" s="3"/>
      <c r="BC661" s="3"/>
      <c r="BD661" s="3"/>
      <c r="BE661" s="3"/>
      <c r="BF661" s="3"/>
      <c r="BG661" s="3"/>
      <c r="BH661" s="3"/>
      <c r="BI661" s="3"/>
      <c r="BJ661" s="3"/>
      <c r="BK661" s="3"/>
      <c r="BL661" s="3"/>
      <c r="BM661" s="3"/>
      <c r="DX661" s="1403" t="e">
        <f t="shared" si="2"/>
        <v>#VALUE!</v>
      </c>
      <c r="DY661" s="1403"/>
      <c r="DZ661" s="1403"/>
      <c r="EA661" s="1403"/>
      <c r="EB661" s="1403"/>
      <c r="EC661" s="1403" t="e">
        <f t="shared" si="3"/>
        <v>#VALUE!</v>
      </c>
      <c r="ED661" s="1403"/>
      <c r="EE661" s="1403"/>
      <c r="EF661" s="1403"/>
      <c r="EG661" s="1403"/>
      <c r="EH661" s="1403" t="e">
        <f t="shared" si="4"/>
        <v>#VALUE!</v>
      </c>
      <c r="EI661" s="1403"/>
      <c r="EJ661" s="1403"/>
      <c r="EK661" s="1403"/>
      <c r="EL661" s="1403"/>
      <c r="EM661" s="1403" t="e">
        <f t="shared" si="5"/>
        <v>#VALUE!</v>
      </c>
      <c r="EN661" s="1403"/>
      <c r="EO661" s="1403"/>
      <c r="EP661" s="1403"/>
      <c r="EQ661" s="1403"/>
      <c r="ER661" s="1403" t="e">
        <f t="shared" si="6"/>
        <v>#VALUE!</v>
      </c>
      <c r="ES661" s="1403"/>
      <c r="ET661" s="1403"/>
      <c r="EU661" s="1403"/>
      <c r="EV661" s="1403"/>
      <c r="EW661" s="1403" t="e">
        <f t="shared" si="7"/>
        <v>#VALUE!</v>
      </c>
      <c r="EX661" s="1403"/>
      <c r="EY661" s="1403"/>
      <c r="EZ661" s="1403"/>
      <c r="FA661" s="1403"/>
    </row>
    <row r="662" spans="1:157" ht="13.15" customHeight="1">
      <c r="A662" s="19"/>
      <c r="B662" t="s">
        <v>1416</v>
      </c>
      <c r="G662" s="1333"/>
      <c r="H662" s="1333"/>
      <c r="I662" s="1333"/>
      <c r="J662" s="1333"/>
      <c r="K662" s="1333"/>
      <c r="L662" s="1333"/>
      <c r="M662" s="1333"/>
      <c r="N662" s="1333"/>
      <c r="O662" s="1333"/>
      <c r="P662" s="1333"/>
      <c r="Q662" s="1333"/>
      <c r="R662" s="1333"/>
      <c r="T662" s="19"/>
      <c r="U662" t="s">
        <v>1416</v>
      </c>
      <c r="Z662" s="1310"/>
      <c r="AA662" s="1310"/>
      <c r="AB662" s="1310"/>
      <c r="AC662" s="1310"/>
      <c r="AD662" s="1310"/>
      <c r="AE662" s="1310"/>
      <c r="AF662" s="1310"/>
      <c r="AG662" s="1310"/>
      <c r="AH662" s="1310"/>
      <c r="AI662" s="1310"/>
      <c r="AJ662" s="1310"/>
      <c r="AK662" s="131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3" t="e">
        <f t="shared" si="2"/>
        <v>#VALUE!</v>
      </c>
      <c r="DY662" s="1403"/>
      <c r="DZ662" s="1403"/>
      <c r="EA662" s="1403"/>
      <c r="EB662" s="1403"/>
      <c r="EC662" s="1403" t="e">
        <f t="shared" si="3"/>
        <v>#VALUE!</v>
      </c>
      <c r="ED662" s="1403"/>
      <c r="EE662" s="1403"/>
      <c r="EF662" s="1403"/>
      <c r="EG662" s="1403"/>
      <c r="EH662" s="1403" t="e">
        <f t="shared" si="4"/>
        <v>#VALUE!</v>
      </c>
      <c r="EI662" s="1403"/>
      <c r="EJ662" s="1403"/>
      <c r="EK662" s="1403"/>
      <c r="EL662" s="1403"/>
      <c r="EM662" s="1403" t="e">
        <f t="shared" si="5"/>
        <v>#VALUE!</v>
      </c>
      <c r="EN662" s="1403"/>
      <c r="EO662" s="1403"/>
      <c r="EP662" s="1403"/>
      <c r="EQ662" s="1403"/>
      <c r="ER662" s="1403" t="e">
        <f t="shared" si="6"/>
        <v>#VALUE!</v>
      </c>
      <c r="ES662" s="1403"/>
      <c r="ET662" s="1403"/>
      <c r="EU662" s="1403"/>
      <c r="EV662" s="1403"/>
      <c r="EW662" s="1403" t="e">
        <f t="shared" si="7"/>
        <v>#VALUE!</v>
      </c>
      <c r="EX662" s="1403"/>
      <c r="EY662" s="1403"/>
      <c r="EZ662" s="1403"/>
      <c r="FA662" s="1403"/>
    </row>
    <row r="663" spans="1:157" ht="13.15" customHeight="1">
      <c r="A663" s="19"/>
      <c r="B663" t="s">
        <v>821</v>
      </c>
      <c r="G663" s="1308"/>
      <c r="H663" s="1308"/>
      <c r="I663" s="1308"/>
      <c r="J663" s="1308"/>
      <c r="K663" s="1308"/>
      <c r="L663" s="1308"/>
      <c r="O663" s="923" t="s">
        <v>1069</v>
      </c>
      <c r="P663" s="1395"/>
      <c r="Q663" s="1395"/>
      <c r="R663" s="1395"/>
      <c r="T663" s="19"/>
      <c r="U663" t="s">
        <v>821</v>
      </c>
      <c r="Z663" s="1308"/>
      <c r="AA663" s="1308"/>
      <c r="AB663" s="1308"/>
      <c r="AC663" s="1308"/>
      <c r="AD663" s="1308"/>
      <c r="AE663" s="1308"/>
      <c r="AH663" s="923" t="s">
        <v>1069</v>
      </c>
      <c r="AI663" s="1395"/>
      <c r="AJ663" s="1395"/>
      <c r="AK663" s="139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3" t="e">
        <f t="shared" si="2"/>
        <v>#VALUE!</v>
      </c>
      <c r="DY663" s="1403"/>
      <c r="DZ663" s="1403"/>
      <c r="EA663" s="1403"/>
      <c r="EB663" s="1403"/>
      <c r="EC663" s="1403" t="e">
        <f t="shared" si="3"/>
        <v>#VALUE!</v>
      </c>
      <c r="ED663" s="1403"/>
      <c r="EE663" s="1403"/>
      <c r="EF663" s="1403"/>
      <c r="EG663" s="1403"/>
      <c r="EH663" s="1403" t="e">
        <f t="shared" si="4"/>
        <v>#VALUE!</v>
      </c>
      <c r="EI663" s="1403"/>
      <c r="EJ663" s="1403"/>
      <c r="EK663" s="1403"/>
      <c r="EL663" s="1403"/>
      <c r="EM663" s="1403" t="e">
        <f t="shared" si="5"/>
        <v>#VALUE!</v>
      </c>
      <c r="EN663" s="1403"/>
      <c r="EO663" s="1403"/>
      <c r="EP663" s="1403"/>
      <c r="EQ663" s="1403"/>
      <c r="ER663" s="1403" t="e">
        <f t="shared" si="6"/>
        <v>#VALUE!</v>
      </c>
      <c r="ES663" s="1403"/>
      <c r="ET663" s="1403"/>
      <c r="EU663" s="1403"/>
      <c r="EV663" s="1403"/>
      <c r="EW663" s="1403" t="e">
        <f t="shared" si="7"/>
        <v>#VALUE!</v>
      </c>
      <c r="EX663" s="1403"/>
      <c r="EY663" s="1403"/>
      <c r="EZ663" s="1403"/>
      <c r="FA663" s="1403"/>
    </row>
    <row r="664" spans="1:157" ht="13.15" customHeight="1">
      <c r="A664" s="19"/>
      <c r="B664" t="s">
        <v>1419</v>
      </c>
      <c r="H664" s="1333"/>
      <c r="I664" s="1333"/>
      <c r="J664" s="1333"/>
      <c r="K664" s="1333"/>
      <c r="L664" s="1333"/>
      <c r="M664" s="1333"/>
      <c r="N664" s="1333"/>
      <c r="O664" s="1333"/>
      <c r="P664" s="1333"/>
      <c r="Q664" s="1333"/>
      <c r="R664" s="1333"/>
      <c r="T664" s="19"/>
      <c r="U664" t="s">
        <v>1419</v>
      </c>
      <c r="AA664" s="1333"/>
      <c r="AB664" s="1333"/>
      <c r="AC664" s="1333"/>
      <c r="AD664" s="1333"/>
      <c r="AE664" s="1333"/>
      <c r="AF664" s="1333"/>
      <c r="AG664" s="1333"/>
      <c r="AH664" s="1333"/>
      <c r="AI664" s="1333"/>
      <c r="AJ664" s="1333"/>
      <c r="AK664" s="133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3" t="e">
        <f t="shared" si="2"/>
        <v>#VALUE!</v>
      </c>
      <c r="DY664" s="1403"/>
      <c r="DZ664" s="1403"/>
      <c r="EA664" s="1403"/>
      <c r="EB664" s="1403"/>
      <c r="EC664" s="1403" t="e">
        <f t="shared" si="3"/>
        <v>#VALUE!</v>
      </c>
      <c r="ED664" s="1403"/>
      <c r="EE664" s="1403"/>
      <c r="EF664" s="1403"/>
      <c r="EG664" s="1403"/>
      <c r="EH664" s="1403" t="e">
        <f t="shared" si="4"/>
        <v>#VALUE!</v>
      </c>
      <c r="EI664" s="1403"/>
      <c r="EJ664" s="1403"/>
      <c r="EK664" s="1403"/>
      <c r="EL664" s="1403"/>
      <c r="EM664" s="1403" t="e">
        <f t="shared" si="5"/>
        <v>#VALUE!</v>
      </c>
      <c r="EN664" s="1403"/>
      <c r="EO664" s="1403"/>
      <c r="EP664" s="1403"/>
      <c r="EQ664" s="1403"/>
      <c r="ER664" s="1403" t="e">
        <f t="shared" si="6"/>
        <v>#VALUE!</v>
      </c>
      <c r="ES664" s="1403"/>
      <c r="ET664" s="1403"/>
      <c r="EU664" s="1403"/>
      <c r="EV664" s="1403"/>
      <c r="EW664" s="1403" t="e">
        <f t="shared" si="7"/>
        <v>#VALUE!</v>
      </c>
      <c r="EX664" s="1403"/>
      <c r="EY664" s="1403"/>
      <c r="EZ664" s="1403"/>
      <c r="FA664" s="1403"/>
    </row>
    <row r="665" spans="1:157" ht="13.15" customHeight="1">
      <c r="A665" s="19"/>
      <c r="B665" t="s">
        <v>1424</v>
      </c>
      <c r="N665" s="1294" t="s">
        <v>692</v>
      </c>
      <c r="O665" s="1294"/>
      <c r="T665" s="19"/>
      <c r="U665" t="s">
        <v>1424</v>
      </c>
      <c r="AG665" s="1294" t="s">
        <v>692</v>
      </c>
      <c r="AH665" s="129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3" t="e">
        <f t="shared" si="2"/>
        <v>#VALUE!</v>
      </c>
      <c r="DY665" s="1403"/>
      <c r="DZ665" s="1403"/>
      <c r="EA665" s="1403"/>
      <c r="EB665" s="1403"/>
      <c r="EC665" s="1403" t="e">
        <f t="shared" si="3"/>
        <v>#VALUE!</v>
      </c>
      <c r="ED665" s="1403"/>
      <c r="EE665" s="1403"/>
      <c r="EF665" s="1403"/>
      <c r="EG665" s="1403"/>
      <c r="EH665" s="1403" t="e">
        <f t="shared" si="4"/>
        <v>#VALUE!</v>
      </c>
      <c r="EI665" s="1403"/>
      <c r="EJ665" s="1403"/>
      <c r="EK665" s="1403"/>
      <c r="EL665" s="1403"/>
      <c r="EM665" s="1403" t="e">
        <f t="shared" si="5"/>
        <v>#VALUE!</v>
      </c>
      <c r="EN665" s="1403"/>
      <c r="EO665" s="1403"/>
      <c r="EP665" s="1403"/>
      <c r="EQ665" s="1403"/>
      <c r="ER665" s="1403" t="e">
        <f t="shared" si="6"/>
        <v>#VALUE!</v>
      </c>
      <c r="ES665" s="1403"/>
      <c r="ET665" s="1403"/>
      <c r="EU665" s="1403"/>
      <c r="EV665" s="1403"/>
      <c r="EW665" s="1403" t="e">
        <f t="shared" si="7"/>
        <v>#VALUE!</v>
      </c>
      <c r="EX665" s="1403"/>
      <c r="EY665" s="1403"/>
      <c r="EZ665" s="1403"/>
      <c r="FA665" s="1403"/>
    </row>
    <row r="666" spans="1:157" ht="13.1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3" t="e">
        <f t="shared" si="2"/>
        <v>#VALUE!</v>
      </c>
      <c r="DY666" s="1403"/>
      <c r="DZ666" s="1403"/>
      <c r="EA666" s="1403"/>
      <c r="EB666" s="1403"/>
      <c r="EC666" s="1403" t="e">
        <f t="shared" si="3"/>
        <v>#VALUE!</v>
      </c>
      <c r="ED666" s="1403"/>
      <c r="EE666" s="1403"/>
      <c r="EF666" s="1403"/>
      <c r="EG666" s="1403"/>
      <c r="EH666" s="1403" t="e">
        <f t="shared" si="4"/>
        <v>#VALUE!</v>
      </c>
      <c r="EI666" s="1403"/>
      <c r="EJ666" s="1403"/>
      <c r="EK666" s="1403"/>
      <c r="EL666" s="1403"/>
      <c r="EM666" s="1403" t="e">
        <f t="shared" si="5"/>
        <v>#VALUE!</v>
      </c>
      <c r="EN666" s="1403"/>
      <c r="EO666" s="1403"/>
      <c r="EP666" s="1403"/>
      <c r="EQ666" s="1403"/>
      <c r="ER666" s="1403" t="e">
        <f t="shared" si="6"/>
        <v>#VALUE!</v>
      </c>
      <c r="ES666" s="1403"/>
      <c r="ET666" s="1403"/>
      <c r="EU666" s="1403"/>
      <c r="EV666" s="1403"/>
      <c r="EW666" s="1403" t="e">
        <f t="shared" si="7"/>
        <v>#VALUE!</v>
      </c>
      <c r="EX666" s="1403"/>
      <c r="EY666" s="1403"/>
      <c r="EZ666" s="1403"/>
      <c r="FA666" s="1403"/>
    </row>
    <row r="667" spans="1:157" ht="13.15" customHeight="1">
      <c r="A667" s="47" t="s">
        <v>1406</v>
      </c>
      <c r="B667" t="s">
        <v>1413</v>
      </c>
      <c r="G667" s="1320">
        <f>C633</f>
        <v>0</v>
      </c>
      <c r="H667" s="1320"/>
      <c r="I667" s="1320"/>
      <c r="J667" s="1320"/>
      <c r="K667" s="1320"/>
      <c r="L667" s="1320"/>
      <c r="M667" s="1320"/>
      <c r="N667" s="1320"/>
      <c r="O667" s="1320"/>
      <c r="P667" s="1320"/>
      <c r="Q667" s="1320"/>
      <c r="R667" s="1320"/>
      <c r="T667" s="47" t="s">
        <v>1407</v>
      </c>
      <c r="U667" t="s">
        <v>1413</v>
      </c>
      <c r="Z667" s="1320">
        <f>C634</f>
        <v>0</v>
      </c>
      <c r="AA667" s="1320"/>
      <c r="AB667" s="1320"/>
      <c r="AC667" s="1320"/>
      <c r="AD667" s="1320"/>
      <c r="AE667" s="1320"/>
      <c r="AF667" s="1320"/>
      <c r="AG667" s="1320"/>
      <c r="AH667" s="1320"/>
      <c r="AI667" s="1320"/>
      <c r="AJ667" s="1320"/>
      <c r="AK667" s="132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3" t="e">
        <f t="shared" si="2"/>
        <v>#VALUE!</v>
      </c>
      <c r="DY667" s="1403"/>
      <c r="DZ667" s="1403"/>
      <c r="EA667" s="1403"/>
      <c r="EB667" s="1403"/>
      <c r="EC667" s="1403" t="e">
        <f t="shared" si="3"/>
        <v>#VALUE!</v>
      </c>
      <c r="ED667" s="1403"/>
      <c r="EE667" s="1403"/>
      <c r="EF667" s="1403"/>
      <c r="EG667" s="1403"/>
      <c r="EH667" s="1403" t="e">
        <f t="shared" si="4"/>
        <v>#VALUE!</v>
      </c>
      <c r="EI667" s="1403"/>
      <c r="EJ667" s="1403"/>
      <c r="EK667" s="1403"/>
      <c r="EL667" s="1403"/>
      <c r="EM667" s="1403" t="e">
        <f t="shared" si="5"/>
        <v>#VALUE!</v>
      </c>
      <c r="EN667" s="1403"/>
      <c r="EO667" s="1403"/>
      <c r="EP667" s="1403"/>
      <c r="EQ667" s="1403"/>
      <c r="ER667" s="1403" t="e">
        <f t="shared" si="6"/>
        <v>#VALUE!</v>
      </c>
      <c r="ES667" s="1403"/>
      <c r="ET667" s="1403"/>
      <c r="EU667" s="1403"/>
      <c r="EV667" s="1403"/>
      <c r="EW667" s="1403" t="e">
        <f t="shared" si="7"/>
        <v>#VALUE!</v>
      </c>
      <c r="EX667" s="1403"/>
      <c r="EY667" s="1403"/>
      <c r="EZ667" s="1403"/>
      <c r="FA667" s="1403"/>
    </row>
    <row r="668" spans="1:157" ht="13.15" customHeight="1">
      <c r="A668" s="19"/>
      <c r="B668" t="s">
        <v>1060</v>
      </c>
      <c r="G668" s="1333"/>
      <c r="H668" s="1333"/>
      <c r="I668" s="1333"/>
      <c r="J668" s="1333"/>
      <c r="K668" s="1333"/>
      <c r="L668" s="1333"/>
      <c r="M668" s="1333"/>
      <c r="N668" s="1333"/>
      <c r="O668" s="1333"/>
      <c r="P668" s="1333"/>
      <c r="Q668" s="1333"/>
      <c r="R668" s="1333"/>
      <c r="T668" s="19"/>
      <c r="U668" t="s">
        <v>1060</v>
      </c>
      <c r="Z668" s="1333"/>
      <c r="AA668" s="1333"/>
      <c r="AB668" s="1333"/>
      <c r="AC668" s="1333"/>
      <c r="AD668" s="1333"/>
      <c r="AE668" s="1333"/>
      <c r="AF668" s="1333"/>
      <c r="AG668" s="1333"/>
      <c r="AH668" s="1333"/>
      <c r="AI668" s="1333"/>
      <c r="AJ668" s="1333"/>
      <c r="AK668" s="133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3" t="e">
        <f t="shared" si="2"/>
        <v>#VALUE!</v>
      </c>
      <c r="DY668" s="1403"/>
      <c r="DZ668" s="1403"/>
      <c r="EA668" s="1403"/>
      <c r="EB668" s="1403"/>
      <c r="EC668" s="1403" t="e">
        <f t="shared" si="3"/>
        <v>#VALUE!</v>
      </c>
      <c r="ED668" s="1403"/>
      <c r="EE668" s="1403"/>
      <c r="EF668" s="1403"/>
      <c r="EG668" s="1403"/>
      <c r="EH668" s="1403" t="e">
        <f t="shared" si="4"/>
        <v>#VALUE!</v>
      </c>
      <c r="EI668" s="1403"/>
      <c r="EJ668" s="1403"/>
      <c r="EK668" s="1403"/>
      <c r="EL668" s="1403"/>
      <c r="EM668" s="1403" t="e">
        <f t="shared" si="5"/>
        <v>#VALUE!</v>
      </c>
      <c r="EN668" s="1403"/>
      <c r="EO668" s="1403"/>
      <c r="EP668" s="1403"/>
      <c r="EQ668" s="1403"/>
      <c r="ER668" s="1403" t="e">
        <f t="shared" si="6"/>
        <v>#VALUE!</v>
      </c>
      <c r="ES668" s="1403"/>
      <c r="ET668" s="1403"/>
      <c r="EU668" s="1403"/>
      <c r="EV668" s="1403"/>
      <c r="EW668" s="1403" t="e">
        <f t="shared" si="7"/>
        <v>#VALUE!</v>
      </c>
      <c r="EX668" s="1403"/>
      <c r="EY668" s="1403"/>
      <c r="EZ668" s="1403"/>
      <c r="FA668" s="1403"/>
    </row>
    <row r="669" spans="1:157" ht="13.15" customHeight="1">
      <c r="A669" s="19"/>
      <c r="B669" t="s">
        <v>928</v>
      </c>
      <c r="G669" s="1333"/>
      <c r="H669" s="1333"/>
      <c r="I669" s="1333"/>
      <c r="J669" s="1333"/>
      <c r="K669" s="1333"/>
      <c r="L669" s="1333"/>
      <c r="M669" s="1333"/>
      <c r="N669" s="1333"/>
      <c r="O669" s="1333"/>
      <c r="P669" s="1333"/>
      <c r="Q669" s="1333"/>
      <c r="R669" s="1333"/>
      <c r="T669" s="19"/>
      <c r="U669" t="s">
        <v>928</v>
      </c>
      <c r="Z669" s="1310"/>
      <c r="AA669" s="1310"/>
      <c r="AB669" s="1310"/>
      <c r="AC669" s="1310"/>
      <c r="AD669" s="1310"/>
      <c r="AE669" s="1310"/>
      <c r="AF669" s="1310"/>
      <c r="AG669" s="1310"/>
      <c r="AH669" s="1310"/>
      <c r="AI669" s="1310"/>
      <c r="AJ669" s="1310"/>
      <c r="AK669" s="131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3" t="e">
        <f t="shared" si="2"/>
        <v>#VALUE!</v>
      </c>
      <c r="DY669" s="1403"/>
      <c r="DZ669" s="1403"/>
      <c r="EA669" s="1403"/>
      <c r="EB669" s="1403"/>
      <c r="EC669" s="1403" t="e">
        <f t="shared" si="3"/>
        <v>#VALUE!</v>
      </c>
      <c r="ED669" s="1403"/>
      <c r="EE669" s="1403"/>
      <c r="EF669" s="1403"/>
      <c r="EG669" s="1403"/>
      <c r="EH669" s="1403" t="e">
        <f t="shared" si="4"/>
        <v>#VALUE!</v>
      </c>
      <c r="EI669" s="1403"/>
      <c r="EJ669" s="1403"/>
      <c r="EK669" s="1403"/>
      <c r="EL669" s="1403"/>
      <c r="EM669" s="1403" t="e">
        <f t="shared" si="5"/>
        <v>#VALUE!</v>
      </c>
      <c r="EN669" s="1403"/>
      <c r="EO669" s="1403"/>
      <c r="EP669" s="1403"/>
      <c r="EQ669" s="1403"/>
      <c r="ER669" s="1403" t="e">
        <f t="shared" si="6"/>
        <v>#VALUE!</v>
      </c>
      <c r="ES669" s="1403"/>
      <c r="ET669" s="1403"/>
      <c r="EU669" s="1403"/>
      <c r="EV669" s="1403"/>
      <c r="EW669" s="1403" t="e">
        <f t="shared" si="7"/>
        <v>#VALUE!</v>
      </c>
      <c r="EX669" s="1403"/>
      <c r="EY669" s="1403"/>
      <c r="EZ669" s="1403"/>
      <c r="FA669" s="1403"/>
    </row>
    <row r="670" spans="1:157" ht="13.15" customHeight="1">
      <c r="A670" s="19"/>
      <c r="B670" t="s">
        <v>1416</v>
      </c>
      <c r="G670" s="1333"/>
      <c r="H670" s="1333"/>
      <c r="I670" s="1333"/>
      <c r="J670" s="1333"/>
      <c r="K670" s="1333"/>
      <c r="L670" s="1333"/>
      <c r="M670" s="1333"/>
      <c r="N670" s="1333"/>
      <c r="O670" s="1333"/>
      <c r="P670" s="1333"/>
      <c r="Q670" s="1333"/>
      <c r="R670" s="1333"/>
      <c r="T670" s="19"/>
      <c r="U670" t="s">
        <v>1416</v>
      </c>
      <c r="Z670" s="1310"/>
      <c r="AA670" s="1310"/>
      <c r="AB670" s="1310"/>
      <c r="AC670" s="1310"/>
      <c r="AD670" s="1310"/>
      <c r="AE670" s="1310"/>
      <c r="AF670" s="1310"/>
      <c r="AG670" s="1310"/>
      <c r="AH670" s="1310"/>
      <c r="AI670" s="1310"/>
      <c r="AJ670" s="1310"/>
      <c r="AK670" s="131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3">
        <f>SUMIF(DX635:EB669,"&gt;0")</f>
        <v>0</v>
      </c>
      <c r="DY670" s="1403"/>
      <c r="DZ670" s="1403"/>
      <c r="EA670" s="1403"/>
      <c r="EB670" s="1403"/>
      <c r="EC670" s="1403">
        <f>SUMIF(EC635:EG669,"&gt;0")</f>
        <v>1595.1685393258429</v>
      </c>
      <c r="ED670" s="1403"/>
      <c r="EE670" s="1403"/>
      <c r="EF670" s="1403"/>
      <c r="EG670" s="1403"/>
      <c r="EH670" s="1403">
        <f>SUMIF(EH635:EL669,"&gt;0")</f>
        <v>2030.6734693877552</v>
      </c>
      <c r="EI670" s="1403"/>
      <c r="EJ670" s="1403"/>
      <c r="EK670" s="1403"/>
      <c r="EL670" s="1403"/>
      <c r="EM670" s="1403">
        <f>SUMIF(EM635:EQ669,"&gt;0")</f>
        <v>2364.1454545454544</v>
      </c>
      <c r="EN670" s="1403"/>
      <c r="EO670" s="1403"/>
      <c r="EP670" s="1403"/>
      <c r="EQ670" s="1403"/>
      <c r="ER670" s="1403">
        <f>SUMIF(ER635:EV669,"&gt;0")</f>
        <v>0</v>
      </c>
      <c r="ES670" s="1403"/>
      <c r="ET670" s="1403"/>
      <c r="EU670" s="1403"/>
      <c r="EV670" s="1403"/>
      <c r="EW670" s="1403">
        <f>SUMIF(EW635:FA669,"&gt;0")</f>
        <v>0</v>
      </c>
      <c r="EX670" s="1403"/>
      <c r="EY670" s="1403"/>
      <c r="EZ670" s="1403"/>
      <c r="FA670" s="1403"/>
    </row>
    <row r="671" spans="1:157" ht="13.15" customHeight="1">
      <c r="A671" s="19"/>
      <c r="B671" t="s">
        <v>821</v>
      </c>
      <c r="G671" s="1308"/>
      <c r="H671" s="1308"/>
      <c r="I671" s="1308"/>
      <c r="J671" s="1308"/>
      <c r="K671" s="1308"/>
      <c r="L671" s="1308"/>
      <c r="O671" s="923" t="s">
        <v>1069</v>
      </c>
      <c r="P671" s="1395"/>
      <c r="Q671" s="1395"/>
      <c r="R671" s="1395"/>
      <c r="T671" s="19"/>
      <c r="U671" t="s">
        <v>821</v>
      </c>
      <c r="Z671" s="1308"/>
      <c r="AA671" s="1308"/>
      <c r="AB671" s="1308"/>
      <c r="AC671" s="1308"/>
      <c r="AD671" s="1308"/>
      <c r="AE671" s="1308"/>
      <c r="AH671" s="923" t="s">
        <v>1069</v>
      </c>
      <c r="AI671" s="1395"/>
      <c r="AJ671" s="1395"/>
      <c r="AK671" s="139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5" customHeight="1">
      <c r="A672" s="19"/>
      <c r="B672" t="s">
        <v>1419</v>
      </c>
      <c r="H672" s="1333"/>
      <c r="I672" s="1333"/>
      <c r="J672" s="1333"/>
      <c r="K672" s="1333"/>
      <c r="L672" s="1333"/>
      <c r="M672" s="1333"/>
      <c r="N672" s="1333"/>
      <c r="O672" s="1333"/>
      <c r="P672" s="1333"/>
      <c r="Q672" s="1333"/>
      <c r="R672" s="1333"/>
      <c r="T672" s="19"/>
      <c r="U672" t="s">
        <v>1419</v>
      </c>
      <c r="AA672" s="1333"/>
      <c r="AB672" s="1333"/>
      <c r="AC672" s="1333"/>
      <c r="AD672" s="1333"/>
      <c r="AE672" s="1333"/>
      <c r="AF672" s="1333"/>
      <c r="AG672" s="1333"/>
      <c r="AH672" s="1333"/>
      <c r="AI672" s="1333"/>
      <c r="AJ672" s="1333"/>
      <c r="AK672" s="133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15" customHeight="1">
      <c r="A673" s="19"/>
      <c r="B673" t="s">
        <v>1424</v>
      </c>
      <c r="N673" s="1294" t="s">
        <v>692</v>
      </c>
      <c r="O673" s="1294"/>
      <c r="T673" s="19"/>
      <c r="U673" t="s">
        <v>1424</v>
      </c>
      <c r="AG673" s="1294" t="s">
        <v>692</v>
      </c>
      <c r="AH673" s="1294"/>
      <c r="AZ673" s="3"/>
    </row>
    <row r="674" spans="1:52" ht="13.15" customHeight="1">
      <c r="A674" s="19"/>
      <c r="T674" s="19"/>
      <c r="AZ674" s="3"/>
    </row>
    <row r="675" spans="1:52" ht="13.15" customHeight="1">
      <c r="A675" s="47" t="s">
        <v>1408</v>
      </c>
      <c r="B675" t="s">
        <v>1413</v>
      </c>
      <c r="G675" s="1320">
        <f>C635</f>
        <v>0</v>
      </c>
      <c r="H675" s="1320"/>
      <c r="I675" s="1320"/>
      <c r="J675" s="1320"/>
      <c r="K675" s="1320"/>
      <c r="L675" s="1320"/>
      <c r="M675" s="1320"/>
      <c r="N675" s="1320"/>
      <c r="O675" s="1320"/>
      <c r="P675" s="1320"/>
      <c r="Q675" s="1320"/>
      <c r="R675" s="1320"/>
      <c r="T675" s="47" t="s">
        <v>1409</v>
      </c>
      <c r="U675" t="s">
        <v>1413</v>
      </c>
      <c r="Z675" s="1320">
        <f>C636</f>
        <v>0</v>
      </c>
      <c r="AA675" s="1320"/>
      <c r="AB675" s="1320"/>
      <c r="AC675" s="1320"/>
      <c r="AD675" s="1320"/>
      <c r="AE675" s="1320"/>
      <c r="AF675" s="1320"/>
      <c r="AG675" s="1320"/>
      <c r="AH675" s="1320"/>
      <c r="AI675" s="1320"/>
      <c r="AJ675" s="1320"/>
      <c r="AK675" s="1320"/>
      <c r="AZ675" s="3"/>
    </row>
    <row r="676" spans="1:52" ht="13.15" customHeight="1">
      <c r="A676" s="19"/>
      <c r="B676" t="s">
        <v>1060</v>
      </c>
      <c r="G676" s="1333"/>
      <c r="H676" s="1333"/>
      <c r="I676" s="1333"/>
      <c r="J676" s="1333"/>
      <c r="K676" s="1333"/>
      <c r="L676" s="1333"/>
      <c r="M676" s="1333"/>
      <c r="N676" s="1333"/>
      <c r="O676" s="1333"/>
      <c r="P676" s="1333"/>
      <c r="Q676" s="1333"/>
      <c r="R676" s="1333"/>
      <c r="T676" s="19"/>
      <c r="U676" t="s">
        <v>1060</v>
      </c>
      <c r="Z676" s="1333"/>
      <c r="AA676" s="1333"/>
      <c r="AB676" s="1333"/>
      <c r="AC676" s="1333"/>
      <c r="AD676" s="1333"/>
      <c r="AE676" s="1333"/>
      <c r="AF676" s="1333"/>
      <c r="AG676" s="1333"/>
      <c r="AH676" s="1333"/>
      <c r="AI676" s="1333"/>
      <c r="AJ676" s="1333"/>
      <c r="AK676" s="1333"/>
      <c r="AZ676" s="3"/>
    </row>
    <row r="677" spans="1:52" ht="13.15" customHeight="1">
      <c r="A677" s="19"/>
      <c r="B677" t="s">
        <v>928</v>
      </c>
      <c r="G677" s="1333"/>
      <c r="H677" s="1333"/>
      <c r="I677" s="1333"/>
      <c r="J677" s="1333"/>
      <c r="K677" s="1333"/>
      <c r="L677" s="1333"/>
      <c r="M677" s="1333"/>
      <c r="N677" s="1333"/>
      <c r="O677" s="1333"/>
      <c r="P677" s="1333"/>
      <c r="Q677" s="1333"/>
      <c r="R677" s="1333"/>
      <c r="T677" s="19"/>
      <c r="U677" t="s">
        <v>928</v>
      </c>
      <c r="Z677" s="1310"/>
      <c r="AA677" s="1310"/>
      <c r="AB677" s="1310"/>
      <c r="AC677" s="1310"/>
      <c r="AD677" s="1310"/>
      <c r="AE677" s="1310"/>
      <c r="AF677" s="1310"/>
      <c r="AG677" s="1310"/>
      <c r="AH677" s="1310"/>
      <c r="AI677" s="1310"/>
      <c r="AJ677" s="1310"/>
      <c r="AK677" s="1310"/>
      <c r="AZ677" s="3"/>
    </row>
    <row r="678" spans="1:52" ht="13.15" customHeight="1">
      <c r="A678" s="19"/>
      <c r="B678" t="s">
        <v>1416</v>
      </c>
      <c r="G678" s="1333"/>
      <c r="H678" s="1333"/>
      <c r="I678" s="1333"/>
      <c r="J678" s="1333"/>
      <c r="K678" s="1333"/>
      <c r="L678" s="1333"/>
      <c r="M678" s="1333"/>
      <c r="N678" s="1333"/>
      <c r="O678" s="1333"/>
      <c r="P678" s="1333"/>
      <c r="Q678" s="1333"/>
      <c r="R678" s="1333"/>
      <c r="T678" s="19"/>
      <c r="U678" t="s">
        <v>1416</v>
      </c>
      <c r="Z678" s="1310"/>
      <c r="AA678" s="1310"/>
      <c r="AB678" s="1310"/>
      <c r="AC678" s="1310"/>
      <c r="AD678" s="1310"/>
      <c r="AE678" s="1310"/>
      <c r="AF678" s="1310"/>
      <c r="AG678" s="1310"/>
      <c r="AH678" s="1310"/>
      <c r="AI678" s="1310"/>
      <c r="AJ678" s="1310"/>
      <c r="AK678" s="1310"/>
      <c r="AZ678" s="3"/>
    </row>
    <row r="679" spans="1:52" ht="13.15" customHeight="1">
      <c r="A679" s="19"/>
      <c r="B679" t="s">
        <v>821</v>
      </c>
      <c r="G679" s="1308"/>
      <c r="H679" s="1308"/>
      <c r="I679" s="1308"/>
      <c r="J679" s="1308"/>
      <c r="K679" s="1308"/>
      <c r="L679" s="1308"/>
      <c r="O679" s="923" t="s">
        <v>1069</v>
      </c>
      <c r="P679" s="1395"/>
      <c r="Q679" s="1395"/>
      <c r="R679" s="1395"/>
      <c r="T679" s="19"/>
      <c r="U679" t="s">
        <v>821</v>
      </c>
      <c r="Z679" s="1308"/>
      <c r="AA679" s="1308"/>
      <c r="AB679" s="1308"/>
      <c r="AC679" s="1308"/>
      <c r="AD679" s="1308"/>
      <c r="AE679" s="1308"/>
      <c r="AH679" s="923" t="s">
        <v>1069</v>
      </c>
      <c r="AI679" s="1395"/>
      <c r="AJ679" s="1395"/>
      <c r="AK679" s="1395"/>
      <c r="AZ679" s="3"/>
    </row>
    <row r="680" spans="1:52" ht="13.15" customHeight="1">
      <c r="A680" s="19"/>
      <c r="B680" t="s">
        <v>1419</v>
      </c>
      <c r="H680" s="1333"/>
      <c r="I680" s="1333"/>
      <c r="J680" s="1333"/>
      <c r="K680" s="1333"/>
      <c r="L680" s="1333"/>
      <c r="M680" s="1333"/>
      <c r="N680" s="1333"/>
      <c r="O680" s="1333"/>
      <c r="P680" s="1333"/>
      <c r="Q680" s="1333"/>
      <c r="R680" s="1333"/>
      <c r="T680" s="19"/>
      <c r="U680" t="s">
        <v>1419</v>
      </c>
      <c r="AA680" s="1333"/>
      <c r="AB680" s="1333"/>
      <c r="AC680" s="1333"/>
      <c r="AD680" s="1333"/>
      <c r="AE680" s="1333"/>
      <c r="AF680" s="1333"/>
      <c r="AG680" s="1333"/>
      <c r="AH680" s="1333"/>
      <c r="AI680" s="1333"/>
      <c r="AJ680" s="1333"/>
      <c r="AK680" s="1333"/>
      <c r="AZ680" s="3"/>
    </row>
    <row r="681" spans="1:52" ht="13.15" customHeight="1">
      <c r="A681" s="19"/>
      <c r="B681" t="s">
        <v>1424</v>
      </c>
      <c r="N681" s="1294" t="s">
        <v>692</v>
      </c>
      <c r="O681" s="1294"/>
      <c r="T681" s="19"/>
      <c r="U681" t="s">
        <v>1424</v>
      </c>
      <c r="AG681" s="1294" t="s">
        <v>692</v>
      </c>
      <c r="AH681" s="1294"/>
      <c r="AZ681" s="3"/>
    </row>
    <row r="682" spans="1:52" ht="13.15" customHeight="1">
      <c r="A682" s="19"/>
      <c r="T682" s="19"/>
      <c r="AZ682" s="3"/>
    </row>
    <row r="683" spans="1:52" ht="13.15" customHeight="1">
      <c r="A683" s="47" t="s">
        <v>1410</v>
      </c>
      <c r="B683" t="s">
        <v>1413</v>
      </c>
      <c r="G683" s="1320">
        <f>C637</f>
        <v>0</v>
      </c>
      <c r="H683" s="1320"/>
      <c r="I683" s="1320"/>
      <c r="J683" s="1320"/>
      <c r="K683" s="1320"/>
      <c r="L683" s="1320"/>
      <c r="M683" s="1320"/>
      <c r="N683" s="1320"/>
      <c r="O683" s="1320"/>
      <c r="P683" s="1320"/>
      <c r="Q683" s="1320"/>
      <c r="R683" s="1320"/>
      <c r="T683" s="47" t="s">
        <v>1411</v>
      </c>
      <c r="U683" t="s">
        <v>1413</v>
      </c>
      <c r="Z683" s="1320">
        <f>C638</f>
        <v>0</v>
      </c>
      <c r="AA683" s="1320"/>
      <c r="AB683" s="1320"/>
      <c r="AC683" s="1320"/>
      <c r="AD683" s="1320"/>
      <c r="AE683" s="1320"/>
      <c r="AF683" s="1320"/>
      <c r="AG683" s="1320"/>
      <c r="AH683" s="1320"/>
      <c r="AI683" s="1320"/>
      <c r="AJ683" s="1320"/>
      <c r="AK683" s="1320"/>
      <c r="AZ683" s="3"/>
    </row>
    <row r="684" spans="1:52" ht="13.15" customHeight="1">
      <c r="B684" t="s">
        <v>1060</v>
      </c>
      <c r="G684" s="1333"/>
      <c r="H684" s="1333"/>
      <c r="I684" s="1333"/>
      <c r="J684" s="1333"/>
      <c r="K684" s="1333"/>
      <c r="L684" s="1333"/>
      <c r="M684" s="1333"/>
      <c r="N684" s="1333"/>
      <c r="O684" s="1333"/>
      <c r="P684" s="1333"/>
      <c r="Q684" s="1333"/>
      <c r="R684" s="1333"/>
      <c r="T684" s="19"/>
      <c r="U684" t="s">
        <v>1060</v>
      </c>
      <c r="Z684" s="1333"/>
      <c r="AA684" s="1333"/>
      <c r="AB684" s="1333"/>
      <c r="AC684" s="1333"/>
      <c r="AD684" s="1333"/>
      <c r="AE684" s="1333"/>
      <c r="AF684" s="1333"/>
      <c r="AG684" s="1333"/>
      <c r="AH684" s="1333"/>
      <c r="AI684" s="1333"/>
      <c r="AJ684" s="1333"/>
      <c r="AK684" s="1333"/>
      <c r="AZ684" s="3"/>
    </row>
    <row r="685" spans="1:52" ht="13.15" customHeight="1">
      <c r="B685" t="s">
        <v>928</v>
      </c>
      <c r="G685" s="1333"/>
      <c r="H685" s="1333"/>
      <c r="I685" s="1333"/>
      <c r="J685" s="1333"/>
      <c r="K685" s="1333"/>
      <c r="L685" s="1333"/>
      <c r="M685" s="1333"/>
      <c r="N685" s="1333"/>
      <c r="O685" s="1333"/>
      <c r="P685" s="1333"/>
      <c r="Q685" s="1333"/>
      <c r="R685" s="1333"/>
      <c r="U685" t="s">
        <v>928</v>
      </c>
      <c r="Z685" s="1310"/>
      <c r="AA685" s="1310"/>
      <c r="AB685" s="1310"/>
      <c r="AC685" s="1310"/>
      <c r="AD685" s="1310"/>
      <c r="AE685" s="1310"/>
      <c r="AF685" s="1310"/>
      <c r="AG685" s="1310"/>
      <c r="AH685" s="1310"/>
      <c r="AI685" s="1310"/>
      <c r="AJ685" s="1310"/>
      <c r="AK685" s="1310"/>
      <c r="AZ685" s="3"/>
    </row>
    <row r="686" spans="1:52" ht="13.15" customHeight="1">
      <c r="B686" t="s">
        <v>1416</v>
      </c>
      <c r="G686" s="1333"/>
      <c r="H686" s="1333"/>
      <c r="I686" s="1333"/>
      <c r="J686" s="1333"/>
      <c r="K686" s="1333"/>
      <c r="L686" s="1333"/>
      <c r="M686" s="1333"/>
      <c r="N686" s="1333"/>
      <c r="O686" s="1333"/>
      <c r="P686" s="1333"/>
      <c r="Q686" s="1333"/>
      <c r="R686" s="1333"/>
      <c r="U686" t="s">
        <v>1416</v>
      </c>
      <c r="Z686" s="1310"/>
      <c r="AA686" s="1310"/>
      <c r="AB686" s="1310"/>
      <c r="AC686" s="1310"/>
      <c r="AD686" s="1310"/>
      <c r="AE686" s="1310"/>
      <c r="AF686" s="1310"/>
      <c r="AG686" s="1310"/>
      <c r="AH686" s="1310"/>
      <c r="AI686" s="1310"/>
      <c r="AJ686" s="1310"/>
      <c r="AK686" s="1310"/>
      <c r="AZ686" s="3"/>
    </row>
    <row r="687" spans="1:52" ht="13.15" customHeight="1">
      <c r="B687" t="s">
        <v>821</v>
      </c>
      <c r="G687" s="1308"/>
      <c r="H687" s="1308"/>
      <c r="I687" s="1308"/>
      <c r="J687" s="1308"/>
      <c r="K687" s="1308"/>
      <c r="L687" s="1308"/>
      <c r="O687" s="923" t="s">
        <v>1069</v>
      </c>
      <c r="P687" s="1395"/>
      <c r="Q687" s="1395"/>
      <c r="R687" s="1395"/>
      <c r="U687" t="s">
        <v>821</v>
      </c>
      <c r="Z687" s="1308"/>
      <c r="AA687" s="1308"/>
      <c r="AB687" s="1308"/>
      <c r="AC687" s="1308"/>
      <c r="AD687" s="1308"/>
      <c r="AE687" s="1308"/>
      <c r="AH687" s="923" t="s">
        <v>1069</v>
      </c>
      <c r="AI687" s="1395"/>
      <c r="AJ687" s="1395"/>
      <c r="AK687" s="1395"/>
      <c r="AZ687" s="3"/>
    </row>
    <row r="688" spans="1:52" ht="13.15" customHeight="1">
      <c r="B688" t="s">
        <v>1419</v>
      </c>
      <c r="H688" s="1333"/>
      <c r="I688" s="1333"/>
      <c r="J688" s="1333"/>
      <c r="K688" s="1333"/>
      <c r="L688" s="1333"/>
      <c r="M688" s="1333"/>
      <c r="N688" s="1333"/>
      <c r="O688" s="1333"/>
      <c r="P688" s="1333"/>
      <c r="Q688" s="1333"/>
      <c r="R688" s="1333"/>
      <c r="U688" t="s">
        <v>1419</v>
      </c>
      <c r="AA688" s="1333"/>
      <c r="AB688" s="1333"/>
      <c r="AC688" s="1333"/>
      <c r="AD688" s="1333"/>
      <c r="AE688" s="1333"/>
      <c r="AF688" s="1333"/>
      <c r="AG688" s="1333"/>
      <c r="AH688" s="1333"/>
      <c r="AI688" s="1333"/>
      <c r="AJ688" s="1333"/>
      <c r="AK688" s="1333"/>
      <c r="AZ688" s="3"/>
    </row>
    <row r="689" spans="1:67" ht="13.15" customHeight="1">
      <c r="B689" t="s">
        <v>1424</v>
      </c>
      <c r="N689" s="1294" t="s">
        <v>692</v>
      </c>
      <c r="O689" s="1294"/>
      <c r="U689" t="s">
        <v>1424</v>
      </c>
      <c r="AG689" s="1294" t="s">
        <v>692</v>
      </c>
      <c r="AH689" s="1294"/>
      <c r="AZ689" s="3"/>
    </row>
    <row r="690" spans="1:67" ht="13.15" customHeight="1">
      <c r="AZ690" s="3"/>
    </row>
    <row r="691" spans="1:67" ht="13.15" customHeight="1">
      <c r="A691" s="2" t="s">
        <v>909</v>
      </c>
      <c r="C691" s="2" t="s">
        <v>179</v>
      </c>
      <c r="E691" s="95"/>
      <c r="F691" s="95"/>
      <c r="G691" s="95"/>
      <c r="H691" s="95"/>
      <c r="AZ691" s="3"/>
    </row>
    <row r="692" spans="1:67" ht="13.15" customHeight="1">
      <c r="B692" s="99"/>
      <c r="C692" s="99"/>
      <c r="D692" s="926" t="s">
        <v>1444</v>
      </c>
      <c r="E692" s="99"/>
      <c r="F692" s="99"/>
      <c r="G692" s="99"/>
      <c r="H692" s="99"/>
      <c r="AZ692" s="3"/>
    </row>
    <row r="693" spans="1:67" ht="13.15" customHeight="1">
      <c r="B693" s="99"/>
      <c r="C693" s="99"/>
      <c r="E693" s="926" t="s">
        <v>1445</v>
      </c>
      <c r="F693" s="99"/>
      <c r="G693" s="99"/>
      <c r="H693" s="99"/>
      <c r="AE693" s="1294" t="s">
        <v>692</v>
      </c>
      <c r="AF693" s="1294"/>
      <c r="AZ693" s="3"/>
    </row>
    <row r="694" spans="1:67" ht="13.15" customHeight="1">
      <c r="B694" s="99"/>
      <c r="C694" s="99"/>
      <c r="D694" s="926" t="s">
        <v>1446</v>
      </c>
      <c r="E694" s="99"/>
      <c r="F694" s="99"/>
      <c r="G694" s="99"/>
      <c r="H694" s="99"/>
      <c r="AE694" s="1294" t="s">
        <v>843</v>
      </c>
      <c r="AF694" s="1294"/>
      <c r="AZ694" s="3"/>
    </row>
    <row r="695" spans="1:67" ht="13.15" customHeight="1">
      <c r="B695" s="99"/>
      <c r="C695" s="99"/>
      <c r="D695" s="926" t="s">
        <v>1447</v>
      </c>
      <c r="E695" s="99"/>
      <c r="F695" s="99"/>
      <c r="G695" s="99"/>
      <c r="H695" s="99"/>
      <c r="AE695" s="1636">
        <v>45909</v>
      </c>
      <c r="AF695" s="1636"/>
      <c r="AG695" s="1636"/>
      <c r="AH695" s="1636"/>
      <c r="AI695" s="1636"/>
    </row>
    <row r="696" spans="1:67" ht="13.15" customHeight="1">
      <c r="B696" s="99"/>
      <c r="C696" s="99"/>
      <c r="D696" s="223" t="s">
        <v>1448</v>
      </c>
      <c r="E696" s="99"/>
      <c r="F696" s="99"/>
      <c r="G696" s="99"/>
      <c r="H696" s="99"/>
      <c r="AE696" s="1646">
        <v>45980</v>
      </c>
      <c r="AF696" s="1646"/>
      <c r="AG696" s="1646"/>
      <c r="AH696" s="1646"/>
      <c r="AI696" s="1646"/>
    </row>
    <row r="697" spans="1:67" ht="13.15" customHeight="1">
      <c r="B697" s="99"/>
      <c r="C697" s="99"/>
    </row>
    <row r="698" spans="1:67" ht="13.15" customHeight="1">
      <c r="B698" s="99"/>
      <c r="C698" s="99"/>
      <c r="D698" s="926" t="s">
        <v>1449</v>
      </c>
      <c r="E698" s="99"/>
      <c r="F698" s="99"/>
      <c r="G698" s="99"/>
      <c r="H698" s="99"/>
      <c r="AE698" s="1636">
        <v>46006</v>
      </c>
      <c r="AF698" s="1636"/>
      <c r="AG698" s="1636"/>
      <c r="AH698" s="1636"/>
      <c r="AI698" s="1636"/>
    </row>
    <row r="699" spans="1:67" ht="13.15" customHeight="1">
      <c r="B699" s="99"/>
      <c r="C699" s="99"/>
      <c r="D699" s="926" t="s">
        <v>1450</v>
      </c>
      <c r="E699" s="99"/>
      <c r="F699" s="99"/>
      <c r="G699" s="99"/>
      <c r="H699" s="99"/>
      <c r="AE699" s="1605"/>
      <c r="AF699" s="1605"/>
      <c r="AG699" s="1605"/>
      <c r="AH699" s="1605"/>
      <c r="AI699" s="1605"/>
    </row>
    <row r="700" spans="1:67" ht="13.15" customHeight="1">
      <c r="B700" s="99"/>
      <c r="C700" s="99"/>
      <c r="D700" s="926" t="s">
        <v>1451</v>
      </c>
      <c r="E700" s="99"/>
      <c r="F700" s="99"/>
      <c r="G700" s="99"/>
      <c r="H700" s="99"/>
      <c r="W700" s="1320" t="str">
        <f>H335</f>
        <v xml:space="preserve">California Municipal Finance Authority </v>
      </c>
      <c r="X700" s="1320"/>
      <c r="Y700" s="1320"/>
      <c r="Z700" s="1320"/>
      <c r="AA700" s="1320"/>
      <c r="AB700" s="1320"/>
      <c r="AC700" s="1320"/>
      <c r="AD700" s="1320"/>
      <c r="AE700" s="1320"/>
      <c r="AF700" s="1320"/>
      <c r="AG700" s="1320"/>
      <c r="AH700" s="1320"/>
      <c r="AI700" s="1320"/>
      <c r="AJ700" s="1320"/>
      <c r="AK700" s="1320"/>
    </row>
    <row r="701" spans="1:67" ht="13.15" customHeight="1">
      <c r="B701" s="99"/>
      <c r="C701" s="99"/>
      <c r="D701" s="926"/>
      <c r="E701" s="99"/>
      <c r="F701" s="99"/>
      <c r="G701" s="99"/>
      <c r="H701" s="99"/>
    </row>
    <row r="702" spans="1:67" ht="13.15" customHeight="1">
      <c r="B702" s="99"/>
      <c r="C702" s="99"/>
      <c r="D702" s="926" t="s">
        <v>1452</v>
      </c>
      <c r="E702" s="99"/>
      <c r="F702" s="99"/>
      <c r="G702" s="99"/>
      <c r="H702" s="99"/>
      <c r="AE702" s="1294" t="s">
        <v>692</v>
      </c>
      <c r="AF702" s="1294"/>
      <c r="AZ702" s="3" t="s">
        <v>827</v>
      </c>
    </row>
    <row r="703" spans="1:67" ht="13.15" customHeight="1">
      <c r="B703" s="99"/>
      <c r="C703" s="99"/>
      <c r="D703" s="926" t="s">
        <v>1453</v>
      </c>
      <c r="E703" s="99"/>
      <c r="F703" s="99"/>
      <c r="G703" s="99"/>
      <c r="H703" s="99"/>
      <c r="W703" s="1333"/>
      <c r="X703" s="1333"/>
      <c r="Y703" s="1333"/>
      <c r="Z703" s="1333"/>
      <c r="AA703" s="1333"/>
      <c r="AB703" s="1333"/>
      <c r="AC703" s="1333"/>
      <c r="AD703" s="1333"/>
      <c r="AE703" s="1333"/>
      <c r="AF703" s="1333"/>
      <c r="AG703" s="1333"/>
      <c r="AH703" s="1333"/>
      <c r="AI703" s="1333"/>
      <c r="AJ703" s="1333"/>
      <c r="AK703" s="1333"/>
      <c r="AZ703" s="3" t="s">
        <v>828</v>
      </c>
    </row>
    <row r="704" spans="1:67" ht="13.15" customHeight="1">
      <c r="B704" s="99"/>
      <c r="C704" s="99"/>
      <c r="D704" s="926" t="s">
        <v>1065</v>
      </c>
      <c r="E704" s="99"/>
      <c r="F704" s="99"/>
      <c r="G704" s="99"/>
      <c r="H704" s="99"/>
      <c r="J704" s="1333"/>
      <c r="K704" s="1333"/>
      <c r="L704" s="1333"/>
      <c r="M704" s="1333"/>
      <c r="N704" s="1333"/>
      <c r="O704" s="1333"/>
      <c r="P704" s="1333"/>
      <c r="Q704" s="1333"/>
      <c r="R704" s="1333"/>
      <c r="S704" s="1333"/>
      <c r="T704" s="1333"/>
      <c r="U704" s="1333"/>
      <c r="V704" s="1333"/>
      <c r="W704" s="1333"/>
      <c r="X704" s="1333"/>
      <c r="AZ704" s="3" t="s">
        <v>829</v>
      </c>
      <c r="BB704" s="3"/>
      <c r="BC704" s="3"/>
      <c r="BD704" s="3"/>
      <c r="BE704" s="3"/>
      <c r="BF704" s="3"/>
      <c r="BJ704" s="3"/>
      <c r="BK704" s="3"/>
      <c r="BL704" s="3"/>
      <c r="BM704" s="3"/>
      <c r="BN704" s="3"/>
      <c r="BO704" s="3"/>
    </row>
    <row r="705" spans="1:185" ht="13.15" customHeight="1">
      <c r="B705" s="99"/>
      <c r="C705" s="99"/>
      <c r="D705" s="926" t="s">
        <v>1067</v>
      </c>
      <c r="J705" s="1308"/>
      <c r="K705" s="1308"/>
      <c r="L705" s="1308"/>
      <c r="M705" s="1308"/>
      <c r="N705" s="1308"/>
      <c r="O705" s="1308"/>
      <c r="P705" s="3" t="s">
        <v>1069</v>
      </c>
      <c r="Q705" s="3"/>
      <c r="R705" s="1395"/>
      <c r="S705" s="1395"/>
      <c r="T705" s="1395"/>
      <c r="AZ705" s="3" t="s">
        <v>830</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15" customHeight="1">
      <c r="B706" s="99"/>
      <c r="C706" s="99"/>
      <c r="D706" s="926" t="s">
        <v>1454</v>
      </c>
      <c r="W706" s="1333" t="s">
        <v>309</v>
      </c>
      <c r="X706" s="1333"/>
      <c r="Y706" s="1333"/>
      <c r="Z706" s="1333"/>
      <c r="AA706" s="1333"/>
      <c r="AB706" s="1333"/>
      <c r="AC706" s="1333"/>
      <c r="AD706" s="1333"/>
      <c r="AE706" s="1333"/>
      <c r="AF706" s="1333"/>
      <c r="AG706" s="1333"/>
      <c r="AH706" s="1333"/>
      <c r="AI706" s="1333"/>
      <c r="AJ706" s="1333"/>
      <c r="AK706" s="1333"/>
      <c r="AZ706" s="3" t="s">
        <v>831</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15" customHeight="1">
      <c r="B707" s="99"/>
      <c r="C707" s="99"/>
      <c r="D707" s="926"/>
      <c r="E707" s="1333" t="s">
        <v>1347</v>
      </c>
      <c r="F707" s="1333"/>
      <c r="G707" s="1333"/>
      <c r="H707" s="1333"/>
      <c r="I707" s="1333"/>
      <c r="J707" s="1333"/>
      <c r="K707" s="1333"/>
      <c r="L707" s="1333"/>
      <c r="M707" s="1333"/>
      <c r="N707" s="1333"/>
      <c r="O707" s="1333"/>
      <c r="P707" s="1333"/>
      <c r="Q707" s="1333"/>
      <c r="R707" s="1333"/>
      <c r="S707" s="1333"/>
      <c r="T707" s="1333"/>
      <c r="U707" s="1333"/>
      <c r="V707" s="1333"/>
      <c r="W707" s="1333"/>
      <c r="X707" s="1333"/>
      <c r="Y707" s="1333"/>
      <c r="Z707" s="1333"/>
      <c r="AA707" s="1333"/>
      <c r="AB707" s="1333"/>
      <c r="AC707" s="1333"/>
      <c r="AD707" s="1333"/>
      <c r="AE707" s="1333"/>
      <c r="AF707" s="1333"/>
      <c r="AG707" s="1333"/>
      <c r="AH707" s="1333"/>
      <c r="AI707" s="1333"/>
      <c r="AJ707" s="1333"/>
      <c r="AK707" s="1333"/>
      <c r="AZ707" s="3" t="s">
        <v>832</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1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15" customHeight="1">
      <c r="A709" s="1222" t="s">
        <v>1455</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15"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15"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15" customHeight="1">
      <c r="A712" s="2" t="s">
        <v>868</v>
      </c>
      <c r="B712" s="2"/>
      <c r="C712" s="2" t="s">
        <v>1456</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1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15" customHeight="1">
      <c r="B714" s="1324" t="s">
        <v>1457</v>
      </c>
      <c r="C714" s="1325"/>
      <c r="D714" s="1325"/>
      <c r="E714" s="1325"/>
      <c r="F714" s="1326"/>
      <c r="G714" s="1324" t="s">
        <v>1458</v>
      </c>
      <c r="H714" s="1325"/>
      <c r="I714" s="1325"/>
      <c r="J714" s="1326"/>
      <c r="K714" s="1663" t="s">
        <v>1459</v>
      </c>
      <c r="L714" s="1664"/>
      <c r="M714" s="1664"/>
      <c r="N714" s="1665"/>
      <c r="O714" s="1324" t="s">
        <v>1460</v>
      </c>
      <c r="P714" s="1325"/>
      <c r="Q714" s="1325"/>
      <c r="R714" s="1325"/>
      <c r="S714" s="1326"/>
      <c r="T714" s="1324" t="s">
        <v>1461</v>
      </c>
      <c r="U714" s="1325"/>
      <c r="V714" s="1325"/>
      <c r="W714" s="1326"/>
      <c r="X714" s="1324" t="s">
        <v>1462</v>
      </c>
      <c r="Y714" s="1325"/>
      <c r="Z714" s="1325"/>
      <c r="AA714" s="1325"/>
      <c r="AB714" s="1326"/>
      <c r="AC714" s="1324" t="s">
        <v>1463</v>
      </c>
      <c r="AD714" s="1325"/>
      <c r="AE714" s="1325"/>
      <c r="AF714" s="1325"/>
      <c r="AG714" s="1326"/>
      <c r="AH714" s="1324" t="s">
        <v>1464</v>
      </c>
      <c r="AI714" s="1325"/>
      <c r="AJ714" s="1326"/>
      <c r="AK714" s="1324" t="s">
        <v>1465</v>
      </c>
      <c r="AL714" s="1325"/>
      <c r="AM714" s="1325"/>
      <c r="AN714" s="1325"/>
      <c r="AO714" s="132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15" customHeight="1">
      <c r="B715" s="1327"/>
      <c r="C715" s="1328"/>
      <c r="D715" s="1328"/>
      <c r="E715" s="1328"/>
      <c r="F715" s="1329"/>
      <c r="G715" s="1327"/>
      <c r="H715" s="1328"/>
      <c r="I715" s="1328"/>
      <c r="J715" s="1329"/>
      <c r="K715" s="1666"/>
      <c r="L715" s="1667"/>
      <c r="M715" s="1667"/>
      <c r="N715" s="1668"/>
      <c r="O715" s="1327"/>
      <c r="P715" s="1328"/>
      <c r="Q715" s="1328"/>
      <c r="R715" s="1328"/>
      <c r="S715" s="1329"/>
      <c r="T715" s="1327"/>
      <c r="U715" s="1328"/>
      <c r="V715" s="1328"/>
      <c r="W715" s="1329"/>
      <c r="X715" s="1327"/>
      <c r="Y715" s="1328"/>
      <c r="Z715" s="1328"/>
      <c r="AA715" s="1328"/>
      <c r="AB715" s="1329"/>
      <c r="AC715" s="1327"/>
      <c r="AD715" s="1328"/>
      <c r="AE715" s="1328"/>
      <c r="AF715" s="1328"/>
      <c r="AG715" s="1329"/>
      <c r="AH715" s="1327"/>
      <c r="AI715" s="1328"/>
      <c r="AJ715" s="1329"/>
      <c r="AK715" s="1327"/>
      <c r="AL715" s="1328"/>
      <c r="AM715" s="1328"/>
      <c r="AN715" s="1328"/>
      <c r="AO715" s="132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15" customHeight="1">
      <c r="A716" s="3"/>
      <c r="B716" s="1327"/>
      <c r="C716" s="1328"/>
      <c r="D716" s="1328"/>
      <c r="E716" s="1328"/>
      <c r="F716" s="1329"/>
      <c r="G716" s="1327"/>
      <c r="H716" s="1328"/>
      <c r="I716" s="1328"/>
      <c r="J716" s="1329"/>
      <c r="K716" s="1666"/>
      <c r="L716" s="1667"/>
      <c r="M716" s="1667"/>
      <c r="N716" s="1668"/>
      <c r="O716" s="1327"/>
      <c r="P716" s="1328"/>
      <c r="Q716" s="1328"/>
      <c r="R716" s="1328"/>
      <c r="S716" s="1329"/>
      <c r="T716" s="1327"/>
      <c r="U716" s="1328"/>
      <c r="V716" s="1328"/>
      <c r="W716" s="1329"/>
      <c r="X716" s="1327"/>
      <c r="Y716" s="1328"/>
      <c r="Z716" s="1328"/>
      <c r="AA716" s="1328"/>
      <c r="AB716" s="1329"/>
      <c r="AC716" s="1327"/>
      <c r="AD716" s="1328"/>
      <c r="AE716" s="1328"/>
      <c r="AF716" s="1328"/>
      <c r="AG716" s="1329"/>
      <c r="AH716" s="1327"/>
      <c r="AI716" s="1328"/>
      <c r="AJ716" s="1329"/>
      <c r="AK716" s="1327"/>
      <c r="AL716" s="1328"/>
      <c r="AM716" s="1328"/>
      <c r="AN716" s="1328"/>
      <c r="AO716" s="1329"/>
      <c r="AP716" s="3"/>
      <c r="AQ716" s="3"/>
      <c r="AR716" s="3"/>
      <c r="AS716" s="3"/>
      <c r="BA716" s="3"/>
      <c r="BB716" s="3"/>
      <c r="BC716" s="3"/>
      <c r="BD716" s="3"/>
      <c r="BE716" s="136"/>
      <c r="BF716" s="137" t="s">
        <v>1466</v>
      </c>
      <c r="BG716" s="136"/>
      <c r="BH716" s="136"/>
      <c r="BI716" s="3"/>
      <c r="BJ716" s="3"/>
      <c r="BK716" s="3"/>
      <c r="BL716" s="3"/>
      <c r="BM716" s="3"/>
      <c r="BN716" s="3"/>
      <c r="BS716" s="137" t="s">
        <v>1467</v>
      </c>
      <c r="BT716" s="136"/>
      <c r="BU716" s="136"/>
      <c r="CC716" s="3"/>
      <c r="CD716" s="3"/>
      <c r="CE716" s="3"/>
      <c r="CF716" s="3"/>
      <c r="CG716" s="3"/>
      <c r="CH716" s="3"/>
      <c r="CI716" s="3"/>
      <c r="CJ716" s="3"/>
      <c r="CK716" s="3"/>
      <c r="CL716" s="3"/>
      <c r="CM716" s="3"/>
      <c r="CN716" s="3"/>
      <c r="CO716" s="3"/>
      <c r="CP716" s="3" t="s">
        <v>1468</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1469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1470</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15" customHeight="1">
      <c r="A717" s="3"/>
      <c r="B717" s="1330"/>
      <c r="C717" s="1331"/>
      <c r="D717" s="1331"/>
      <c r="E717" s="1331"/>
      <c r="F717" s="1332"/>
      <c r="G717" s="1330"/>
      <c r="H717" s="1331"/>
      <c r="I717" s="1331"/>
      <c r="J717" s="1332"/>
      <c r="K717" s="1666"/>
      <c r="L717" s="1667"/>
      <c r="M717" s="1667"/>
      <c r="N717" s="1668"/>
      <c r="O717" s="1330"/>
      <c r="P717" s="1331"/>
      <c r="Q717" s="1331"/>
      <c r="R717" s="1331"/>
      <c r="S717" s="1332"/>
      <c r="T717" s="1330"/>
      <c r="U717" s="1331"/>
      <c r="V717" s="1331"/>
      <c r="W717" s="1332"/>
      <c r="X717" s="1330"/>
      <c r="Y717" s="1331"/>
      <c r="Z717" s="1331"/>
      <c r="AA717" s="1331"/>
      <c r="AB717" s="1332"/>
      <c r="AC717" s="1330"/>
      <c r="AD717" s="1331"/>
      <c r="AE717" s="1331"/>
      <c r="AF717" s="1331"/>
      <c r="AG717" s="1332"/>
      <c r="AH717" s="1330"/>
      <c r="AI717" s="1331"/>
      <c r="AJ717" s="1332"/>
      <c r="AK717" s="1330"/>
      <c r="AL717" s="1331"/>
      <c r="AM717" s="1331"/>
      <c r="AN717" s="1331"/>
      <c r="AO717" s="1332"/>
      <c r="AP717" s="3"/>
      <c r="AQ717" s="3"/>
      <c r="AR717" s="3"/>
      <c r="AS717" s="3"/>
      <c r="AZ717" s="73" t="s">
        <v>1471</v>
      </c>
      <c r="BA717" s="3"/>
      <c r="BB717" s="3"/>
      <c r="BC717" s="3"/>
      <c r="BD717" s="3"/>
      <c r="BE717" s="136"/>
      <c r="BF717" s="201" t="s">
        <v>1472</v>
      </c>
      <c r="BG717" s="205" t="s">
        <v>1473</v>
      </c>
      <c r="BH717" s="204" t="s">
        <v>1474</v>
      </c>
      <c r="BI717" s="3"/>
      <c r="BJ717" s="3"/>
      <c r="BK717" s="3"/>
      <c r="BL717" s="3"/>
      <c r="BM717" s="3"/>
      <c r="BN717" s="3"/>
      <c r="BS717" s="201" t="s">
        <v>1472</v>
      </c>
      <c r="BT717" s="205" t="s">
        <v>1473</v>
      </c>
      <c r="BU717" s="204" t="s">
        <v>1474</v>
      </c>
      <c r="CC717" s="3"/>
      <c r="CD717" s="3"/>
      <c r="CE717" s="3"/>
      <c r="CF717" s="3"/>
      <c r="CG717" s="87" t="s">
        <v>1475</v>
      </c>
      <c r="CH717" s="88"/>
      <c r="CI717" s="1421"/>
      <c r="CJ717" s="1422"/>
      <c r="CK717" s="87" t="s">
        <v>1476</v>
      </c>
      <c r="CL717" s="88"/>
      <c r="CM717" s="1421"/>
      <c r="CN717" s="1422"/>
      <c r="CO717" s="3"/>
      <c r="CP717" s="1348" t="s">
        <v>833</v>
      </c>
      <c r="CQ717" s="1349"/>
      <c r="CR717" s="1349"/>
      <c r="CS717" s="1349"/>
      <c r="CT717" s="1350"/>
      <c r="CU717" s="1420" t="s">
        <v>828</v>
      </c>
      <c r="CV717" s="1420"/>
      <c r="CW717" s="1420"/>
      <c r="CX717" s="1420"/>
      <c r="CY717" s="1420"/>
      <c r="CZ717" s="1420" t="s">
        <v>829</v>
      </c>
      <c r="DA717" s="1420"/>
      <c r="DB717" s="1420"/>
      <c r="DC717" s="1420"/>
      <c r="DD717" s="1420"/>
      <c r="DE717" s="1420" t="s">
        <v>830</v>
      </c>
      <c r="DF717" s="1420"/>
      <c r="DG717" s="1420"/>
      <c r="DH717" s="1420"/>
      <c r="DI717" s="1420"/>
      <c r="DJ717" s="1420" t="s">
        <v>834</v>
      </c>
      <c r="DK717" s="1420"/>
      <c r="DL717" s="1420"/>
      <c r="DM717" s="1420"/>
      <c r="DN717" s="1420"/>
      <c r="DO717" s="1420" t="s">
        <v>832</v>
      </c>
      <c r="DP717" s="1420"/>
      <c r="DQ717" s="1420"/>
      <c r="DR717" s="1420"/>
      <c r="DS717" s="1420"/>
      <c r="DT717" s="65"/>
      <c r="DU717" s="1420" t="s">
        <v>833</v>
      </c>
      <c r="DV717" s="1420"/>
      <c r="DW717" s="1420"/>
      <c r="DX717" s="1420"/>
      <c r="DY717" s="1420"/>
      <c r="DZ717" s="1420" t="s">
        <v>828</v>
      </c>
      <c r="EA717" s="1420"/>
      <c r="EB717" s="1420"/>
      <c r="EC717" s="1420"/>
      <c r="ED717" s="1420"/>
      <c r="EE717" s="1420" t="s">
        <v>829</v>
      </c>
      <c r="EF717" s="1420"/>
      <c r="EG717" s="1420"/>
      <c r="EH717" s="1420"/>
      <c r="EI717" s="1420"/>
      <c r="EJ717" s="1420" t="s">
        <v>830</v>
      </c>
      <c r="EK717" s="1420"/>
      <c r="EL717" s="1420"/>
      <c r="EM717" s="1420"/>
      <c r="EN717" s="1420"/>
      <c r="EO717" s="1420" t="s">
        <v>834</v>
      </c>
      <c r="EP717" s="1420"/>
      <c r="EQ717" s="1420"/>
      <c r="ER717" s="1420"/>
      <c r="ES717" s="1420"/>
      <c r="ET717" s="1420" t="s">
        <v>832</v>
      </c>
      <c r="EU717" s="1420"/>
      <c r="EV717" s="1420"/>
      <c r="EW717" s="1420"/>
      <c r="EX717" s="1420"/>
      <c r="EY717" s="3"/>
      <c r="EZ717" s="1420" t="s">
        <v>833</v>
      </c>
      <c r="FA717" s="1420"/>
      <c r="FB717" s="1420"/>
      <c r="FC717" s="1420"/>
      <c r="FD717" s="1420"/>
      <c r="FE717" s="1420" t="s">
        <v>828</v>
      </c>
      <c r="FF717" s="1420"/>
      <c r="FG717" s="1420"/>
      <c r="FH717" s="1420"/>
      <c r="FI717" s="1420"/>
      <c r="FJ717" s="1420" t="s">
        <v>829</v>
      </c>
      <c r="FK717" s="1420"/>
      <c r="FL717" s="1420"/>
      <c r="FM717" s="1420"/>
      <c r="FN717" s="1420"/>
      <c r="FO717" s="1420" t="s">
        <v>830</v>
      </c>
      <c r="FP717" s="1420"/>
      <c r="FQ717" s="1420"/>
      <c r="FR717" s="1420"/>
      <c r="FS717" s="1420"/>
      <c r="FT717" s="1420" t="s">
        <v>834</v>
      </c>
      <c r="FU717" s="1420"/>
      <c r="FV717" s="1420"/>
      <c r="FW717" s="1420"/>
      <c r="FX717" s="1420"/>
      <c r="FY717" s="1420" t="s">
        <v>832</v>
      </c>
      <c r="FZ717" s="1420"/>
      <c r="GA717" s="1420"/>
      <c r="GB717" s="1420"/>
      <c r="GC717" s="1420"/>
    </row>
    <row r="718" spans="1:185" ht="13.15" customHeight="1">
      <c r="A718" s="3"/>
      <c r="B718" s="1299" t="s">
        <v>828</v>
      </c>
      <c r="C718" s="1300"/>
      <c r="D718" s="1300"/>
      <c r="E718" s="1300"/>
      <c r="F718" s="1301"/>
      <c r="G718" s="1311">
        <v>20</v>
      </c>
      <c r="H718" s="1312"/>
      <c r="I718" s="1312"/>
      <c r="J718" s="1313"/>
      <c r="K718" s="1305">
        <v>607</v>
      </c>
      <c r="L718" s="1306"/>
      <c r="M718" s="1306"/>
      <c r="N718" s="1307"/>
      <c r="O718" s="1302">
        <v>851</v>
      </c>
      <c r="P718" s="1303"/>
      <c r="Q718" s="1303"/>
      <c r="R718" s="1303"/>
      <c r="S718" s="1304"/>
      <c r="T718" s="1302">
        <v>47</v>
      </c>
      <c r="U718" s="1303"/>
      <c r="V718" s="1303"/>
      <c r="W718" s="1304"/>
      <c r="X718" s="1314">
        <f t="shared" ref="X718:X741" si="8">O718+T718</f>
        <v>898</v>
      </c>
      <c r="Y718" s="1315"/>
      <c r="Z718" s="1315"/>
      <c r="AA718" s="1315"/>
      <c r="AB718" s="1316"/>
      <c r="AC718" s="1321">
        <v>0.3</v>
      </c>
      <c r="AD718" s="1322"/>
      <c r="AE718" s="1322"/>
      <c r="AF718" s="1322"/>
      <c r="AG718" s="1323"/>
      <c r="AH718" s="1317">
        <f>IF($AC718&gt;0,($X718/$AZ718), "")</f>
        <v>0.29973297730307075</v>
      </c>
      <c r="AI718" s="1318"/>
      <c r="AJ718" s="1319"/>
      <c r="AK718" s="1299" t="s">
        <v>807</v>
      </c>
      <c r="AL718" s="1300"/>
      <c r="AM718" s="1300"/>
      <c r="AN718" s="1300"/>
      <c r="AO718" s="1301"/>
      <c r="AP718" s="3"/>
      <c r="AQ718" s="3"/>
      <c r="AR718" s="3"/>
      <c r="AS718" s="3"/>
      <c r="AZ718" s="84">
        <f t="shared" ref="AZ718:AZ752" si="9">IF($G718=0,"N/A",VLOOKUP($T$189,TC_Rent,(MATCH($B718,bedrooms,FALSE)),FALSE))</f>
        <v>2996</v>
      </c>
      <c r="BA718" s="3"/>
      <c r="BB718" s="3"/>
      <c r="BC718" s="3"/>
      <c r="BD718" s="3"/>
      <c r="BE718" s="136"/>
      <c r="BF718" s="202">
        <f t="shared" ref="BF718:BF752" si="10">G718</f>
        <v>20</v>
      </c>
      <c r="BG718" s="206">
        <f t="shared" ref="BG718:BG752" si="11">IF($BF$753=0,0,BF718/$BF$753)</f>
        <v>0.10362694300518134</v>
      </c>
      <c r="BH718" s="207">
        <f t="shared" ref="BH718:BH752" si="12">IF(BG718=0,"",BG718*AC718)</f>
        <v>3.10880829015544E-2</v>
      </c>
      <c r="BI718" s="3"/>
      <c r="BJ718" s="3"/>
      <c r="BK718" s="3"/>
      <c r="BL718" s="3"/>
      <c r="BM718" s="3"/>
      <c r="BN718" s="3"/>
      <c r="BS718" s="202">
        <f t="shared" ref="BS718:BS752" si="13">G718</f>
        <v>20</v>
      </c>
      <c r="BT718" s="206">
        <f t="shared" ref="BT718:BT752" si="14">IF($BS$753=0,0,BS718/$BS$753)</f>
        <v>0.10362694300518134</v>
      </c>
      <c r="BU718" s="207">
        <f t="shared" ref="BU718:BU752" si="15">IF(BT718=0,"",BT718*AH718)</f>
        <v>3.1060412155758624E-2</v>
      </c>
      <c r="CC718" s="3"/>
      <c r="CD718" s="3"/>
      <c r="CE718" s="3"/>
      <c r="CF718" s="3"/>
      <c r="CG718" s="1421">
        <f>IF(AND(AC718&lt;=0.5,AC718&gt;=0.36),1,0)</f>
        <v>0</v>
      </c>
      <c r="CH718" s="1422"/>
      <c r="CI718" s="1421">
        <f>IF(CG718=1,G718,0)</f>
        <v>0</v>
      </c>
      <c r="CJ718" s="1422"/>
      <c r="CK718" s="1421">
        <f t="shared" ref="CK718:CK752" si="16">IF(AND(AC718&lt;=0.35,AC718&gt;0),1,0)</f>
        <v>1</v>
      </c>
      <c r="CL718" s="1422"/>
      <c r="CM718" s="1421">
        <f t="shared" ref="CM718:CM752" si="17">IF(CK718=1,G718,0)</f>
        <v>20</v>
      </c>
      <c r="CN718" s="1422"/>
      <c r="CO718" s="3"/>
      <c r="CP718" s="1416">
        <f t="shared" ref="CP718:CP752" si="18">IF(B718="SRO/Studio",G718,0)</f>
        <v>0</v>
      </c>
      <c r="CQ718" s="1417"/>
      <c r="CR718" s="1417"/>
      <c r="CS718" s="1417"/>
      <c r="CT718" s="1418"/>
      <c r="CU718" s="1401">
        <f t="shared" ref="CU718:CU752" si="19">IF(B718="1 Bedroom",G718,0)</f>
        <v>20</v>
      </c>
      <c r="CV718" s="1401"/>
      <c r="CW718" s="1401"/>
      <c r="CX718" s="1401"/>
      <c r="CY718" s="1401"/>
      <c r="CZ718" s="1401">
        <f t="shared" ref="CZ718:CZ752" si="20">IF(B718="2 Bedrooms",G718,0)</f>
        <v>0</v>
      </c>
      <c r="DA718" s="1401"/>
      <c r="DB718" s="1401"/>
      <c r="DC718" s="1401"/>
      <c r="DD718" s="1401"/>
      <c r="DE718" s="1401">
        <f t="shared" ref="DE718:DE752" si="21">IF(B718="3 Bedrooms",G718,0)</f>
        <v>0</v>
      </c>
      <c r="DF718" s="1401"/>
      <c r="DG718" s="1401"/>
      <c r="DH718" s="1401"/>
      <c r="DI718" s="1401"/>
      <c r="DJ718" s="1401">
        <f t="shared" ref="DJ718:DJ752" si="22">IF(B718="4 Bedrooms",G718,0)</f>
        <v>0</v>
      </c>
      <c r="DK718" s="1401"/>
      <c r="DL718" s="1401"/>
      <c r="DM718" s="1401"/>
      <c r="DN718" s="1401"/>
      <c r="DO718" s="1401">
        <f t="shared" ref="DO718:DO752" si="23">IF(B718="5 Bedrooms",G718,0)</f>
        <v>0</v>
      </c>
      <c r="DP718" s="1401"/>
      <c r="DQ718" s="1401"/>
      <c r="DR718" s="1401"/>
      <c r="DS718" s="1401"/>
      <c r="DT718" s="257"/>
      <c r="DU718" s="1402">
        <f t="shared" ref="DU718:DU752" si="24">IF(AND(B718="SRO/Studio",AC718&lt;=0.3),G718,0)</f>
        <v>0</v>
      </c>
      <c r="DV718" s="1402"/>
      <c r="DW718" s="1402"/>
      <c r="DX718" s="1402"/>
      <c r="DY718" s="1402"/>
      <c r="DZ718" s="1402">
        <f t="shared" ref="DZ718:DZ752" si="25">IF(AND(B718="1 Bedroom",AC718&lt;=0.3),G718,0)</f>
        <v>20</v>
      </c>
      <c r="EA718" s="1402"/>
      <c r="EB718" s="1402"/>
      <c r="EC718" s="1402"/>
      <c r="ED718" s="1402"/>
      <c r="EE718" s="1402">
        <f t="shared" ref="EE718:EE752" si="26">IF(AND(B718="2 Bedrooms",AC718&lt;=0.3),G718,0)</f>
        <v>0</v>
      </c>
      <c r="EF718" s="1402"/>
      <c r="EG718" s="1402"/>
      <c r="EH718" s="1402"/>
      <c r="EI718" s="1402"/>
      <c r="EJ718" s="1402">
        <f t="shared" ref="EJ718:EJ752" si="27">IF(AND(B718="3 Bedrooms",AC718&lt;=0.3),G718,0)</f>
        <v>0</v>
      </c>
      <c r="EK718" s="1402"/>
      <c r="EL718" s="1402"/>
      <c r="EM718" s="1402"/>
      <c r="EN718" s="1402"/>
      <c r="EO718" s="1402">
        <f t="shared" ref="EO718:EO752" si="28">IF(AND(B718="4 Bedrooms",AC718&lt;=0.3),G718,0)</f>
        <v>0</v>
      </c>
      <c r="EP718" s="1402"/>
      <c r="EQ718" s="1402"/>
      <c r="ER718" s="1402"/>
      <c r="ES718" s="1402"/>
      <c r="ET718" s="1402">
        <f t="shared" ref="ET718:ET752" si="29">IF(AND(B718="5 Bedrooms",AC718&lt;=0.3),G718,0)</f>
        <v>0</v>
      </c>
      <c r="EU718" s="1402"/>
      <c r="EV718" s="1402"/>
      <c r="EW718" s="1402"/>
      <c r="EX718" s="1402"/>
      <c r="EY718" s="3"/>
      <c r="EZ718" s="1421" t="str">
        <f t="shared" ref="EZ718:EZ752" si="30">IF(CP718&gt;0,O718,"")</f>
        <v/>
      </c>
      <c r="FA718" s="1423"/>
      <c r="FB718" s="1423"/>
      <c r="FC718" s="1423"/>
      <c r="FD718" s="1422"/>
      <c r="FE718" s="1421">
        <f t="shared" ref="FE718:FE752" si="31">IF(CU718&gt;0,O718,"")</f>
        <v>851</v>
      </c>
      <c r="FF718" s="1423"/>
      <c r="FG718" s="1423"/>
      <c r="FH718" s="1423"/>
      <c r="FI718" s="1422"/>
      <c r="FJ718" s="1421" t="str">
        <f t="shared" ref="FJ718:FJ752" si="32">IF(CZ718&gt;0,O718,"")</f>
        <v/>
      </c>
      <c r="FK718" s="1423"/>
      <c r="FL718" s="1423"/>
      <c r="FM718" s="1423"/>
      <c r="FN718" s="1422"/>
      <c r="FO718" s="1421" t="str">
        <f t="shared" ref="FO718:FO752" si="33">IF(DE718&gt;0,O718,"")</f>
        <v/>
      </c>
      <c r="FP718" s="1423"/>
      <c r="FQ718" s="1423"/>
      <c r="FR718" s="1423"/>
      <c r="FS718" s="1422"/>
      <c r="FT718" s="1421" t="str">
        <f t="shared" ref="FT718:FT752" si="34">IF(DJ718&gt;0,O718,"")</f>
        <v/>
      </c>
      <c r="FU718" s="1423"/>
      <c r="FV718" s="1423"/>
      <c r="FW718" s="1423"/>
      <c r="FX718" s="1422"/>
      <c r="FY718" s="1421" t="str">
        <f t="shared" ref="FY718:FY752" si="35">IF(DO718&gt;0,O718,"")</f>
        <v/>
      </c>
      <c r="FZ718" s="1423"/>
      <c r="GA718" s="1423"/>
      <c r="GB718" s="1423"/>
      <c r="GC718" s="1422"/>
    </row>
    <row r="719" spans="1:185" ht="13.15" customHeight="1">
      <c r="A719" s="3"/>
      <c r="B719" s="1299" t="s">
        <v>829</v>
      </c>
      <c r="C719" s="1300"/>
      <c r="D719" s="1300"/>
      <c r="E719" s="1300"/>
      <c r="F719" s="1301"/>
      <c r="G719" s="1311">
        <v>7</v>
      </c>
      <c r="H719" s="1312"/>
      <c r="I719" s="1312"/>
      <c r="J719" s="1313"/>
      <c r="K719" s="1305">
        <v>793</v>
      </c>
      <c r="L719" s="1306"/>
      <c r="M719" s="1306"/>
      <c r="N719" s="1307"/>
      <c r="O719" s="1302">
        <v>1025</v>
      </c>
      <c r="P719" s="1303"/>
      <c r="Q719" s="1303"/>
      <c r="R719" s="1303"/>
      <c r="S719" s="1304"/>
      <c r="T719" s="1302">
        <v>53</v>
      </c>
      <c r="U719" s="1303"/>
      <c r="V719" s="1303"/>
      <c r="W719" s="1304"/>
      <c r="X719" s="1314">
        <f t="shared" si="8"/>
        <v>1078</v>
      </c>
      <c r="Y719" s="1315"/>
      <c r="Z719" s="1315"/>
      <c r="AA719" s="1315"/>
      <c r="AB719" s="1316"/>
      <c r="AC719" s="1321">
        <v>0.3</v>
      </c>
      <c r="AD719" s="1322"/>
      <c r="AE719" s="1322"/>
      <c r="AF719" s="1322"/>
      <c r="AG719" s="1323"/>
      <c r="AH719" s="1317">
        <f t="shared" ref="AH719:AH752" si="36">IF($AC719&gt;0,($X719/$AZ719), "")</f>
        <v>0.29977753058954393</v>
      </c>
      <c r="AI719" s="1318"/>
      <c r="AJ719" s="1319"/>
      <c r="AK719" s="1299" t="s">
        <v>807</v>
      </c>
      <c r="AL719" s="1300"/>
      <c r="AM719" s="1300"/>
      <c r="AN719" s="1300"/>
      <c r="AO719" s="1301"/>
      <c r="AP719" s="3"/>
      <c r="AQ719" s="3"/>
      <c r="AR719" s="3"/>
      <c r="AS719" s="3"/>
      <c r="AZ719" s="84">
        <f t="shared" si="9"/>
        <v>3596</v>
      </c>
      <c r="BA719" s="3"/>
      <c r="BB719" s="3"/>
      <c r="BC719" s="3"/>
      <c r="BD719" s="3"/>
      <c r="BE719" s="136"/>
      <c r="BF719" s="203">
        <f t="shared" si="10"/>
        <v>7</v>
      </c>
      <c r="BG719" s="206">
        <f t="shared" si="11"/>
        <v>3.6269430051813469E-2</v>
      </c>
      <c r="BH719" s="207">
        <f t="shared" si="12"/>
        <v>1.088082901554404E-2</v>
      </c>
      <c r="BI719" s="3"/>
      <c r="BJ719" s="3"/>
      <c r="BK719" s="3"/>
      <c r="BL719" s="3"/>
      <c r="BM719" s="3"/>
      <c r="BN719" s="3"/>
      <c r="BS719" s="203">
        <f t="shared" si="13"/>
        <v>7</v>
      </c>
      <c r="BT719" s="206">
        <f t="shared" si="14"/>
        <v>3.6269430051813469E-2</v>
      </c>
      <c r="BU719" s="207">
        <f t="shared" si="15"/>
        <v>1.0872760176822836E-2</v>
      </c>
      <c r="CC719" s="3"/>
      <c r="CD719" s="3"/>
      <c r="CE719" s="3"/>
      <c r="CF719" s="3"/>
      <c r="CG719" s="1421">
        <f t="shared" ref="CG719:CG752" si="37">IF(AND(AC719&lt;=0.5,AC719&gt;=0.36),1,0)</f>
        <v>0</v>
      </c>
      <c r="CH719" s="1422"/>
      <c r="CI719" s="1421">
        <f t="shared" ref="CI719:CI752" si="38">IF(CG719=1,G719,0)</f>
        <v>0</v>
      </c>
      <c r="CJ719" s="1422"/>
      <c r="CK719" s="1421">
        <f t="shared" si="16"/>
        <v>1</v>
      </c>
      <c r="CL719" s="1422"/>
      <c r="CM719" s="1421">
        <f t="shared" si="17"/>
        <v>7</v>
      </c>
      <c r="CN719" s="1422"/>
      <c r="CO719" s="3"/>
      <c r="CP719" s="1416">
        <f t="shared" si="18"/>
        <v>0</v>
      </c>
      <c r="CQ719" s="1417"/>
      <c r="CR719" s="1417"/>
      <c r="CS719" s="1417"/>
      <c r="CT719" s="1418"/>
      <c r="CU719" s="1401">
        <f t="shared" si="19"/>
        <v>0</v>
      </c>
      <c r="CV719" s="1401"/>
      <c r="CW719" s="1401"/>
      <c r="CX719" s="1401"/>
      <c r="CY719" s="1401"/>
      <c r="CZ719" s="1401">
        <f t="shared" si="20"/>
        <v>7</v>
      </c>
      <c r="DA719" s="1401"/>
      <c r="DB719" s="1401"/>
      <c r="DC719" s="1401"/>
      <c r="DD719" s="1401"/>
      <c r="DE719" s="1401">
        <f t="shared" si="21"/>
        <v>0</v>
      </c>
      <c r="DF719" s="1401"/>
      <c r="DG719" s="1401"/>
      <c r="DH719" s="1401"/>
      <c r="DI719" s="1401"/>
      <c r="DJ719" s="1401">
        <f t="shared" si="22"/>
        <v>0</v>
      </c>
      <c r="DK719" s="1401"/>
      <c r="DL719" s="1401"/>
      <c r="DM719" s="1401"/>
      <c r="DN719" s="1401"/>
      <c r="DO719" s="1401">
        <f t="shared" si="23"/>
        <v>0</v>
      </c>
      <c r="DP719" s="1401"/>
      <c r="DQ719" s="1401"/>
      <c r="DR719" s="1401"/>
      <c r="DS719" s="1401"/>
      <c r="DT719" s="257"/>
      <c r="DU719" s="1402">
        <f t="shared" si="24"/>
        <v>0</v>
      </c>
      <c r="DV719" s="1402"/>
      <c r="DW719" s="1402"/>
      <c r="DX719" s="1402"/>
      <c r="DY719" s="1402"/>
      <c r="DZ719" s="1402">
        <f t="shared" si="25"/>
        <v>0</v>
      </c>
      <c r="EA719" s="1402"/>
      <c r="EB719" s="1402"/>
      <c r="EC719" s="1402"/>
      <c r="ED719" s="1402"/>
      <c r="EE719" s="1402">
        <f t="shared" si="26"/>
        <v>7</v>
      </c>
      <c r="EF719" s="1402"/>
      <c r="EG719" s="1402"/>
      <c r="EH719" s="1402"/>
      <c r="EI719" s="1402"/>
      <c r="EJ719" s="1402">
        <f t="shared" si="27"/>
        <v>0</v>
      </c>
      <c r="EK719" s="1402"/>
      <c r="EL719" s="1402"/>
      <c r="EM719" s="1402"/>
      <c r="EN719" s="1402"/>
      <c r="EO719" s="1402">
        <f t="shared" si="28"/>
        <v>0</v>
      </c>
      <c r="EP719" s="1402"/>
      <c r="EQ719" s="1402"/>
      <c r="ER719" s="1402"/>
      <c r="ES719" s="1402"/>
      <c r="ET719" s="1402">
        <f t="shared" si="29"/>
        <v>0</v>
      </c>
      <c r="EU719" s="1402"/>
      <c r="EV719" s="1402"/>
      <c r="EW719" s="1402"/>
      <c r="EX719" s="1402"/>
      <c r="EY719" s="3"/>
      <c r="EZ719" s="1421" t="str">
        <f t="shared" si="30"/>
        <v/>
      </c>
      <c r="FA719" s="1423"/>
      <c r="FB719" s="1423"/>
      <c r="FC719" s="1423"/>
      <c r="FD719" s="1422"/>
      <c r="FE719" s="1421" t="str">
        <f t="shared" si="31"/>
        <v/>
      </c>
      <c r="FF719" s="1423"/>
      <c r="FG719" s="1423"/>
      <c r="FH719" s="1423"/>
      <c r="FI719" s="1422"/>
      <c r="FJ719" s="1421">
        <f t="shared" si="32"/>
        <v>1025</v>
      </c>
      <c r="FK719" s="1423"/>
      <c r="FL719" s="1423"/>
      <c r="FM719" s="1423"/>
      <c r="FN719" s="1422"/>
      <c r="FO719" s="1421" t="str">
        <f t="shared" si="33"/>
        <v/>
      </c>
      <c r="FP719" s="1423"/>
      <c r="FQ719" s="1423"/>
      <c r="FR719" s="1423"/>
      <c r="FS719" s="1422"/>
      <c r="FT719" s="1421" t="str">
        <f t="shared" si="34"/>
        <v/>
      </c>
      <c r="FU719" s="1423"/>
      <c r="FV719" s="1423"/>
      <c r="FW719" s="1423"/>
      <c r="FX719" s="1422"/>
      <c r="FY719" s="1421" t="str">
        <f t="shared" si="35"/>
        <v/>
      </c>
      <c r="FZ719" s="1423"/>
      <c r="GA719" s="1423"/>
      <c r="GB719" s="1423"/>
      <c r="GC719" s="1422"/>
    </row>
    <row r="720" spans="1:185" ht="13.15" customHeight="1">
      <c r="A720" s="3"/>
      <c r="B720" s="1299" t="s">
        <v>830</v>
      </c>
      <c r="C720" s="1300"/>
      <c r="D720" s="1300"/>
      <c r="E720" s="1300"/>
      <c r="F720" s="1301"/>
      <c r="G720" s="1311">
        <v>8</v>
      </c>
      <c r="H720" s="1312"/>
      <c r="I720" s="1312"/>
      <c r="J720" s="1313"/>
      <c r="K720" s="1305">
        <v>1008</v>
      </c>
      <c r="L720" s="1306"/>
      <c r="M720" s="1306"/>
      <c r="N720" s="1307"/>
      <c r="O720" s="1302">
        <v>1193</v>
      </c>
      <c r="P720" s="1303"/>
      <c r="Q720" s="1303"/>
      <c r="R720" s="1303"/>
      <c r="S720" s="1304"/>
      <c r="T720" s="1302">
        <v>54</v>
      </c>
      <c r="U720" s="1303"/>
      <c r="V720" s="1303"/>
      <c r="W720" s="1304"/>
      <c r="X720" s="1314">
        <f t="shared" si="8"/>
        <v>1247</v>
      </c>
      <c r="Y720" s="1315"/>
      <c r="Z720" s="1315"/>
      <c r="AA720" s="1315"/>
      <c r="AB720" s="1316"/>
      <c r="AC720" s="1321">
        <v>0.3</v>
      </c>
      <c r="AD720" s="1322"/>
      <c r="AE720" s="1322"/>
      <c r="AF720" s="1322"/>
      <c r="AG720" s="1323"/>
      <c r="AH720" s="1317">
        <f t="shared" si="36"/>
        <v>0.30019258545979777</v>
      </c>
      <c r="AI720" s="1318"/>
      <c r="AJ720" s="1319"/>
      <c r="AK720" s="1299" t="s">
        <v>807</v>
      </c>
      <c r="AL720" s="1300"/>
      <c r="AM720" s="1300"/>
      <c r="AN720" s="1300"/>
      <c r="AO720" s="1301"/>
      <c r="AP720" s="3"/>
      <c r="AQ720" s="3"/>
      <c r="AR720" s="3"/>
      <c r="AS720" s="3"/>
      <c r="AZ720" s="84">
        <f t="shared" si="9"/>
        <v>4154</v>
      </c>
      <c r="BA720" s="3"/>
      <c r="BB720" s="3"/>
      <c r="BC720" s="3"/>
      <c r="BD720" s="3"/>
      <c r="BE720" s="136"/>
      <c r="BF720" s="203">
        <f t="shared" si="10"/>
        <v>8</v>
      </c>
      <c r="BG720" s="206">
        <f t="shared" si="11"/>
        <v>4.145077720207254E-2</v>
      </c>
      <c r="BH720" s="207">
        <f t="shared" si="12"/>
        <v>1.2435233160621761E-2</v>
      </c>
      <c r="BI720" s="3"/>
      <c r="BJ720" s="3"/>
      <c r="BK720" s="3"/>
      <c r="BL720" s="3"/>
      <c r="BM720" s="3"/>
      <c r="BN720" s="3"/>
      <c r="BS720" s="203">
        <f t="shared" si="13"/>
        <v>8</v>
      </c>
      <c r="BT720" s="206">
        <f t="shared" si="14"/>
        <v>4.145077720207254E-2</v>
      </c>
      <c r="BU720" s="207">
        <f t="shared" si="15"/>
        <v>1.2443215977608198E-2</v>
      </c>
      <c r="CC720" s="3"/>
      <c r="CD720" s="3"/>
      <c r="CE720" s="3"/>
      <c r="CF720" s="3"/>
      <c r="CG720" s="1421">
        <f t="shared" si="37"/>
        <v>0</v>
      </c>
      <c r="CH720" s="1422"/>
      <c r="CI720" s="1421">
        <f t="shared" si="38"/>
        <v>0</v>
      </c>
      <c r="CJ720" s="1422"/>
      <c r="CK720" s="1421">
        <f t="shared" si="16"/>
        <v>1</v>
      </c>
      <c r="CL720" s="1422"/>
      <c r="CM720" s="1421">
        <f t="shared" si="17"/>
        <v>8</v>
      </c>
      <c r="CN720" s="1422"/>
      <c r="CO720" s="3"/>
      <c r="CP720" s="1416">
        <f t="shared" si="18"/>
        <v>0</v>
      </c>
      <c r="CQ720" s="1417"/>
      <c r="CR720" s="1417"/>
      <c r="CS720" s="1417"/>
      <c r="CT720" s="1418"/>
      <c r="CU720" s="1401">
        <f t="shared" si="19"/>
        <v>0</v>
      </c>
      <c r="CV720" s="1401"/>
      <c r="CW720" s="1401"/>
      <c r="CX720" s="1401"/>
      <c r="CY720" s="1401"/>
      <c r="CZ720" s="1401">
        <f t="shared" si="20"/>
        <v>0</v>
      </c>
      <c r="DA720" s="1401"/>
      <c r="DB720" s="1401"/>
      <c r="DC720" s="1401"/>
      <c r="DD720" s="1401"/>
      <c r="DE720" s="1401">
        <f t="shared" si="21"/>
        <v>8</v>
      </c>
      <c r="DF720" s="1401"/>
      <c r="DG720" s="1401"/>
      <c r="DH720" s="1401"/>
      <c r="DI720" s="1401"/>
      <c r="DJ720" s="1401">
        <f t="shared" si="22"/>
        <v>0</v>
      </c>
      <c r="DK720" s="1401"/>
      <c r="DL720" s="1401"/>
      <c r="DM720" s="1401"/>
      <c r="DN720" s="1401"/>
      <c r="DO720" s="1401">
        <f t="shared" si="23"/>
        <v>0</v>
      </c>
      <c r="DP720" s="1401"/>
      <c r="DQ720" s="1401"/>
      <c r="DR720" s="1401"/>
      <c r="DS720" s="1401"/>
      <c r="DT720" s="257"/>
      <c r="DU720" s="1402">
        <f t="shared" si="24"/>
        <v>0</v>
      </c>
      <c r="DV720" s="1402"/>
      <c r="DW720" s="1402"/>
      <c r="DX720" s="1402"/>
      <c r="DY720" s="1402"/>
      <c r="DZ720" s="1402">
        <f t="shared" si="25"/>
        <v>0</v>
      </c>
      <c r="EA720" s="1402"/>
      <c r="EB720" s="1402"/>
      <c r="EC720" s="1402"/>
      <c r="ED720" s="1402"/>
      <c r="EE720" s="1402">
        <f t="shared" si="26"/>
        <v>0</v>
      </c>
      <c r="EF720" s="1402"/>
      <c r="EG720" s="1402"/>
      <c r="EH720" s="1402"/>
      <c r="EI720" s="1402"/>
      <c r="EJ720" s="1402">
        <f t="shared" si="27"/>
        <v>8</v>
      </c>
      <c r="EK720" s="1402"/>
      <c r="EL720" s="1402"/>
      <c r="EM720" s="1402"/>
      <c r="EN720" s="1402"/>
      <c r="EO720" s="1402">
        <f t="shared" si="28"/>
        <v>0</v>
      </c>
      <c r="EP720" s="1402"/>
      <c r="EQ720" s="1402"/>
      <c r="ER720" s="1402"/>
      <c r="ES720" s="1402"/>
      <c r="ET720" s="1402">
        <f t="shared" si="29"/>
        <v>0</v>
      </c>
      <c r="EU720" s="1402"/>
      <c r="EV720" s="1402"/>
      <c r="EW720" s="1402"/>
      <c r="EX720" s="1402"/>
      <c r="EZ720" s="1421" t="str">
        <f t="shared" si="30"/>
        <v/>
      </c>
      <c r="FA720" s="1423"/>
      <c r="FB720" s="1423"/>
      <c r="FC720" s="1423"/>
      <c r="FD720" s="1422"/>
      <c r="FE720" s="1421" t="str">
        <f t="shared" si="31"/>
        <v/>
      </c>
      <c r="FF720" s="1423"/>
      <c r="FG720" s="1423"/>
      <c r="FH720" s="1423"/>
      <c r="FI720" s="1422"/>
      <c r="FJ720" s="1421" t="str">
        <f t="shared" si="32"/>
        <v/>
      </c>
      <c r="FK720" s="1423"/>
      <c r="FL720" s="1423"/>
      <c r="FM720" s="1423"/>
      <c r="FN720" s="1422"/>
      <c r="FO720" s="1421">
        <f t="shared" si="33"/>
        <v>1193</v>
      </c>
      <c r="FP720" s="1423"/>
      <c r="FQ720" s="1423"/>
      <c r="FR720" s="1423"/>
      <c r="FS720" s="1422"/>
      <c r="FT720" s="1421" t="str">
        <f t="shared" si="34"/>
        <v/>
      </c>
      <c r="FU720" s="1423"/>
      <c r="FV720" s="1423"/>
      <c r="FW720" s="1423"/>
      <c r="FX720" s="1422"/>
      <c r="FY720" s="1421" t="str">
        <f t="shared" si="35"/>
        <v/>
      </c>
      <c r="FZ720" s="1423"/>
      <c r="GA720" s="1423"/>
      <c r="GB720" s="1423"/>
      <c r="GC720" s="1422"/>
    </row>
    <row r="721" spans="1:185" ht="13.15" customHeight="1">
      <c r="B721" s="1299" t="s">
        <v>828</v>
      </c>
      <c r="C721" s="1300"/>
      <c r="D721" s="1300"/>
      <c r="E721" s="1300"/>
      <c r="F721" s="1301"/>
      <c r="G721" s="1311">
        <v>9</v>
      </c>
      <c r="H721" s="1312"/>
      <c r="I721" s="1312"/>
      <c r="J721" s="1313"/>
      <c r="K721" s="1305">
        <v>607</v>
      </c>
      <c r="L721" s="1306"/>
      <c r="M721" s="1306"/>
      <c r="N721" s="1307"/>
      <c r="O721" s="1302">
        <v>1450</v>
      </c>
      <c r="P721" s="1303"/>
      <c r="Q721" s="1303"/>
      <c r="R721" s="1303"/>
      <c r="S721" s="1304"/>
      <c r="T721" s="1302">
        <v>47</v>
      </c>
      <c r="U721" s="1303"/>
      <c r="V721" s="1303"/>
      <c r="W721" s="1304"/>
      <c r="X721" s="1314">
        <f t="shared" si="8"/>
        <v>1497</v>
      </c>
      <c r="Y721" s="1315"/>
      <c r="Z721" s="1315"/>
      <c r="AA721" s="1315"/>
      <c r="AB721" s="1316"/>
      <c r="AC721" s="1321">
        <v>0.5</v>
      </c>
      <c r="AD721" s="1322"/>
      <c r="AE721" s="1322"/>
      <c r="AF721" s="1322"/>
      <c r="AG721" s="1323"/>
      <c r="AH721" s="1317">
        <f t="shared" si="36"/>
        <v>0.49966622162883845</v>
      </c>
      <c r="AI721" s="1318"/>
      <c r="AJ721" s="1319"/>
      <c r="AK721" s="1299" t="s">
        <v>807</v>
      </c>
      <c r="AL721" s="1300"/>
      <c r="AM721" s="1300"/>
      <c r="AN721" s="1300"/>
      <c r="AO721" s="1301"/>
      <c r="AP721" s="3"/>
      <c r="AQ721" s="3"/>
      <c r="AR721" s="3"/>
      <c r="AS721" s="3"/>
      <c r="AY721" s="85"/>
      <c r="AZ721" s="84">
        <f t="shared" si="9"/>
        <v>2996</v>
      </c>
      <c r="BA721" s="3"/>
      <c r="BB721" s="3"/>
      <c r="BC721" s="3"/>
      <c r="BD721" s="3"/>
      <c r="BE721" s="136"/>
      <c r="BF721" s="203">
        <f t="shared" si="10"/>
        <v>9</v>
      </c>
      <c r="BG721" s="206">
        <f t="shared" si="11"/>
        <v>4.6632124352331605E-2</v>
      </c>
      <c r="BH721" s="207">
        <f t="shared" si="12"/>
        <v>2.3316062176165803E-2</v>
      </c>
      <c r="BI721" s="3"/>
      <c r="BJ721" s="3"/>
      <c r="BK721" s="3"/>
      <c r="BL721" s="3"/>
      <c r="BM721" s="3"/>
      <c r="BN721" s="3"/>
      <c r="BS721" s="203">
        <f t="shared" si="13"/>
        <v>9</v>
      </c>
      <c r="BT721" s="206">
        <f t="shared" si="14"/>
        <v>4.6632124352331605E-2</v>
      </c>
      <c r="BU721" s="207">
        <f t="shared" si="15"/>
        <v>2.3300497381655679E-2</v>
      </c>
      <c r="CC721" s="3"/>
      <c r="CD721" s="3"/>
      <c r="CE721" s="3"/>
      <c r="CF721" s="3"/>
      <c r="CG721" s="1421">
        <f t="shared" si="37"/>
        <v>1</v>
      </c>
      <c r="CH721" s="1422"/>
      <c r="CI721" s="1421">
        <f t="shared" si="38"/>
        <v>9</v>
      </c>
      <c r="CJ721" s="1422"/>
      <c r="CK721" s="1421">
        <f t="shared" si="16"/>
        <v>0</v>
      </c>
      <c r="CL721" s="1422"/>
      <c r="CM721" s="1421">
        <f t="shared" si="17"/>
        <v>0</v>
      </c>
      <c r="CN721" s="1422"/>
      <c r="CO721" s="3"/>
      <c r="CP721" s="1416">
        <f t="shared" si="18"/>
        <v>0</v>
      </c>
      <c r="CQ721" s="1417"/>
      <c r="CR721" s="1417"/>
      <c r="CS721" s="1417"/>
      <c r="CT721" s="1418"/>
      <c r="CU721" s="1401">
        <f t="shared" si="19"/>
        <v>9</v>
      </c>
      <c r="CV721" s="1401"/>
      <c r="CW721" s="1401"/>
      <c r="CX721" s="1401"/>
      <c r="CY721" s="1401"/>
      <c r="CZ721" s="1401">
        <f t="shared" si="20"/>
        <v>0</v>
      </c>
      <c r="DA721" s="1401"/>
      <c r="DB721" s="1401"/>
      <c r="DC721" s="1401"/>
      <c r="DD721" s="1401"/>
      <c r="DE721" s="1401">
        <f t="shared" si="21"/>
        <v>0</v>
      </c>
      <c r="DF721" s="1401"/>
      <c r="DG721" s="1401"/>
      <c r="DH721" s="1401"/>
      <c r="DI721" s="1401"/>
      <c r="DJ721" s="1401">
        <f t="shared" si="22"/>
        <v>0</v>
      </c>
      <c r="DK721" s="1401"/>
      <c r="DL721" s="1401"/>
      <c r="DM721" s="1401"/>
      <c r="DN721" s="1401"/>
      <c r="DO721" s="1401">
        <f t="shared" si="23"/>
        <v>0</v>
      </c>
      <c r="DP721" s="1401"/>
      <c r="DQ721" s="1401"/>
      <c r="DR721" s="1401"/>
      <c r="DS721" s="1401"/>
      <c r="DT721" s="257"/>
      <c r="DU721" s="1402">
        <f t="shared" si="24"/>
        <v>0</v>
      </c>
      <c r="DV721" s="1402"/>
      <c r="DW721" s="1402"/>
      <c r="DX721" s="1402"/>
      <c r="DY721" s="1402"/>
      <c r="DZ721" s="1402">
        <f t="shared" si="25"/>
        <v>0</v>
      </c>
      <c r="EA721" s="1402"/>
      <c r="EB721" s="1402"/>
      <c r="EC721" s="1402"/>
      <c r="ED721" s="1402"/>
      <c r="EE721" s="1402">
        <f t="shared" si="26"/>
        <v>0</v>
      </c>
      <c r="EF721" s="1402"/>
      <c r="EG721" s="1402"/>
      <c r="EH721" s="1402"/>
      <c r="EI721" s="1402"/>
      <c r="EJ721" s="1402">
        <f t="shared" si="27"/>
        <v>0</v>
      </c>
      <c r="EK721" s="1402"/>
      <c r="EL721" s="1402"/>
      <c r="EM721" s="1402"/>
      <c r="EN721" s="1402"/>
      <c r="EO721" s="1402">
        <f t="shared" si="28"/>
        <v>0</v>
      </c>
      <c r="EP721" s="1402"/>
      <c r="EQ721" s="1402"/>
      <c r="ER721" s="1402"/>
      <c r="ES721" s="1402"/>
      <c r="ET721" s="1402">
        <f t="shared" si="29"/>
        <v>0</v>
      </c>
      <c r="EU721" s="1402"/>
      <c r="EV721" s="1402"/>
      <c r="EW721" s="1402"/>
      <c r="EX721" s="1402"/>
      <c r="EZ721" s="1421" t="str">
        <f t="shared" si="30"/>
        <v/>
      </c>
      <c r="FA721" s="1423"/>
      <c r="FB721" s="1423"/>
      <c r="FC721" s="1423"/>
      <c r="FD721" s="1422"/>
      <c r="FE721" s="1421">
        <f t="shared" si="31"/>
        <v>1450</v>
      </c>
      <c r="FF721" s="1423"/>
      <c r="FG721" s="1423"/>
      <c r="FH721" s="1423"/>
      <c r="FI721" s="1422"/>
      <c r="FJ721" s="1421" t="str">
        <f t="shared" si="32"/>
        <v/>
      </c>
      <c r="FK721" s="1423"/>
      <c r="FL721" s="1423"/>
      <c r="FM721" s="1423"/>
      <c r="FN721" s="1422"/>
      <c r="FO721" s="1421" t="str">
        <f t="shared" si="33"/>
        <v/>
      </c>
      <c r="FP721" s="1423"/>
      <c r="FQ721" s="1423"/>
      <c r="FR721" s="1423"/>
      <c r="FS721" s="1422"/>
      <c r="FT721" s="1421" t="str">
        <f t="shared" si="34"/>
        <v/>
      </c>
      <c r="FU721" s="1423"/>
      <c r="FV721" s="1423"/>
      <c r="FW721" s="1423"/>
      <c r="FX721" s="1422"/>
      <c r="FY721" s="1421" t="str">
        <f t="shared" si="35"/>
        <v/>
      </c>
      <c r="FZ721" s="1423"/>
      <c r="GA721" s="1423"/>
      <c r="GB721" s="1423"/>
      <c r="GC721" s="1422"/>
    </row>
    <row r="722" spans="1:185" ht="13.15" customHeight="1">
      <c r="B722" s="1299" t="s">
        <v>829</v>
      </c>
      <c r="C722" s="1300"/>
      <c r="D722" s="1300"/>
      <c r="E722" s="1300"/>
      <c r="F722" s="1301"/>
      <c r="G722" s="1311">
        <v>5</v>
      </c>
      <c r="H722" s="1312"/>
      <c r="I722" s="1312"/>
      <c r="J722" s="1313"/>
      <c r="K722" s="1305">
        <v>793</v>
      </c>
      <c r="L722" s="1306"/>
      <c r="M722" s="1306"/>
      <c r="N722" s="1307"/>
      <c r="O722" s="1302">
        <v>1744</v>
      </c>
      <c r="P722" s="1303"/>
      <c r="Q722" s="1303"/>
      <c r="R722" s="1303"/>
      <c r="S722" s="1304"/>
      <c r="T722" s="1302">
        <v>54</v>
      </c>
      <c r="U722" s="1303"/>
      <c r="V722" s="1303"/>
      <c r="W722" s="1304"/>
      <c r="X722" s="1314">
        <f t="shared" si="8"/>
        <v>1798</v>
      </c>
      <c r="Y722" s="1315"/>
      <c r="Z722" s="1315"/>
      <c r="AA722" s="1315"/>
      <c r="AB722" s="1316"/>
      <c r="AC722" s="1321">
        <v>0.5</v>
      </c>
      <c r="AD722" s="1322"/>
      <c r="AE722" s="1322"/>
      <c r="AF722" s="1322"/>
      <c r="AG722" s="1323"/>
      <c r="AH722" s="1317">
        <f t="shared" si="36"/>
        <v>0.5</v>
      </c>
      <c r="AI722" s="1318"/>
      <c r="AJ722" s="1319"/>
      <c r="AK722" s="1299" t="s">
        <v>807</v>
      </c>
      <c r="AL722" s="1300"/>
      <c r="AM722" s="1300"/>
      <c r="AN722" s="1300"/>
      <c r="AO722" s="1301"/>
      <c r="AP722" s="3"/>
      <c r="AQ722" s="3"/>
      <c r="AR722" s="3"/>
      <c r="AS722" s="3"/>
      <c r="AY722" s="85"/>
      <c r="AZ722" s="84">
        <f t="shared" si="9"/>
        <v>3596</v>
      </c>
      <c r="BA722" s="3"/>
      <c r="BB722" s="3"/>
      <c r="BC722" s="3"/>
      <c r="BD722" s="3"/>
      <c r="BE722" s="136"/>
      <c r="BF722" s="203">
        <f t="shared" si="10"/>
        <v>5</v>
      </c>
      <c r="BG722" s="206">
        <f t="shared" si="11"/>
        <v>2.5906735751295335E-2</v>
      </c>
      <c r="BH722" s="207">
        <f t="shared" si="12"/>
        <v>1.2953367875647668E-2</v>
      </c>
      <c r="BI722" s="3"/>
      <c r="BJ722" s="3"/>
      <c r="BK722" s="3"/>
      <c r="BL722" s="3"/>
      <c r="BM722" s="3"/>
      <c r="BN722" s="3"/>
      <c r="BS722" s="203">
        <f t="shared" si="13"/>
        <v>5</v>
      </c>
      <c r="BT722" s="206">
        <f t="shared" si="14"/>
        <v>2.5906735751295335E-2</v>
      </c>
      <c r="BU722" s="207">
        <f t="shared" si="15"/>
        <v>1.2953367875647668E-2</v>
      </c>
      <c r="CC722" s="3"/>
      <c r="CD722" s="3"/>
      <c r="CE722" s="3"/>
      <c r="CF722" s="3"/>
      <c r="CG722" s="1421">
        <f t="shared" si="37"/>
        <v>1</v>
      </c>
      <c r="CH722" s="1422"/>
      <c r="CI722" s="1421">
        <f t="shared" si="38"/>
        <v>5</v>
      </c>
      <c r="CJ722" s="1422"/>
      <c r="CK722" s="1421">
        <f t="shared" si="16"/>
        <v>0</v>
      </c>
      <c r="CL722" s="1422"/>
      <c r="CM722" s="1421">
        <f t="shared" si="17"/>
        <v>0</v>
      </c>
      <c r="CN722" s="1422"/>
      <c r="CO722" s="3"/>
      <c r="CP722" s="1416">
        <f t="shared" si="18"/>
        <v>0</v>
      </c>
      <c r="CQ722" s="1417"/>
      <c r="CR722" s="1417"/>
      <c r="CS722" s="1417"/>
      <c r="CT722" s="1418"/>
      <c r="CU722" s="1401">
        <f t="shared" si="19"/>
        <v>0</v>
      </c>
      <c r="CV722" s="1401"/>
      <c r="CW722" s="1401"/>
      <c r="CX722" s="1401"/>
      <c r="CY722" s="1401"/>
      <c r="CZ722" s="1401">
        <f t="shared" si="20"/>
        <v>5</v>
      </c>
      <c r="DA722" s="1401"/>
      <c r="DB722" s="1401"/>
      <c r="DC722" s="1401"/>
      <c r="DD722" s="1401"/>
      <c r="DE722" s="1401">
        <f t="shared" si="21"/>
        <v>0</v>
      </c>
      <c r="DF722" s="1401"/>
      <c r="DG722" s="1401"/>
      <c r="DH722" s="1401"/>
      <c r="DI722" s="1401"/>
      <c r="DJ722" s="1401">
        <f t="shared" si="22"/>
        <v>0</v>
      </c>
      <c r="DK722" s="1401"/>
      <c r="DL722" s="1401"/>
      <c r="DM722" s="1401"/>
      <c r="DN722" s="1401"/>
      <c r="DO722" s="1401">
        <f t="shared" si="23"/>
        <v>0</v>
      </c>
      <c r="DP722" s="1401"/>
      <c r="DQ722" s="1401"/>
      <c r="DR722" s="1401"/>
      <c r="DS722" s="1401"/>
      <c r="DT722" s="257"/>
      <c r="DU722" s="1402">
        <f t="shared" si="24"/>
        <v>0</v>
      </c>
      <c r="DV722" s="1402"/>
      <c r="DW722" s="1402"/>
      <c r="DX722" s="1402"/>
      <c r="DY722" s="1402"/>
      <c r="DZ722" s="1402">
        <f t="shared" si="25"/>
        <v>0</v>
      </c>
      <c r="EA722" s="1402"/>
      <c r="EB722" s="1402"/>
      <c r="EC722" s="1402"/>
      <c r="ED722" s="1402"/>
      <c r="EE722" s="1402">
        <f t="shared" si="26"/>
        <v>0</v>
      </c>
      <c r="EF722" s="1402"/>
      <c r="EG722" s="1402"/>
      <c r="EH722" s="1402"/>
      <c r="EI722" s="1402"/>
      <c r="EJ722" s="1402">
        <f t="shared" si="27"/>
        <v>0</v>
      </c>
      <c r="EK722" s="1402"/>
      <c r="EL722" s="1402"/>
      <c r="EM722" s="1402"/>
      <c r="EN722" s="1402"/>
      <c r="EO722" s="1402">
        <f t="shared" si="28"/>
        <v>0</v>
      </c>
      <c r="EP722" s="1402"/>
      <c r="EQ722" s="1402"/>
      <c r="ER722" s="1402"/>
      <c r="ES722" s="1402"/>
      <c r="ET722" s="1402">
        <f t="shared" si="29"/>
        <v>0</v>
      </c>
      <c r="EU722" s="1402"/>
      <c r="EV722" s="1402"/>
      <c r="EW722" s="1402"/>
      <c r="EX722" s="1402"/>
      <c r="EZ722" s="1421" t="str">
        <f t="shared" si="30"/>
        <v/>
      </c>
      <c r="FA722" s="1423"/>
      <c r="FB722" s="1423"/>
      <c r="FC722" s="1423"/>
      <c r="FD722" s="1422"/>
      <c r="FE722" s="1421" t="str">
        <f t="shared" si="31"/>
        <v/>
      </c>
      <c r="FF722" s="1423"/>
      <c r="FG722" s="1423"/>
      <c r="FH722" s="1423"/>
      <c r="FI722" s="1422"/>
      <c r="FJ722" s="1421">
        <f t="shared" si="32"/>
        <v>1744</v>
      </c>
      <c r="FK722" s="1423"/>
      <c r="FL722" s="1423"/>
      <c r="FM722" s="1423"/>
      <c r="FN722" s="1422"/>
      <c r="FO722" s="1421" t="str">
        <f t="shared" si="33"/>
        <v/>
      </c>
      <c r="FP722" s="1423"/>
      <c r="FQ722" s="1423"/>
      <c r="FR722" s="1423"/>
      <c r="FS722" s="1422"/>
      <c r="FT722" s="1421" t="str">
        <f t="shared" si="34"/>
        <v/>
      </c>
      <c r="FU722" s="1423"/>
      <c r="FV722" s="1423"/>
      <c r="FW722" s="1423"/>
      <c r="FX722" s="1422"/>
      <c r="FY722" s="1421" t="str">
        <f t="shared" si="35"/>
        <v/>
      </c>
      <c r="FZ722" s="1423"/>
      <c r="GA722" s="1423"/>
      <c r="GB722" s="1423"/>
      <c r="GC722" s="1422"/>
    </row>
    <row r="723" spans="1:185" ht="13.15" customHeight="1">
      <c r="B723" s="1299" t="s">
        <v>830</v>
      </c>
      <c r="C723" s="1300"/>
      <c r="D723" s="1300"/>
      <c r="E723" s="1300"/>
      <c r="F723" s="1301"/>
      <c r="G723" s="1311">
        <v>6</v>
      </c>
      <c r="H723" s="1312"/>
      <c r="I723" s="1312"/>
      <c r="J723" s="1313"/>
      <c r="K723" s="1305">
        <v>1008</v>
      </c>
      <c r="L723" s="1306"/>
      <c r="M723" s="1306"/>
      <c r="N723" s="1307"/>
      <c r="O723" s="1302">
        <v>2024</v>
      </c>
      <c r="P723" s="1303"/>
      <c r="Q723" s="1303"/>
      <c r="R723" s="1303"/>
      <c r="S723" s="1304"/>
      <c r="T723" s="1302">
        <v>53</v>
      </c>
      <c r="U723" s="1303"/>
      <c r="V723" s="1303"/>
      <c r="W723" s="1304"/>
      <c r="X723" s="1314">
        <f t="shared" si="8"/>
        <v>2077</v>
      </c>
      <c r="Y723" s="1315"/>
      <c r="Z723" s="1315"/>
      <c r="AA723" s="1315"/>
      <c r="AB723" s="1316"/>
      <c r="AC723" s="1321">
        <v>0.5</v>
      </c>
      <c r="AD723" s="1322"/>
      <c r="AE723" s="1322"/>
      <c r="AF723" s="1322"/>
      <c r="AG723" s="1323"/>
      <c r="AH723" s="1317">
        <f t="shared" si="36"/>
        <v>0.5</v>
      </c>
      <c r="AI723" s="1318"/>
      <c r="AJ723" s="1319"/>
      <c r="AK723" s="1299" t="s">
        <v>807</v>
      </c>
      <c r="AL723" s="1300"/>
      <c r="AM723" s="1300"/>
      <c r="AN723" s="1300"/>
      <c r="AO723" s="1301"/>
      <c r="AP723" s="3"/>
      <c r="AQ723" s="3"/>
      <c r="AR723" s="3"/>
      <c r="AS723" s="3"/>
      <c r="AY723" s="85"/>
      <c r="AZ723" s="84">
        <f t="shared" si="9"/>
        <v>4154</v>
      </c>
      <c r="BA723" s="3"/>
      <c r="BB723" s="3"/>
      <c r="BC723" s="3"/>
      <c r="BD723" s="3"/>
      <c r="BE723" s="136"/>
      <c r="BF723" s="203">
        <f t="shared" si="10"/>
        <v>6</v>
      </c>
      <c r="BG723" s="206">
        <f t="shared" si="11"/>
        <v>3.1088082901554404E-2</v>
      </c>
      <c r="BH723" s="207">
        <f t="shared" si="12"/>
        <v>1.5544041450777202E-2</v>
      </c>
      <c r="BI723" s="3"/>
      <c r="BJ723" s="3"/>
      <c r="BK723" s="3"/>
      <c r="BL723" s="3"/>
      <c r="BM723" s="3"/>
      <c r="BN723" s="3"/>
      <c r="BS723" s="203">
        <f t="shared" si="13"/>
        <v>6</v>
      </c>
      <c r="BT723" s="206">
        <f t="shared" si="14"/>
        <v>3.1088082901554404E-2</v>
      </c>
      <c r="BU723" s="207">
        <f t="shared" si="15"/>
        <v>1.5544041450777202E-2</v>
      </c>
      <c r="CC723" s="3"/>
      <c r="CD723" s="3"/>
      <c r="CE723" s="3"/>
      <c r="CF723" s="3"/>
      <c r="CG723" s="1421">
        <f t="shared" si="37"/>
        <v>1</v>
      </c>
      <c r="CH723" s="1422"/>
      <c r="CI723" s="1421">
        <f t="shared" si="38"/>
        <v>6</v>
      </c>
      <c r="CJ723" s="1422"/>
      <c r="CK723" s="1421">
        <f t="shared" si="16"/>
        <v>0</v>
      </c>
      <c r="CL723" s="1422"/>
      <c r="CM723" s="1421">
        <f t="shared" si="17"/>
        <v>0</v>
      </c>
      <c r="CN723" s="1422"/>
      <c r="CO723" s="3"/>
      <c r="CP723" s="1416">
        <f t="shared" si="18"/>
        <v>0</v>
      </c>
      <c r="CQ723" s="1417"/>
      <c r="CR723" s="1417"/>
      <c r="CS723" s="1417"/>
      <c r="CT723" s="1418"/>
      <c r="CU723" s="1401">
        <f t="shared" si="19"/>
        <v>0</v>
      </c>
      <c r="CV723" s="1401"/>
      <c r="CW723" s="1401"/>
      <c r="CX723" s="1401"/>
      <c r="CY723" s="1401"/>
      <c r="CZ723" s="1401">
        <f t="shared" si="20"/>
        <v>0</v>
      </c>
      <c r="DA723" s="1401"/>
      <c r="DB723" s="1401"/>
      <c r="DC723" s="1401"/>
      <c r="DD723" s="1401"/>
      <c r="DE723" s="1401">
        <f t="shared" si="21"/>
        <v>6</v>
      </c>
      <c r="DF723" s="1401"/>
      <c r="DG723" s="1401"/>
      <c r="DH723" s="1401"/>
      <c r="DI723" s="1401"/>
      <c r="DJ723" s="1401">
        <f t="shared" si="22"/>
        <v>0</v>
      </c>
      <c r="DK723" s="1401"/>
      <c r="DL723" s="1401"/>
      <c r="DM723" s="1401"/>
      <c r="DN723" s="1401"/>
      <c r="DO723" s="1401">
        <f t="shared" si="23"/>
        <v>0</v>
      </c>
      <c r="DP723" s="1401"/>
      <c r="DQ723" s="1401"/>
      <c r="DR723" s="1401"/>
      <c r="DS723" s="1401"/>
      <c r="DT723" s="257"/>
      <c r="DU723" s="1402">
        <f t="shared" si="24"/>
        <v>0</v>
      </c>
      <c r="DV723" s="1402"/>
      <c r="DW723" s="1402"/>
      <c r="DX723" s="1402"/>
      <c r="DY723" s="1402"/>
      <c r="DZ723" s="1402">
        <f t="shared" si="25"/>
        <v>0</v>
      </c>
      <c r="EA723" s="1402"/>
      <c r="EB723" s="1402"/>
      <c r="EC723" s="1402"/>
      <c r="ED723" s="1402"/>
      <c r="EE723" s="1402">
        <f t="shared" si="26"/>
        <v>0</v>
      </c>
      <c r="EF723" s="1402"/>
      <c r="EG723" s="1402"/>
      <c r="EH723" s="1402"/>
      <c r="EI723" s="1402"/>
      <c r="EJ723" s="1402">
        <f t="shared" si="27"/>
        <v>0</v>
      </c>
      <c r="EK723" s="1402"/>
      <c r="EL723" s="1402"/>
      <c r="EM723" s="1402"/>
      <c r="EN723" s="1402"/>
      <c r="EO723" s="1402">
        <f t="shared" si="28"/>
        <v>0</v>
      </c>
      <c r="EP723" s="1402"/>
      <c r="EQ723" s="1402"/>
      <c r="ER723" s="1402"/>
      <c r="ES723" s="1402"/>
      <c r="ET723" s="1402">
        <f t="shared" si="29"/>
        <v>0</v>
      </c>
      <c r="EU723" s="1402"/>
      <c r="EV723" s="1402"/>
      <c r="EW723" s="1402"/>
      <c r="EX723" s="1402"/>
      <c r="EZ723" s="1421" t="str">
        <f t="shared" si="30"/>
        <v/>
      </c>
      <c r="FA723" s="1423"/>
      <c r="FB723" s="1423"/>
      <c r="FC723" s="1423"/>
      <c r="FD723" s="1422"/>
      <c r="FE723" s="1421" t="str">
        <f t="shared" si="31"/>
        <v/>
      </c>
      <c r="FF723" s="1423"/>
      <c r="FG723" s="1423"/>
      <c r="FH723" s="1423"/>
      <c r="FI723" s="1422"/>
      <c r="FJ723" s="1421" t="str">
        <f t="shared" si="32"/>
        <v/>
      </c>
      <c r="FK723" s="1423"/>
      <c r="FL723" s="1423"/>
      <c r="FM723" s="1423"/>
      <c r="FN723" s="1422"/>
      <c r="FO723" s="1421">
        <f t="shared" si="33"/>
        <v>2024</v>
      </c>
      <c r="FP723" s="1423"/>
      <c r="FQ723" s="1423"/>
      <c r="FR723" s="1423"/>
      <c r="FS723" s="1422"/>
      <c r="FT723" s="1421" t="str">
        <f t="shared" si="34"/>
        <v/>
      </c>
      <c r="FU723" s="1423"/>
      <c r="FV723" s="1423"/>
      <c r="FW723" s="1423"/>
      <c r="FX723" s="1422"/>
      <c r="FY723" s="1421" t="str">
        <f t="shared" si="35"/>
        <v/>
      </c>
      <c r="FZ723" s="1423"/>
      <c r="GA723" s="1423"/>
      <c r="GB723" s="1423"/>
      <c r="GC723" s="1422"/>
    </row>
    <row r="724" spans="1:185" ht="13.15" customHeight="1">
      <c r="B724" s="1299" t="s">
        <v>828</v>
      </c>
      <c r="C724" s="1300"/>
      <c r="D724" s="1300"/>
      <c r="E724" s="1300"/>
      <c r="F724" s="1301"/>
      <c r="G724" s="1311">
        <v>37</v>
      </c>
      <c r="H724" s="1312"/>
      <c r="I724" s="1312"/>
      <c r="J724" s="1313"/>
      <c r="K724" s="1305">
        <v>607</v>
      </c>
      <c r="L724" s="1306"/>
      <c r="M724" s="1306"/>
      <c r="N724" s="1307"/>
      <c r="O724" s="1302">
        <v>1750</v>
      </c>
      <c r="P724" s="1303"/>
      <c r="Q724" s="1303"/>
      <c r="R724" s="1303"/>
      <c r="S724" s="1304"/>
      <c r="T724" s="1302">
        <v>47</v>
      </c>
      <c r="U724" s="1303"/>
      <c r="V724" s="1303"/>
      <c r="W724" s="1304"/>
      <c r="X724" s="1314">
        <f t="shared" si="8"/>
        <v>1797</v>
      </c>
      <c r="Y724" s="1315"/>
      <c r="Z724" s="1315"/>
      <c r="AA724" s="1315"/>
      <c r="AB724" s="1316"/>
      <c r="AC724" s="1321">
        <v>0.6</v>
      </c>
      <c r="AD724" s="1322"/>
      <c r="AE724" s="1322"/>
      <c r="AF724" s="1322"/>
      <c r="AG724" s="1323"/>
      <c r="AH724" s="1317">
        <f t="shared" si="36"/>
        <v>0.59979973297730305</v>
      </c>
      <c r="AI724" s="1318"/>
      <c r="AJ724" s="1319"/>
      <c r="AK724" s="1299" t="s">
        <v>807</v>
      </c>
      <c r="AL724" s="1300"/>
      <c r="AM724" s="1300"/>
      <c r="AN724" s="1300"/>
      <c r="AO724" s="1301"/>
      <c r="AP724" s="3"/>
      <c r="AQ724" s="3"/>
      <c r="AR724" s="3"/>
      <c r="AS724" s="3"/>
      <c r="AY724" s="85"/>
      <c r="AZ724" s="84">
        <f t="shared" si="9"/>
        <v>2996</v>
      </c>
      <c r="BA724" s="3"/>
      <c r="BB724" s="3"/>
      <c r="BC724" s="3"/>
      <c r="BD724" s="3"/>
      <c r="BE724" s="136"/>
      <c r="BF724" s="203">
        <f t="shared" si="10"/>
        <v>37</v>
      </c>
      <c r="BG724" s="206">
        <f t="shared" si="11"/>
        <v>0.19170984455958548</v>
      </c>
      <c r="BH724" s="207">
        <f t="shared" si="12"/>
        <v>0.11502590673575128</v>
      </c>
      <c r="BI724" s="3"/>
      <c r="BJ724" s="3"/>
      <c r="BK724" s="3"/>
      <c r="BL724" s="3"/>
      <c r="BM724" s="3"/>
      <c r="BN724" s="3"/>
      <c r="BS724" s="203">
        <f t="shared" si="13"/>
        <v>37</v>
      </c>
      <c r="BT724" s="206">
        <f t="shared" si="14"/>
        <v>0.19170984455958548</v>
      </c>
      <c r="BU724" s="207">
        <f t="shared" si="15"/>
        <v>0.11498751357595964</v>
      </c>
      <c r="CC724" s="3"/>
      <c r="CE724" s="3"/>
      <c r="CF724" s="3"/>
      <c r="CG724" s="1421">
        <f t="shared" si="37"/>
        <v>0</v>
      </c>
      <c r="CH724" s="1422"/>
      <c r="CI724" s="1421">
        <f t="shared" si="38"/>
        <v>0</v>
      </c>
      <c r="CJ724" s="1422"/>
      <c r="CK724" s="1421">
        <f t="shared" si="16"/>
        <v>0</v>
      </c>
      <c r="CL724" s="1422"/>
      <c r="CM724" s="1421">
        <f t="shared" si="17"/>
        <v>0</v>
      </c>
      <c r="CN724" s="1422"/>
      <c r="CO724" s="3"/>
      <c r="CP724" s="1416">
        <f t="shared" si="18"/>
        <v>0</v>
      </c>
      <c r="CQ724" s="1417"/>
      <c r="CR724" s="1417"/>
      <c r="CS724" s="1417"/>
      <c r="CT724" s="1418"/>
      <c r="CU724" s="1401">
        <f t="shared" si="19"/>
        <v>37</v>
      </c>
      <c r="CV724" s="1401"/>
      <c r="CW724" s="1401"/>
      <c r="CX724" s="1401"/>
      <c r="CY724" s="1401"/>
      <c r="CZ724" s="1401">
        <f t="shared" si="20"/>
        <v>0</v>
      </c>
      <c r="DA724" s="1401"/>
      <c r="DB724" s="1401"/>
      <c r="DC724" s="1401"/>
      <c r="DD724" s="1401"/>
      <c r="DE724" s="1401">
        <f t="shared" si="21"/>
        <v>0</v>
      </c>
      <c r="DF724" s="1401"/>
      <c r="DG724" s="1401"/>
      <c r="DH724" s="1401"/>
      <c r="DI724" s="1401"/>
      <c r="DJ724" s="1401">
        <f t="shared" si="22"/>
        <v>0</v>
      </c>
      <c r="DK724" s="1401"/>
      <c r="DL724" s="1401"/>
      <c r="DM724" s="1401"/>
      <c r="DN724" s="1401"/>
      <c r="DO724" s="1401">
        <f t="shared" si="23"/>
        <v>0</v>
      </c>
      <c r="DP724" s="1401"/>
      <c r="DQ724" s="1401"/>
      <c r="DR724" s="1401"/>
      <c r="DS724" s="1401"/>
      <c r="DT724" s="257"/>
      <c r="DU724" s="1402">
        <f t="shared" si="24"/>
        <v>0</v>
      </c>
      <c r="DV724" s="1402"/>
      <c r="DW724" s="1402"/>
      <c r="DX724" s="1402"/>
      <c r="DY724" s="1402"/>
      <c r="DZ724" s="1402">
        <f t="shared" si="25"/>
        <v>0</v>
      </c>
      <c r="EA724" s="1402"/>
      <c r="EB724" s="1402"/>
      <c r="EC724" s="1402"/>
      <c r="ED724" s="1402"/>
      <c r="EE724" s="1402">
        <f t="shared" si="26"/>
        <v>0</v>
      </c>
      <c r="EF724" s="1402"/>
      <c r="EG724" s="1402"/>
      <c r="EH724" s="1402"/>
      <c r="EI724" s="1402"/>
      <c r="EJ724" s="1402">
        <f t="shared" si="27"/>
        <v>0</v>
      </c>
      <c r="EK724" s="1402"/>
      <c r="EL724" s="1402"/>
      <c r="EM724" s="1402"/>
      <c r="EN724" s="1402"/>
      <c r="EO724" s="1402">
        <f t="shared" si="28"/>
        <v>0</v>
      </c>
      <c r="EP724" s="1402"/>
      <c r="EQ724" s="1402"/>
      <c r="ER724" s="1402"/>
      <c r="ES724" s="1402"/>
      <c r="ET724" s="1402">
        <f t="shared" si="29"/>
        <v>0</v>
      </c>
      <c r="EU724" s="1402"/>
      <c r="EV724" s="1402"/>
      <c r="EW724" s="1402"/>
      <c r="EX724" s="1402"/>
      <c r="EZ724" s="1421" t="str">
        <f t="shared" si="30"/>
        <v/>
      </c>
      <c r="FA724" s="1423"/>
      <c r="FB724" s="1423"/>
      <c r="FC724" s="1423"/>
      <c r="FD724" s="1422"/>
      <c r="FE724" s="1421">
        <f t="shared" si="31"/>
        <v>1750</v>
      </c>
      <c r="FF724" s="1423"/>
      <c r="FG724" s="1423"/>
      <c r="FH724" s="1423"/>
      <c r="FI724" s="1422"/>
      <c r="FJ724" s="1421" t="str">
        <f t="shared" si="32"/>
        <v/>
      </c>
      <c r="FK724" s="1423"/>
      <c r="FL724" s="1423"/>
      <c r="FM724" s="1423"/>
      <c r="FN724" s="1422"/>
      <c r="FO724" s="1421" t="str">
        <f t="shared" si="33"/>
        <v/>
      </c>
      <c r="FP724" s="1423"/>
      <c r="FQ724" s="1423"/>
      <c r="FR724" s="1423"/>
      <c r="FS724" s="1422"/>
      <c r="FT724" s="1421" t="str">
        <f t="shared" si="34"/>
        <v/>
      </c>
      <c r="FU724" s="1423"/>
      <c r="FV724" s="1423"/>
      <c r="FW724" s="1423"/>
      <c r="FX724" s="1422"/>
      <c r="FY724" s="1421" t="str">
        <f t="shared" si="35"/>
        <v/>
      </c>
      <c r="FZ724" s="1423"/>
      <c r="GA724" s="1423"/>
      <c r="GB724" s="1423"/>
      <c r="GC724" s="1422"/>
    </row>
    <row r="725" spans="1:185" ht="13.15" customHeight="1">
      <c r="B725" s="1299" t="s">
        <v>829</v>
      </c>
      <c r="C725" s="1300"/>
      <c r="D725" s="1300"/>
      <c r="E725" s="1300"/>
      <c r="F725" s="1301"/>
      <c r="G725" s="1311">
        <v>21</v>
      </c>
      <c r="H725" s="1312"/>
      <c r="I725" s="1312"/>
      <c r="J725" s="1313"/>
      <c r="K725" s="1305">
        <v>793</v>
      </c>
      <c r="L725" s="1306"/>
      <c r="M725" s="1306"/>
      <c r="N725" s="1307"/>
      <c r="O725" s="1302">
        <v>2104</v>
      </c>
      <c r="P725" s="1303"/>
      <c r="Q725" s="1303"/>
      <c r="R725" s="1303"/>
      <c r="S725" s="1304"/>
      <c r="T725" s="1302">
        <v>53</v>
      </c>
      <c r="U725" s="1303"/>
      <c r="V725" s="1303"/>
      <c r="W725" s="1304"/>
      <c r="X725" s="1314">
        <f t="shared" si="8"/>
        <v>2157</v>
      </c>
      <c r="Y725" s="1315"/>
      <c r="Z725" s="1315"/>
      <c r="AA725" s="1315"/>
      <c r="AB725" s="1316"/>
      <c r="AC725" s="1321">
        <v>0.6</v>
      </c>
      <c r="AD725" s="1322"/>
      <c r="AE725" s="1322"/>
      <c r="AF725" s="1322"/>
      <c r="AG725" s="1323"/>
      <c r="AH725" s="1317">
        <f t="shared" si="36"/>
        <v>0.59983314794215792</v>
      </c>
      <c r="AI725" s="1318"/>
      <c r="AJ725" s="1319"/>
      <c r="AK725" s="1299" t="s">
        <v>807</v>
      </c>
      <c r="AL725" s="1300"/>
      <c r="AM725" s="1300"/>
      <c r="AN725" s="1300"/>
      <c r="AO725" s="1301"/>
      <c r="AP725" s="3"/>
      <c r="AQ725" s="3"/>
      <c r="AR725" s="3"/>
      <c r="AS725" s="3"/>
      <c r="AY725" s="856"/>
      <c r="AZ725" s="84">
        <f t="shared" si="9"/>
        <v>3596</v>
      </c>
      <c r="BA725" s="3"/>
      <c r="BB725" s="3"/>
      <c r="BC725" s="3"/>
      <c r="BD725" s="3"/>
      <c r="BE725" s="136"/>
      <c r="BF725" s="203">
        <f t="shared" si="10"/>
        <v>21</v>
      </c>
      <c r="BG725" s="206">
        <f t="shared" si="11"/>
        <v>0.10880829015544041</v>
      </c>
      <c r="BH725" s="207">
        <f t="shared" si="12"/>
        <v>6.5284974093264239E-2</v>
      </c>
      <c r="BI725" s="3"/>
      <c r="BJ725" s="3"/>
      <c r="BK725" s="3"/>
      <c r="BL725" s="3"/>
      <c r="BM725" s="3"/>
      <c r="BN725" s="3"/>
      <c r="BS725" s="203">
        <f t="shared" si="13"/>
        <v>21</v>
      </c>
      <c r="BT725" s="206">
        <f t="shared" si="14"/>
        <v>0.10880829015544041</v>
      </c>
      <c r="BU725" s="207">
        <f t="shared" si="15"/>
        <v>6.5266819206141538E-2</v>
      </c>
      <c r="BV725" s="1174"/>
      <c r="BW725" s="3"/>
      <c r="BX725" s="3"/>
      <c r="BY725" s="3"/>
      <c r="BZ725" s="3"/>
      <c r="CA725" s="3"/>
      <c r="CB725" s="3"/>
      <c r="CC725" s="3"/>
      <c r="CE725" s="3"/>
      <c r="CF725" s="3"/>
      <c r="CG725" s="1421">
        <f t="shared" si="37"/>
        <v>0</v>
      </c>
      <c r="CH725" s="1422"/>
      <c r="CI725" s="1421">
        <f t="shared" si="38"/>
        <v>0</v>
      </c>
      <c r="CJ725" s="1422"/>
      <c r="CK725" s="1421">
        <f t="shared" si="16"/>
        <v>0</v>
      </c>
      <c r="CL725" s="1422"/>
      <c r="CM725" s="1421">
        <f t="shared" si="17"/>
        <v>0</v>
      </c>
      <c r="CN725" s="1422"/>
      <c r="CO725" s="3"/>
      <c r="CP725" s="1416">
        <f t="shared" si="18"/>
        <v>0</v>
      </c>
      <c r="CQ725" s="1417"/>
      <c r="CR725" s="1417"/>
      <c r="CS725" s="1417"/>
      <c r="CT725" s="1418"/>
      <c r="CU725" s="1401">
        <f t="shared" si="19"/>
        <v>0</v>
      </c>
      <c r="CV725" s="1401"/>
      <c r="CW725" s="1401"/>
      <c r="CX725" s="1401"/>
      <c r="CY725" s="1401"/>
      <c r="CZ725" s="1401">
        <f t="shared" si="20"/>
        <v>21</v>
      </c>
      <c r="DA725" s="1401"/>
      <c r="DB725" s="1401"/>
      <c r="DC725" s="1401"/>
      <c r="DD725" s="1401"/>
      <c r="DE725" s="1401">
        <f t="shared" si="21"/>
        <v>0</v>
      </c>
      <c r="DF725" s="1401"/>
      <c r="DG725" s="1401"/>
      <c r="DH725" s="1401"/>
      <c r="DI725" s="1401"/>
      <c r="DJ725" s="1401">
        <f t="shared" si="22"/>
        <v>0</v>
      </c>
      <c r="DK725" s="1401"/>
      <c r="DL725" s="1401"/>
      <c r="DM725" s="1401"/>
      <c r="DN725" s="1401"/>
      <c r="DO725" s="1401">
        <f t="shared" si="23"/>
        <v>0</v>
      </c>
      <c r="DP725" s="1401"/>
      <c r="DQ725" s="1401"/>
      <c r="DR725" s="1401"/>
      <c r="DS725" s="1401"/>
      <c r="DT725" s="257"/>
      <c r="DU725" s="1402">
        <f t="shared" si="24"/>
        <v>0</v>
      </c>
      <c r="DV725" s="1402"/>
      <c r="DW725" s="1402"/>
      <c r="DX725" s="1402"/>
      <c r="DY725" s="1402"/>
      <c r="DZ725" s="1402">
        <f t="shared" si="25"/>
        <v>0</v>
      </c>
      <c r="EA725" s="1402"/>
      <c r="EB725" s="1402"/>
      <c r="EC725" s="1402"/>
      <c r="ED725" s="1402"/>
      <c r="EE725" s="1402">
        <f t="shared" si="26"/>
        <v>0</v>
      </c>
      <c r="EF725" s="1402"/>
      <c r="EG725" s="1402"/>
      <c r="EH725" s="1402"/>
      <c r="EI725" s="1402"/>
      <c r="EJ725" s="1402">
        <f t="shared" si="27"/>
        <v>0</v>
      </c>
      <c r="EK725" s="1402"/>
      <c r="EL725" s="1402"/>
      <c r="EM725" s="1402"/>
      <c r="EN725" s="1402"/>
      <c r="EO725" s="1402">
        <f t="shared" si="28"/>
        <v>0</v>
      </c>
      <c r="EP725" s="1402"/>
      <c r="EQ725" s="1402"/>
      <c r="ER725" s="1402"/>
      <c r="ES725" s="1402"/>
      <c r="ET725" s="1402">
        <f t="shared" si="29"/>
        <v>0</v>
      </c>
      <c r="EU725" s="1402"/>
      <c r="EV725" s="1402"/>
      <c r="EW725" s="1402"/>
      <c r="EX725" s="1402"/>
      <c r="EZ725" s="1421" t="str">
        <f t="shared" si="30"/>
        <v/>
      </c>
      <c r="FA725" s="1423"/>
      <c r="FB725" s="1423"/>
      <c r="FC725" s="1423"/>
      <c r="FD725" s="1422"/>
      <c r="FE725" s="1421" t="str">
        <f t="shared" si="31"/>
        <v/>
      </c>
      <c r="FF725" s="1423"/>
      <c r="FG725" s="1423"/>
      <c r="FH725" s="1423"/>
      <c r="FI725" s="1422"/>
      <c r="FJ725" s="1421">
        <f t="shared" si="32"/>
        <v>2104</v>
      </c>
      <c r="FK725" s="1423"/>
      <c r="FL725" s="1423"/>
      <c r="FM725" s="1423"/>
      <c r="FN725" s="1422"/>
      <c r="FO725" s="1421" t="str">
        <f t="shared" si="33"/>
        <v/>
      </c>
      <c r="FP725" s="1423"/>
      <c r="FQ725" s="1423"/>
      <c r="FR725" s="1423"/>
      <c r="FS725" s="1422"/>
      <c r="FT725" s="1421" t="str">
        <f t="shared" si="34"/>
        <v/>
      </c>
      <c r="FU725" s="1423"/>
      <c r="FV725" s="1423"/>
      <c r="FW725" s="1423"/>
      <c r="FX725" s="1422"/>
      <c r="FY725" s="1421" t="str">
        <f t="shared" si="35"/>
        <v/>
      </c>
      <c r="FZ725" s="1423"/>
      <c r="GA725" s="1423"/>
      <c r="GB725" s="1423"/>
      <c r="GC725" s="1422"/>
    </row>
    <row r="726" spans="1:185" ht="13.15" customHeight="1">
      <c r="B726" s="1299" t="s">
        <v>830</v>
      </c>
      <c r="C726" s="1300"/>
      <c r="D726" s="1300"/>
      <c r="E726" s="1300"/>
      <c r="F726" s="1301"/>
      <c r="G726" s="1311">
        <v>21</v>
      </c>
      <c r="H726" s="1312"/>
      <c r="I726" s="1312"/>
      <c r="J726" s="1313"/>
      <c r="K726" s="1305">
        <v>1008</v>
      </c>
      <c r="L726" s="1306"/>
      <c r="M726" s="1306"/>
      <c r="N726" s="1307"/>
      <c r="O726" s="1302">
        <v>2440</v>
      </c>
      <c r="P726" s="1303"/>
      <c r="Q726" s="1303"/>
      <c r="R726" s="1303"/>
      <c r="S726" s="1304"/>
      <c r="T726" s="1302">
        <v>54</v>
      </c>
      <c r="U726" s="1303"/>
      <c r="V726" s="1303"/>
      <c r="W726" s="1304"/>
      <c r="X726" s="1314">
        <f t="shared" si="8"/>
        <v>2494</v>
      </c>
      <c r="Y726" s="1315"/>
      <c r="Z726" s="1315"/>
      <c r="AA726" s="1315"/>
      <c r="AB726" s="1316"/>
      <c r="AC726" s="1321">
        <v>0.6</v>
      </c>
      <c r="AD726" s="1322"/>
      <c r="AE726" s="1322"/>
      <c r="AF726" s="1322"/>
      <c r="AG726" s="1323"/>
      <c r="AH726" s="1317">
        <f t="shared" si="36"/>
        <v>0.60038517091959553</v>
      </c>
      <c r="AI726" s="1318"/>
      <c r="AJ726" s="1319"/>
      <c r="AK726" s="1299" t="s">
        <v>807</v>
      </c>
      <c r="AL726" s="1300"/>
      <c r="AM726" s="1300"/>
      <c r="AN726" s="1300"/>
      <c r="AO726" s="1301"/>
      <c r="AP726" s="3"/>
      <c r="AQ726" s="3"/>
      <c r="AR726" s="3"/>
      <c r="AS726" s="3"/>
      <c r="AY726" s="856"/>
      <c r="AZ726" s="84">
        <f t="shared" si="9"/>
        <v>4154</v>
      </c>
      <c r="BA726" s="3"/>
      <c r="BB726" s="3"/>
      <c r="BC726" s="3"/>
      <c r="BD726" s="3"/>
      <c r="BE726" s="136"/>
      <c r="BF726" s="203">
        <f t="shared" si="10"/>
        <v>21</v>
      </c>
      <c r="BG726" s="206">
        <f t="shared" si="11"/>
        <v>0.10880829015544041</v>
      </c>
      <c r="BH726" s="207">
        <f t="shared" si="12"/>
        <v>6.5284974093264239E-2</v>
      </c>
      <c r="BI726" s="3"/>
      <c r="BJ726" s="3"/>
      <c r="BK726" s="3"/>
      <c r="BL726" s="3"/>
      <c r="BM726" s="3"/>
      <c r="BN726" s="3"/>
      <c r="BS726" s="203">
        <f t="shared" si="13"/>
        <v>21</v>
      </c>
      <c r="BT726" s="206">
        <f t="shared" si="14"/>
        <v>0.10880829015544041</v>
      </c>
      <c r="BU726" s="207">
        <f t="shared" si="15"/>
        <v>6.5326883882443038E-2</v>
      </c>
      <c r="BV726" s="3"/>
      <c r="BW726" s="3"/>
      <c r="BX726" s="3"/>
      <c r="BY726" s="3"/>
      <c r="BZ726" s="3"/>
      <c r="CA726" s="3"/>
      <c r="CB726" s="3"/>
      <c r="CC726" s="3"/>
      <c r="CE726" s="3"/>
      <c r="CF726" s="3"/>
      <c r="CG726" s="1421">
        <f t="shared" si="37"/>
        <v>0</v>
      </c>
      <c r="CH726" s="1422"/>
      <c r="CI726" s="1421">
        <f t="shared" si="38"/>
        <v>0</v>
      </c>
      <c r="CJ726" s="1422"/>
      <c r="CK726" s="1421">
        <f t="shared" si="16"/>
        <v>0</v>
      </c>
      <c r="CL726" s="1422"/>
      <c r="CM726" s="1421">
        <f t="shared" si="17"/>
        <v>0</v>
      </c>
      <c r="CN726" s="1422"/>
      <c r="CO726" s="3"/>
      <c r="CP726" s="1416">
        <f t="shared" si="18"/>
        <v>0</v>
      </c>
      <c r="CQ726" s="1417"/>
      <c r="CR726" s="1417"/>
      <c r="CS726" s="1417"/>
      <c r="CT726" s="1418"/>
      <c r="CU726" s="1401">
        <f t="shared" si="19"/>
        <v>0</v>
      </c>
      <c r="CV726" s="1401"/>
      <c r="CW726" s="1401"/>
      <c r="CX726" s="1401"/>
      <c r="CY726" s="1401"/>
      <c r="CZ726" s="1401">
        <f t="shared" si="20"/>
        <v>0</v>
      </c>
      <c r="DA726" s="1401"/>
      <c r="DB726" s="1401"/>
      <c r="DC726" s="1401"/>
      <c r="DD726" s="1401"/>
      <c r="DE726" s="1401">
        <f t="shared" si="21"/>
        <v>21</v>
      </c>
      <c r="DF726" s="1401"/>
      <c r="DG726" s="1401"/>
      <c r="DH726" s="1401"/>
      <c r="DI726" s="1401"/>
      <c r="DJ726" s="1401">
        <f t="shared" si="22"/>
        <v>0</v>
      </c>
      <c r="DK726" s="1401"/>
      <c r="DL726" s="1401"/>
      <c r="DM726" s="1401"/>
      <c r="DN726" s="1401"/>
      <c r="DO726" s="1401">
        <f t="shared" si="23"/>
        <v>0</v>
      </c>
      <c r="DP726" s="1401"/>
      <c r="DQ726" s="1401"/>
      <c r="DR726" s="1401"/>
      <c r="DS726" s="1401"/>
      <c r="DT726" s="257"/>
      <c r="DU726" s="1402">
        <f t="shared" si="24"/>
        <v>0</v>
      </c>
      <c r="DV726" s="1402"/>
      <c r="DW726" s="1402"/>
      <c r="DX726" s="1402"/>
      <c r="DY726" s="1402"/>
      <c r="DZ726" s="1402">
        <f t="shared" si="25"/>
        <v>0</v>
      </c>
      <c r="EA726" s="1402"/>
      <c r="EB726" s="1402"/>
      <c r="EC726" s="1402"/>
      <c r="ED726" s="1402"/>
      <c r="EE726" s="1402">
        <f t="shared" si="26"/>
        <v>0</v>
      </c>
      <c r="EF726" s="1402"/>
      <c r="EG726" s="1402"/>
      <c r="EH726" s="1402"/>
      <c r="EI726" s="1402"/>
      <c r="EJ726" s="1402">
        <f t="shared" si="27"/>
        <v>0</v>
      </c>
      <c r="EK726" s="1402"/>
      <c r="EL726" s="1402"/>
      <c r="EM726" s="1402"/>
      <c r="EN726" s="1402"/>
      <c r="EO726" s="1402">
        <f t="shared" si="28"/>
        <v>0</v>
      </c>
      <c r="EP726" s="1402"/>
      <c r="EQ726" s="1402"/>
      <c r="ER726" s="1402"/>
      <c r="ES726" s="1402"/>
      <c r="ET726" s="1402">
        <f t="shared" si="29"/>
        <v>0</v>
      </c>
      <c r="EU726" s="1402"/>
      <c r="EV726" s="1402"/>
      <c r="EW726" s="1402"/>
      <c r="EX726" s="1402"/>
      <c r="EY726" s="3"/>
      <c r="EZ726" s="1421" t="str">
        <f t="shared" si="30"/>
        <v/>
      </c>
      <c r="FA726" s="1423"/>
      <c r="FB726" s="1423"/>
      <c r="FC726" s="1423"/>
      <c r="FD726" s="1422"/>
      <c r="FE726" s="1421" t="str">
        <f t="shared" si="31"/>
        <v/>
      </c>
      <c r="FF726" s="1423"/>
      <c r="FG726" s="1423"/>
      <c r="FH726" s="1423"/>
      <c r="FI726" s="1422"/>
      <c r="FJ726" s="1421" t="str">
        <f t="shared" si="32"/>
        <v/>
      </c>
      <c r="FK726" s="1423"/>
      <c r="FL726" s="1423"/>
      <c r="FM726" s="1423"/>
      <c r="FN726" s="1422"/>
      <c r="FO726" s="1421">
        <f t="shared" si="33"/>
        <v>2440</v>
      </c>
      <c r="FP726" s="1423"/>
      <c r="FQ726" s="1423"/>
      <c r="FR726" s="1423"/>
      <c r="FS726" s="1422"/>
      <c r="FT726" s="1421" t="str">
        <f t="shared" si="34"/>
        <v/>
      </c>
      <c r="FU726" s="1423"/>
      <c r="FV726" s="1423"/>
      <c r="FW726" s="1423"/>
      <c r="FX726" s="1422"/>
      <c r="FY726" s="1421" t="str">
        <f t="shared" si="35"/>
        <v/>
      </c>
      <c r="FZ726" s="1423"/>
      <c r="GA726" s="1423"/>
      <c r="GB726" s="1423"/>
      <c r="GC726" s="1422"/>
    </row>
    <row r="727" spans="1:185" ht="13.15" customHeight="1">
      <c r="A727" s="3"/>
      <c r="B727" s="1299" t="s">
        <v>828</v>
      </c>
      <c r="C727" s="1300"/>
      <c r="D727" s="1300"/>
      <c r="E727" s="1300"/>
      <c r="F727" s="1301"/>
      <c r="G727" s="1311">
        <v>23</v>
      </c>
      <c r="H727" s="1312"/>
      <c r="I727" s="1312"/>
      <c r="J727" s="1313"/>
      <c r="K727" s="1305">
        <v>607</v>
      </c>
      <c r="L727" s="1306"/>
      <c r="M727" s="1306"/>
      <c r="N727" s="1307"/>
      <c r="O727" s="1302">
        <v>2050</v>
      </c>
      <c r="P727" s="1303"/>
      <c r="Q727" s="1303"/>
      <c r="R727" s="1303"/>
      <c r="S727" s="1304"/>
      <c r="T727" s="1302">
        <v>47</v>
      </c>
      <c r="U727" s="1303"/>
      <c r="V727" s="1303"/>
      <c r="W727" s="1304"/>
      <c r="X727" s="1314">
        <f t="shared" si="8"/>
        <v>2097</v>
      </c>
      <c r="Y727" s="1315"/>
      <c r="Z727" s="1315"/>
      <c r="AA727" s="1315"/>
      <c r="AB727" s="1316"/>
      <c r="AC727" s="1321">
        <v>0.7</v>
      </c>
      <c r="AD727" s="1322"/>
      <c r="AE727" s="1322"/>
      <c r="AF727" s="1322"/>
      <c r="AG727" s="1323"/>
      <c r="AH727" s="1317">
        <f t="shared" si="36"/>
        <v>0.69993324432576765</v>
      </c>
      <c r="AI727" s="1318"/>
      <c r="AJ727" s="1319"/>
      <c r="AK727" s="1299" t="s">
        <v>807</v>
      </c>
      <c r="AL727" s="1300"/>
      <c r="AM727" s="1300"/>
      <c r="AN727" s="1300"/>
      <c r="AO727" s="1301"/>
      <c r="AP727" s="3"/>
      <c r="AQ727" s="3"/>
      <c r="AR727" s="3"/>
      <c r="AS727" s="3"/>
      <c r="AY727" s="856"/>
      <c r="AZ727" s="84">
        <f t="shared" si="9"/>
        <v>2996</v>
      </c>
      <c r="BA727" s="3"/>
      <c r="BB727" s="3"/>
      <c r="BC727" s="3"/>
      <c r="BD727" s="3"/>
      <c r="BE727" s="136"/>
      <c r="BF727" s="203">
        <f t="shared" si="10"/>
        <v>23</v>
      </c>
      <c r="BG727" s="206">
        <f t="shared" si="11"/>
        <v>0.11917098445595854</v>
      </c>
      <c r="BH727" s="207">
        <f t="shared" si="12"/>
        <v>8.341968911917097E-2</v>
      </c>
      <c r="BI727" s="3"/>
      <c r="BJ727" s="3"/>
      <c r="BK727" s="3"/>
      <c r="BL727" s="3"/>
      <c r="BM727" s="3"/>
      <c r="BN727" s="3"/>
      <c r="BS727" s="203">
        <f t="shared" si="13"/>
        <v>23</v>
      </c>
      <c r="BT727" s="206">
        <f t="shared" si="14"/>
        <v>0.11917098445595854</v>
      </c>
      <c r="BU727" s="207">
        <f t="shared" si="15"/>
        <v>8.3411733779754693E-2</v>
      </c>
      <c r="BV727" s="3"/>
      <c r="BW727" s="3"/>
      <c r="BX727" s="3"/>
      <c r="BY727" s="3"/>
      <c r="BZ727" s="3"/>
      <c r="CA727" s="3"/>
      <c r="CB727" s="3"/>
      <c r="CC727" s="3"/>
      <c r="CE727" s="3"/>
      <c r="CF727" s="3"/>
      <c r="CG727" s="1421">
        <f t="shared" si="37"/>
        <v>0</v>
      </c>
      <c r="CH727" s="1422"/>
      <c r="CI727" s="1421">
        <f t="shared" si="38"/>
        <v>0</v>
      </c>
      <c r="CJ727" s="1422"/>
      <c r="CK727" s="1421">
        <f t="shared" si="16"/>
        <v>0</v>
      </c>
      <c r="CL727" s="1422"/>
      <c r="CM727" s="1421">
        <f t="shared" si="17"/>
        <v>0</v>
      </c>
      <c r="CN727" s="1422"/>
      <c r="CO727" s="3"/>
      <c r="CP727" s="1416">
        <f t="shared" si="18"/>
        <v>0</v>
      </c>
      <c r="CQ727" s="1417"/>
      <c r="CR727" s="1417"/>
      <c r="CS727" s="1417"/>
      <c r="CT727" s="1418"/>
      <c r="CU727" s="1401">
        <f t="shared" si="19"/>
        <v>23</v>
      </c>
      <c r="CV727" s="1401"/>
      <c r="CW727" s="1401"/>
      <c r="CX727" s="1401"/>
      <c r="CY727" s="1401"/>
      <c r="CZ727" s="1401">
        <f t="shared" si="20"/>
        <v>0</v>
      </c>
      <c r="DA727" s="1401"/>
      <c r="DB727" s="1401"/>
      <c r="DC727" s="1401"/>
      <c r="DD727" s="1401"/>
      <c r="DE727" s="1401">
        <f t="shared" si="21"/>
        <v>0</v>
      </c>
      <c r="DF727" s="1401"/>
      <c r="DG727" s="1401"/>
      <c r="DH727" s="1401"/>
      <c r="DI727" s="1401"/>
      <c r="DJ727" s="1401">
        <f t="shared" si="22"/>
        <v>0</v>
      </c>
      <c r="DK727" s="1401"/>
      <c r="DL727" s="1401"/>
      <c r="DM727" s="1401"/>
      <c r="DN727" s="1401"/>
      <c r="DO727" s="1401">
        <f t="shared" si="23"/>
        <v>0</v>
      </c>
      <c r="DP727" s="1401"/>
      <c r="DQ727" s="1401"/>
      <c r="DR727" s="1401"/>
      <c r="DS727" s="1401"/>
      <c r="DT727" s="257"/>
      <c r="DU727" s="1402">
        <f t="shared" si="24"/>
        <v>0</v>
      </c>
      <c r="DV727" s="1402"/>
      <c r="DW727" s="1402"/>
      <c r="DX727" s="1402"/>
      <c r="DY727" s="1402"/>
      <c r="DZ727" s="1402">
        <f t="shared" si="25"/>
        <v>0</v>
      </c>
      <c r="EA727" s="1402"/>
      <c r="EB727" s="1402"/>
      <c r="EC727" s="1402"/>
      <c r="ED727" s="1402"/>
      <c r="EE727" s="1402">
        <f t="shared" si="26"/>
        <v>0</v>
      </c>
      <c r="EF727" s="1402"/>
      <c r="EG727" s="1402"/>
      <c r="EH727" s="1402"/>
      <c r="EI727" s="1402"/>
      <c r="EJ727" s="1402">
        <f t="shared" si="27"/>
        <v>0</v>
      </c>
      <c r="EK727" s="1402"/>
      <c r="EL727" s="1402"/>
      <c r="EM727" s="1402"/>
      <c r="EN727" s="1402"/>
      <c r="EO727" s="1402">
        <f t="shared" si="28"/>
        <v>0</v>
      </c>
      <c r="EP727" s="1402"/>
      <c r="EQ727" s="1402"/>
      <c r="ER727" s="1402"/>
      <c r="ES727" s="1402"/>
      <c r="ET727" s="1402">
        <f t="shared" si="29"/>
        <v>0</v>
      </c>
      <c r="EU727" s="1402"/>
      <c r="EV727" s="1402"/>
      <c r="EW727" s="1402"/>
      <c r="EX727" s="1402"/>
      <c r="EY727" s="3"/>
      <c r="EZ727" s="1421" t="str">
        <f t="shared" si="30"/>
        <v/>
      </c>
      <c r="FA727" s="1423"/>
      <c r="FB727" s="1423"/>
      <c r="FC727" s="1423"/>
      <c r="FD727" s="1422"/>
      <c r="FE727" s="1421">
        <f t="shared" si="31"/>
        <v>2050</v>
      </c>
      <c r="FF727" s="1423"/>
      <c r="FG727" s="1423"/>
      <c r="FH727" s="1423"/>
      <c r="FI727" s="1422"/>
      <c r="FJ727" s="1421" t="str">
        <f t="shared" si="32"/>
        <v/>
      </c>
      <c r="FK727" s="1423"/>
      <c r="FL727" s="1423"/>
      <c r="FM727" s="1423"/>
      <c r="FN727" s="1422"/>
      <c r="FO727" s="1421" t="str">
        <f t="shared" si="33"/>
        <v/>
      </c>
      <c r="FP727" s="1423"/>
      <c r="FQ727" s="1423"/>
      <c r="FR727" s="1423"/>
      <c r="FS727" s="1422"/>
      <c r="FT727" s="1421" t="str">
        <f t="shared" si="34"/>
        <v/>
      </c>
      <c r="FU727" s="1423"/>
      <c r="FV727" s="1423"/>
      <c r="FW727" s="1423"/>
      <c r="FX727" s="1422"/>
      <c r="FY727" s="1421" t="str">
        <f t="shared" si="35"/>
        <v/>
      </c>
      <c r="FZ727" s="1423"/>
      <c r="GA727" s="1423"/>
      <c r="GB727" s="1423"/>
      <c r="GC727" s="1422"/>
    </row>
    <row r="728" spans="1:185" ht="13.15" customHeight="1">
      <c r="A728" s="3"/>
      <c r="B728" s="1299" t="s">
        <v>829</v>
      </c>
      <c r="C728" s="1300"/>
      <c r="D728" s="1300"/>
      <c r="E728" s="1300"/>
      <c r="F728" s="1301"/>
      <c r="G728" s="1311">
        <v>16</v>
      </c>
      <c r="H728" s="1312"/>
      <c r="I728" s="1312"/>
      <c r="J728" s="1313"/>
      <c r="K728" s="1305">
        <v>793</v>
      </c>
      <c r="L728" s="1306"/>
      <c r="M728" s="1306"/>
      <c r="N728" s="1307"/>
      <c r="O728" s="1302">
        <v>2464</v>
      </c>
      <c r="P728" s="1303"/>
      <c r="Q728" s="1303"/>
      <c r="R728" s="1303"/>
      <c r="S728" s="1304"/>
      <c r="T728" s="1302">
        <v>54</v>
      </c>
      <c r="U728" s="1303"/>
      <c r="V728" s="1303"/>
      <c r="W728" s="1304"/>
      <c r="X728" s="1314">
        <f t="shared" si="8"/>
        <v>2518</v>
      </c>
      <c r="Y728" s="1315"/>
      <c r="Z728" s="1315"/>
      <c r="AA728" s="1315"/>
      <c r="AB728" s="1316"/>
      <c r="AC728" s="1321">
        <v>0.7</v>
      </c>
      <c r="AD728" s="1322"/>
      <c r="AE728" s="1322"/>
      <c r="AF728" s="1322"/>
      <c r="AG728" s="1323"/>
      <c r="AH728" s="1317">
        <f t="shared" si="36"/>
        <v>0.70022246941045607</v>
      </c>
      <c r="AI728" s="1318"/>
      <c r="AJ728" s="1319"/>
      <c r="AK728" s="1299" t="s">
        <v>807</v>
      </c>
      <c r="AL728" s="1300"/>
      <c r="AM728" s="1300"/>
      <c r="AN728" s="1300"/>
      <c r="AO728" s="1301"/>
      <c r="AP728" s="3"/>
      <c r="AQ728" s="3"/>
      <c r="AR728" s="3"/>
      <c r="AS728" s="3"/>
      <c r="AY728" s="856"/>
      <c r="AZ728" s="84">
        <f t="shared" si="9"/>
        <v>3596</v>
      </c>
      <c r="BA728" s="3"/>
      <c r="BB728" s="3"/>
      <c r="BC728" s="3"/>
      <c r="BD728" s="3"/>
      <c r="BE728" s="136"/>
      <c r="BF728" s="203">
        <f t="shared" si="10"/>
        <v>16</v>
      </c>
      <c r="BG728" s="206">
        <f t="shared" si="11"/>
        <v>8.2901554404145081E-2</v>
      </c>
      <c r="BH728" s="207">
        <f t="shared" si="12"/>
        <v>5.8031088082901555E-2</v>
      </c>
      <c r="BI728" s="3"/>
      <c r="BJ728" s="3"/>
      <c r="BK728" s="3"/>
      <c r="BL728" s="3"/>
      <c r="BM728" s="3"/>
      <c r="BN728" s="3"/>
      <c r="BS728" s="203">
        <f t="shared" si="13"/>
        <v>16</v>
      </c>
      <c r="BT728" s="206">
        <f t="shared" si="14"/>
        <v>8.2901554404145081E-2</v>
      </c>
      <c r="BU728" s="207">
        <f t="shared" si="15"/>
        <v>5.8049531142835738E-2</v>
      </c>
      <c r="BV728" s="3"/>
      <c r="BW728" s="3"/>
      <c r="BX728" s="3"/>
      <c r="BY728" s="3"/>
      <c r="BZ728" s="3"/>
      <c r="CA728" s="3"/>
      <c r="CB728" s="3"/>
      <c r="CC728" s="3"/>
      <c r="CE728" s="3"/>
      <c r="CF728" s="3"/>
      <c r="CG728" s="1421">
        <f t="shared" si="37"/>
        <v>0</v>
      </c>
      <c r="CH728" s="1422"/>
      <c r="CI728" s="1421">
        <f t="shared" si="38"/>
        <v>0</v>
      </c>
      <c r="CJ728" s="1422"/>
      <c r="CK728" s="1421">
        <f t="shared" si="16"/>
        <v>0</v>
      </c>
      <c r="CL728" s="1422"/>
      <c r="CM728" s="1421">
        <f t="shared" si="17"/>
        <v>0</v>
      </c>
      <c r="CN728" s="1422"/>
      <c r="CO728" s="3"/>
      <c r="CP728" s="1416">
        <f t="shared" si="18"/>
        <v>0</v>
      </c>
      <c r="CQ728" s="1417"/>
      <c r="CR728" s="1417"/>
      <c r="CS728" s="1417"/>
      <c r="CT728" s="1418"/>
      <c r="CU728" s="1401">
        <f t="shared" si="19"/>
        <v>0</v>
      </c>
      <c r="CV728" s="1401"/>
      <c r="CW728" s="1401"/>
      <c r="CX728" s="1401"/>
      <c r="CY728" s="1401"/>
      <c r="CZ728" s="1401">
        <f t="shared" si="20"/>
        <v>16</v>
      </c>
      <c r="DA728" s="1401"/>
      <c r="DB728" s="1401"/>
      <c r="DC728" s="1401"/>
      <c r="DD728" s="1401"/>
      <c r="DE728" s="1401">
        <f t="shared" si="21"/>
        <v>0</v>
      </c>
      <c r="DF728" s="1401"/>
      <c r="DG728" s="1401"/>
      <c r="DH728" s="1401"/>
      <c r="DI728" s="1401"/>
      <c r="DJ728" s="1401">
        <f t="shared" si="22"/>
        <v>0</v>
      </c>
      <c r="DK728" s="1401"/>
      <c r="DL728" s="1401"/>
      <c r="DM728" s="1401"/>
      <c r="DN728" s="1401"/>
      <c r="DO728" s="1401">
        <f t="shared" si="23"/>
        <v>0</v>
      </c>
      <c r="DP728" s="1401"/>
      <c r="DQ728" s="1401"/>
      <c r="DR728" s="1401"/>
      <c r="DS728" s="1401"/>
      <c r="DT728" s="257"/>
      <c r="DU728" s="1402">
        <f t="shared" si="24"/>
        <v>0</v>
      </c>
      <c r="DV728" s="1402"/>
      <c r="DW728" s="1402"/>
      <c r="DX728" s="1402"/>
      <c r="DY728" s="1402"/>
      <c r="DZ728" s="1402">
        <f t="shared" si="25"/>
        <v>0</v>
      </c>
      <c r="EA728" s="1402"/>
      <c r="EB728" s="1402"/>
      <c r="EC728" s="1402"/>
      <c r="ED728" s="1402"/>
      <c r="EE728" s="1402">
        <f t="shared" si="26"/>
        <v>0</v>
      </c>
      <c r="EF728" s="1402"/>
      <c r="EG728" s="1402"/>
      <c r="EH728" s="1402"/>
      <c r="EI728" s="1402"/>
      <c r="EJ728" s="1402">
        <f t="shared" si="27"/>
        <v>0</v>
      </c>
      <c r="EK728" s="1402"/>
      <c r="EL728" s="1402"/>
      <c r="EM728" s="1402"/>
      <c r="EN728" s="1402"/>
      <c r="EO728" s="1402">
        <f t="shared" si="28"/>
        <v>0</v>
      </c>
      <c r="EP728" s="1402"/>
      <c r="EQ728" s="1402"/>
      <c r="ER728" s="1402"/>
      <c r="ES728" s="1402"/>
      <c r="ET728" s="1402">
        <f t="shared" si="29"/>
        <v>0</v>
      </c>
      <c r="EU728" s="1402"/>
      <c r="EV728" s="1402"/>
      <c r="EW728" s="1402"/>
      <c r="EX728" s="1402"/>
      <c r="EY728" s="3"/>
      <c r="EZ728" s="1421" t="str">
        <f t="shared" si="30"/>
        <v/>
      </c>
      <c r="FA728" s="1423"/>
      <c r="FB728" s="1423"/>
      <c r="FC728" s="1423"/>
      <c r="FD728" s="1422"/>
      <c r="FE728" s="1421" t="str">
        <f t="shared" si="31"/>
        <v/>
      </c>
      <c r="FF728" s="1423"/>
      <c r="FG728" s="1423"/>
      <c r="FH728" s="1423"/>
      <c r="FI728" s="1422"/>
      <c r="FJ728" s="1421">
        <f t="shared" si="32"/>
        <v>2464</v>
      </c>
      <c r="FK728" s="1423"/>
      <c r="FL728" s="1423"/>
      <c r="FM728" s="1423"/>
      <c r="FN728" s="1422"/>
      <c r="FO728" s="1421" t="str">
        <f t="shared" si="33"/>
        <v/>
      </c>
      <c r="FP728" s="1423"/>
      <c r="FQ728" s="1423"/>
      <c r="FR728" s="1423"/>
      <c r="FS728" s="1422"/>
      <c r="FT728" s="1421" t="str">
        <f t="shared" si="34"/>
        <v/>
      </c>
      <c r="FU728" s="1423"/>
      <c r="FV728" s="1423"/>
      <c r="FW728" s="1423"/>
      <c r="FX728" s="1422"/>
      <c r="FY728" s="1421" t="str">
        <f t="shared" si="35"/>
        <v/>
      </c>
      <c r="FZ728" s="1423"/>
      <c r="GA728" s="1423"/>
      <c r="GB728" s="1423"/>
      <c r="GC728" s="1422"/>
    </row>
    <row r="729" spans="1:185" ht="13.15" customHeight="1">
      <c r="A729" s="3"/>
      <c r="B729" s="1299" t="s">
        <v>830</v>
      </c>
      <c r="C729" s="1300"/>
      <c r="D729" s="1300"/>
      <c r="E729" s="1300"/>
      <c r="F729" s="1301"/>
      <c r="G729" s="1311">
        <v>20</v>
      </c>
      <c r="H729" s="1312"/>
      <c r="I729" s="1312"/>
      <c r="J729" s="1313"/>
      <c r="K729" s="1305">
        <v>1008</v>
      </c>
      <c r="L729" s="1306"/>
      <c r="M729" s="1306"/>
      <c r="N729" s="1307"/>
      <c r="O729" s="1302">
        <v>2855</v>
      </c>
      <c r="P729" s="1303"/>
      <c r="Q729" s="1303"/>
      <c r="R729" s="1303"/>
      <c r="S729" s="1304"/>
      <c r="T729" s="1302">
        <v>53</v>
      </c>
      <c r="U729" s="1303"/>
      <c r="V729" s="1303"/>
      <c r="W729" s="1304"/>
      <c r="X729" s="1314">
        <f t="shared" si="8"/>
        <v>2908</v>
      </c>
      <c r="Y729" s="1315"/>
      <c r="Z729" s="1315"/>
      <c r="AA729" s="1315"/>
      <c r="AB729" s="1316"/>
      <c r="AC729" s="1321">
        <v>0.7</v>
      </c>
      <c r="AD729" s="1322"/>
      <c r="AE729" s="1322"/>
      <c r="AF729" s="1322"/>
      <c r="AG729" s="1323"/>
      <c r="AH729" s="1317">
        <f t="shared" si="36"/>
        <v>0.7000481463649495</v>
      </c>
      <c r="AI729" s="1318"/>
      <c r="AJ729" s="1319"/>
      <c r="AK729" s="1299" t="s">
        <v>807</v>
      </c>
      <c r="AL729" s="1300"/>
      <c r="AM729" s="1300"/>
      <c r="AN729" s="1300"/>
      <c r="AO729" s="1301"/>
      <c r="AP729" s="3"/>
      <c r="AQ729" s="3"/>
      <c r="AR729" s="3"/>
      <c r="AS729" s="3"/>
      <c r="AY729" s="856"/>
      <c r="AZ729" s="84">
        <f t="shared" si="9"/>
        <v>4154</v>
      </c>
      <c r="BA729" s="3"/>
      <c r="BB729" s="3"/>
      <c r="BC729" s="3"/>
      <c r="BD729" s="3"/>
      <c r="BE729" s="136"/>
      <c r="BF729" s="203">
        <f t="shared" si="10"/>
        <v>20</v>
      </c>
      <c r="BG729" s="206">
        <f t="shared" si="11"/>
        <v>0.10362694300518134</v>
      </c>
      <c r="BH729" s="207">
        <f t="shared" si="12"/>
        <v>7.2538860103626937E-2</v>
      </c>
      <c r="BI729" s="3"/>
      <c r="BJ729" s="3"/>
      <c r="BK729" s="3"/>
      <c r="BL729" s="3"/>
      <c r="BM729" s="3"/>
      <c r="BN729" s="3"/>
      <c r="BS729" s="203">
        <f t="shared" si="13"/>
        <v>20</v>
      </c>
      <c r="BT729" s="206">
        <f t="shared" si="14"/>
        <v>0.10362694300518134</v>
      </c>
      <c r="BU729" s="207">
        <f t="shared" si="15"/>
        <v>7.2543849364243462E-2</v>
      </c>
      <c r="BV729" s="3"/>
      <c r="BW729" s="3"/>
      <c r="BX729" s="3"/>
      <c r="BY729" s="3"/>
      <c r="BZ729" s="3"/>
      <c r="CA729" s="3"/>
      <c r="CB729" s="3"/>
      <c r="CC729" s="3"/>
      <c r="CE729" s="3"/>
      <c r="CF729" s="3"/>
      <c r="CG729" s="1421">
        <f t="shared" si="37"/>
        <v>0</v>
      </c>
      <c r="CH729" s="1422"/>
      <c r="CI729" s="1421">
        <f t="shared" si="38"/>
        <v>0</v>
      </c>
      <c r="CJ729" s="1422"/>
      <c r="CK729" s="1421">
        <f t="shared" si="16"/>
        <v>0</v>
      </c>
      <c r="CL729" s="1422"/>
      <c r="CM729" s="1421">
        <f t="shared" si="17"/>
        <v>0</v>
      </c>
      <c r="CN729" s="1422"/>
      <c r="CO729" s="3"/>
      <c r="CP729" s="1416">
        <f t="shared" si="18"/>
        <v>0</v>
      </c>
      <c r="CQ729" s="1417"/>
      <c r="CR729" s="1417"/>
      <c r="CS729" s="1417"/>
      <c r="CT729" s="1418"/>
      <c r="CU729" s="1401">
        <f t="shared" si="19"/>
        <v>0</v>
      </c>
      <c r="CV729" s="1401"/>
      <c r="CW729" s="1401"/>
      <c r="CX729" s="1401"/>
      <c r="CY729" s="1401"/>
      <c r="CZ729" s="1401">
        <f t="shared" si="20"/>
        <v>0</v>
      </c>
      <c r="DA729" s="1401"/>
      <c r="DB729" s="1401"/>
      <c r="DC729" s="1401"/>
      <c r="DD729" s="1401"/>
      <c r="DE729" s="1401">
        <f t="shared" si="21"/>
        <v>20</v>
      </c>
      <c r="DF729" s="1401"/>
      <c r="DG729" s="1401"/>
      <c r="DH729" s="1401"/>
      <c r="DI729" s="1401"/>
      <c r="DJ729" s="1401">
        <f t="shared" si="22"/>
        <v>0</v>
      </c>
      <c r="DK729" s="1401"/>
      <c r="DL729" s="1401"/>
      <c r="DM729" s="1401"/>
      <c r="DN729" s="1401"/>
      <c r="DO729" s="1401">
        <f t="shared" si="23"/>
        <v>0</v>
      </c>
      <c r="DP729" s="1401"/>
      <c r="DQ729" s="1401"/>
      <c r="DR729" s="1401"/>
      <c r="DS729" s="1401"/>
      <c r="DT729" s="257"/>
      <c r="DU729" s="1402">
        <f t="shared" si="24"/>
        <v>0</v>
      </c>
      <c r="DV729" s="1402"/>
      <c r="DW729" s="1402"/>
      <c r="DX729" s="1402"/>
      <c r="DY729" s="1402"/>
      <c r="DZ729" s="1402">
        <f t="shared" si="25"/>
        <v>0</v>
      </c>
      <c r="EA729" s="1402"/>
      <c r="EB729" s="1402"/>
      <c r="EC729" s="1402"/>
      <c r="ED729" s="1402"/>
      <c r="EE729" s="1402">
        <f t="shared" si="26"/>
        <v>0</v>
      </c>
      <c r="EF729" s="1402"/>
      <c r="EG729" s="1402"/>
      <c r="EH729" s="1402"/>
      <c r="EI729" s="1402"/>
      <c r="EJ729" s="1402">
        <f t="shared" si="27"/>
        <v>0</v>
      </c>
      <c r="EK729" s="1402"/>
      <c r="EL729" s="1402"/>
      <c r="EM729" s="1402"/>
      <c r="EN729" s="1402"/>
      <c r="EO729" s="1402">
        <f t="shared" si="28"/>
        <v>0</v>
      </c>
      <c r="EP729" s="1402"/>
      <c r="EQ729" s="1402"/>
      <c r="ER729" s="1402"/>
      <c r="ES729" s="1402"/>
      <c r="ET729" s="1402">
        <f t="shared" si="29"/>
        <v>0</v>
      </c>
      <c r="EU729" s="1402"/>
      <c r="EV729" s="1402"/>
      <c r="EW729" s="1402"/>
      <c r="EX729" s="1402"/>
      <c r="EZ729" s="1421" t="str">
        <f t="shared" si="30"/>
        <v/>
      </c>
      <c r="FA729" s="1423"/>
      <c r="FB729" s="1423"/>
      <c r="FC729" s="1423"/>
      <c r="FD729" s="1422"/>
      <c r="FE729" s="1421" t="str">
        <f t="shared" si="31"/>
        <v/>
      </c>
      <c r="FF729" s="1423"/>
      <c r="FG729" s="1423"/>
      <c r="FH729" s="1423"/>
      <c r="FI729" s="1422"/>
      <c r="FJ729" s="1421" t="str">
        <f t="shared" si="32"/>
        <v/>
      </c>
      <c r="FK729" s="1423"/>
      <c r="FL729" s="1423"/>
      <c r="FM729" s="1423"/>
      <c r="FN729" s="1422"/>
      <c r="FO729" s="1421">
        <f t="shared" si="33"/>
        <v>2855</v>
      </c>
      <c r="FP729" s="1423"/>
      <c r="FQ729" s="1423"/>
      <c r="FR729" s="1423"/>
      <c r="FS729" s="1422"/>
      <c r="FT729" s="1421" t="str">
        <f t="shared" si="34"/>
        <v/>
      </c>
      <c r="FU729" s="1423"/>
      <c r="FV729" s="1423"/>
      <c r="FW729" s="1423"/>
      <c r="FX729" s="1422"/>
      <c r="FY729" s="1421" t="str">
        <f t="shared" si="35"/>
        <v/>
      </c>
      <c r="FZ729" s="1423"/>
      <c r="GA729" s="1423"/>
      <c r="GB729" s="1423"/>
      <c r="GC729" s="1422"/>
    </row>
    <row r="730" spans="1:185" ht="13.15" customHeight="1">
      <c r="B730" s="1299"/>
      <c r="C730" s="1300"/>
      <c r="D730" s="1300"/>
      <c r="E730" s="1300"/>
      <c r="F730" s="1301"/>
      <c r="G730" s="1311"/>
      <c r="H730" s="1312"/>
      <c r="I730" s="1312"/>
      <c r="J730" s="1313"/>
      <c r="K730" s="1305"/>
      <c r="L730" s="1306"/>
      <c r="M730" s="1306"/>
      <c r="N730" s="1307"/>
      <c r="O730" s="1302"/>
      <c r="P730" s="1303"/>
      <c r="Q730" s="1303"/>
      <c r="R730" s="1303"/>
      <c r="S730" s="1304"/>
      <c r="T730" s="1302"/>
      <c r="U730" s="1303"/>
      <c r="V730" s="1303"/>
      <c r="W730" s="1304"/>
      <c r="X730" s="1314">
        <f t="shared" si="8"/>
        <v>0</v>
      </c>
      <c r="Y730" s="1315"/>
      <c r="Z730" s="1315"/>
      <c r="AA730" s="1315"/>
      <c r="AB730" s="1316"/>
      <c r="AC730" s="1321"/>
      <c r="AD730" s="1322"/>
      <c r="AE730" s="1322"/>
      <c r="AF730" s="1322"/>
      <c r="AG730" s="1323"/>
      <c r="AH730" s="1317" t="str">
        <f t="shared" si="36"/>
        <v/>
      </c>
      <c r="AI730" s="1318"/>
      <c r="AJ730" s="1319"/>
      <c r="AK730" s="1299" t="s">
        <v>807</v>
      </c>
      <c r="AL730" s="1300"/>
      <c r="AM730" s="1300"/>
      <c r="AN730" s="1300"/>
      <c r="AO730" s="1301"/>
      <c r="AP730" s="3"/>
      <c r="AQ730" s="3"/>
      <c r="AR730" s="3"/>
      <c r="AS730" s="3"/>
      <c r="AY730" s="856"/>
      <c r="AZ730" s="84" t="str">
        <f t="shared" si="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421">
        <f t="shared" si="37"/>
        <v>0</v>
      </c>
      <c r="CH730" s="1422"/>
      <c r="CI730" s="1421">
        <f t="shared" si="38"/>
        <v>0</v>
      </c>
      <c r="CJ730" s="1422"/>
      <c r="CK730" s="1421">
        <f t="shared" si="16"/>
        <v>0</v>
      </c>
      <c r="CL730" s="1422"/>
      <c r="CM730" s="1421">
        <f t="shared" si="17"/>
        <v>0</v>
      </c>
      <c r="CN730" s="1422"/>
      <c r="CO730" s="3"/>
      <c r="CP730" s="1416">
        <f t="shared" si="18"/>
        <v>0</v>
      </c>
      <c r="CQ730" s="1417"/>
      <c r="CR730" s="1417"/>
      <c r="CS730" s="1417"/>
      <c r="CT730" s="1418"/>
      <c r="CU730" s="1401">
        <f t="shared" si="19"/>
        <v>0</v>
      </c>
      <c r="CV730" s="1401"/>
      <c r="CW730" s="1401"/>
      <c r="CX730" s="1401"/>
      <c r="CY730" s="1401"/>
      <c r="CZ730" s="1401">
        <f t="shared" si="20"/>
        <v>0</v>
      </c>
      <c r="DA730" s="1401"/>
      <c r="DB730" s="1401"/>
      <c r="DC730" s="1401"/>
      <c r="DD730" s="1401"/>
      <c r="DE730" s="1401">
        <f t="shared" si="21"/>
        <v>0</v>
      </c>
      <c r="DF730" s="1401"/>
      <c r="DG730" s="1401"/>
      <c r="DH730" s="1401"/>
      <c r="DI730" s="1401"/>
      <c r="DJ730" s="1401">
        <f t="shared" si="22"/>
        <v>0</v>
      </c>
      <c r="DK730" s="1401"/>
      <c r="DL730" s="1401"/>
      <c r="DM730" s="1401"/>
      <c r="DN730" s="1401"/>
      <c r="DO730" s="1401">
        <f t="shared" si="23"/>
        <v>0</v>
      </c>
      <c r="DP730" s="1401"/>
      <c r="DQ730" s="1401"/>
      <c r="DR730" s="1401"/>
      <c r="DS730" s="1401"/>
      <c r="DT730" s="257"/>
      <c r="DU730" s="1402">
        <f t="shared" si="24"/>
        <v>0</v>
      </c>
      <c r="DV730" s="1402"/>
      <c r="DW730" s="1402"/>
      <c r="DX730" s="1402"/>
      <c r="DY730" s="1402"/>
      <c r="DZ730" s="1402">
        <f t="shared" si="25"/>
        <v>0</v>
      </c>
      <c r="EA730" s="1402"/>
      <c r="EB730" s="1402"/>
      <c r="EC730" s="1402"/>
      <c r="ED730" s="1402"/>
      <c r="EE730" s="1402">
        <f t="shared" si="26"/>
        <v>0</v>
      </c>
      <c r="EF730" s="1402"/>
      <c r="EG730" s="1402"/>
      <c r="EH730" s="1402"/>
      <c r="EI730" s="1402"/>
      <c r="EJ730" s="1402">
        <f t="shared" si="27"/>
        <v>0</v>
      </c>
      <c r="EK730" s="1402"/>
      <c r="EL730" s="1402"/>
      <c r="EM730" s="1402"/>
      <c r="EN730" s="1402"/>
      <c r="EO730" s="1402">
        <f t="shared" si="28"/>
        <v>0</v>
      </c>
      <c r="EP730" s="1402"/>
      <c r="EQ730" s="1402"/>
      <c r="ER730" s="1402"/>
      <c r="ES730" s="1402"/>
      <c r="ET730" s="1402">
        <f t="shared" si="29"/>
        <v>0</v>
      </c>
      <c r="EU730" s="1402"/>
      <c r="EV730" s="1402"/>
      <c r="EW730" s="1402"/>
      <c r="EX730" s="1402"/>
      <c r="EZ730" s="1421" t="str">
        <f t="shared" si="30"/>
        <v/>
      </c>
      <c r="FA730" s="1423"/>
      <c r="FB730" s="1423"/>
      <c r="FC730" s="1423"/>
      <c r="FD730" s="1422"/>
      <c r="FE730" s="1421" t="str">
        <f t="shared" si="31"/>
        <v/>
      </c>
      <c r="FF730" s="1423"/>
      <c r="FG730" s="1423"/>
      <c r="FH730" s="1423"/>
      <c r="FI730" s="1422"/>
      <c r="FJ730" s="1421" t="str">
        <f t="shared" si="32"/>
        <v/>
      </c>
      <c r="FK730" s="1423"/>
      <c r="FL730" s="1423"/>
      <c r="FM730" s="1423"/>
      <c r="FN730" s="1422"/>
      <c r="FO730" s="1421" t="str">
        <f t="shared" si="33"/>
        <v/>
      </c>
      <c r="FP730" s="1423"/>
      <c r="FQ730" s="1423"/>
      <c r="FR730" s="1423"/>
      <c r="FS730" s="1422"/>
      <c r="FT730" s="1421" t="str">
        <f t="shared" si="34"/>
        <v/>
      </c>
      <c r="FU730" s="1423"/>
      <c r="FV730" s="1423"/>
      <c r="FW730" s="1423"/>
      <c r="FX730" s="1422"/>
      <c r="FY730" s="1421" t="str">
        <f t="shared" si="35"/>
        <v/>
      </c>
      <c r="FZ730" s="1423"/>
      <c r="GA730" s="1423"/>
      <c r="GB730" s="1423"/>
      <c r="GC730" s="1422"/>
    </row>
    <row r="731" spans="1:185" ht="13.15" customHeight="1">
      <c r="B731" s="1299"/>
      <c r="C731" s="1300"/>
      <c r="D731" s="1300"/>
      <c r="E731" s="1300"/>
      <c r="F731" s="1301"/>
      <c r="G731" s="1311"/>
      <c r="H731" s="1312"/>
      <c r="I731" s="1312"/>
      <c r="J731" s="1313"/>
      <c r="K731" s="1305"/>
      <c r="L731" s="1306"/>
      <c r="M731" s="1306"/>
      <c r="N731" s="1307"/>
      <c r="O731" s="1302"/>
      <c r="P731" s="1303"/>
      <c r="Q731" s="1303"/>
      <c r="R731" s="1303"/>
      <c r="S731" s="1304"/>
      <c r="T731" s="1302"/>
      <c r="U731" s="1303"/>
      <c r="V731" s="1303"/>
      <c r="W731" s="1304"/>
      <c r="X731" s="1314">
        <f t="shared" si="8"/>
        <v>0</v>
      </c>
      <c r="Y731" s="1315"/>
      <c r="Z731" s="1315"/>
      <c r="AA731" s="1315"/>
      <c r="AB731" s="1316"/>
      <c r="AC731" s="1321"/>
      <c r="AD731" s="1322"/>
      <c r="AE731" s="1322"/>
      <c r="AF731" s="1322"/>
      <c r="AG731" s="1323"/>
      <c r="AH731" s="1317" t="str">
        <f t="shared" si="36"/>
        <v/>
      </c>
      <c r="AI731" s="1318"/>
      <c r="AJ731" s="1319"/>
      <c r="AK731" s="1299" t="s">
        <v>807</v>
      </c>
      <c r="AL731" s="1300"/>
      <c r="AM731" s="1300"/>
      <c r="AN731" s="1300"/>
      <c r="AO731" s="1301"/>
      <c r="AP731" s="3"/>
      <c r="AQ731" s="3"/>
      <c r="AR731" s="3"/>
      <c r="AS731" s="3"/>
      <c r="AY731" s="856"/>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421">
        <f t="shared" si="37"/>
        <v>0</v>
      </c>
      <c r="CH731" s="1422"/>
      <c r="CI731" s="1421">
        <f t="shared" si="38"/>
        <v>0</v>
      </c>
      <c r="CJ731" s="1422"/>
      <c r="CK731" s="1421">
        <f t="shared" si="16"/>
        <v>0</v>
      </c>
      <c r="CL731" s="1422"/>
      <c r="CM731" s="1421">
        <f t="shared" si="17"/>
        <v>0</v>
      </c>
      <c r="CN731" s="1422"/>
      <c r="CO731" s="3"/>
      <c r="CP731" s="1416">
        <f t="shared" si="18"/>
        <v>0</v>
      </c>
      <c r="CQ731" s="1417"/>
      <c r="CR731" s="1417"/>
      <c r="CS731" s="1417"/>
      <c r="CT731" s="1418"/>
      <c r="CU731" s="1401">
        <f t="shared" si="19"/>
        <v>0</v>
      </c>
      <c r="CV731" s="1401"/>
      <c r="CW731" s="1401"/>
      <c r="CX731" s="1401"/>
      <c r="CY731" s="1401"/>
      <c r="CZ731" s="1401">
        <f t="shared" si="20"/>
        <v>0</v>
      </c>
      <c r="DA731" s="1401"/>
      <c r="DB731" s="1401"/>
      <c r="DC731" s="1401"/>
      <c r="DD731" s="1401"/>
      <c r="DE731" s="1401">
        <f t="shared" si="21"/>
        <v>0</v>
      </c>
      <c r="DF731" s="1401"/>
      <c r="DG731" s="1401"/>
      <c r="DH731" s="1401"/>
      <c r="DI731" s="1401"/>
      <c r="DJ731" s="1401">
        <f t="shared" si="22"/>
        <v>0</v>
      </c>
      <c r="DK731" s="1401"/>
      <c r="DL731" s="1401"/>
      <c r="DM731" s="1401"/>
      <c r="DN731" s="1401"/>
      <c r="DO731" s="1401">
        <f t="shared" si="23"/>
        <v>0</v>
      </c>
      <c r="DP731" s="1401"/>
      <c r="DQ731" s="1401"/>
      <c r="DR731" s="1401"/>
      <c r="DS731" s="1401"/>
      <c r="DT731" s="257"/>
      <c r="DU731" s="1402">
        <f t="shared" si="24"/>
        <v>0</v>
      </c>
      <c r="DV731" s="1402"/>
      <c r="DW731" s="1402"/>
      <c r="DX731" s="1402"/>
      <c r="DY731" s="1402"/>
      <c r="DZ731" s="1402">
        <f t="shared" si="25"/>
        <v>0</v>
      </c>
      <c r="EA731" s="1402"/>
      <c r="EB731" s="1402"/>
      <c r="EC731" s="1402"/>
      <c r="ED731" s="1402"/>
      <c r="EE731" s="1402">
        <f t="shared" si="26"/>
        <v>0</v>
      </c>
      <c r="EF731" s="1402"/>
      <c r="EG731" s="1402"/>
      <c r="EH731" s="1402"/>
      <c r="EI731" s="1402"/>
      <c r="EJ731" s="1402">
        <f t="shared" si="27"/>
        <v>0</v>
      </c>
      <c r="EK731" s="1402"/>
      <c r="EL731" s="1402"/>
      <c r="EM731" s="1402"/>
      <c r="EN731" s="1402"/>
      <c r="EO731" s="1402">
        <f t="shared" si="28"/>
        <v>0</v>
      </c>
      <c r="EP731" s="1402"/>
      <c r="EQ731" s="1402"/>
      <c r="ER731" s="1402"/>
      <c r="ES731" s="1402"/>
      <c r="ET731" s="1402">
        <f t="shared" si="29"/>
        <v>0</v>
      </c>
      <c r="EU731" s="1402"/>
      <c r="EV731" s="1402"/>
      <c r="EW731" s="1402"/>
      <c r="EX731" s="1402"/>
      <c r="EZ731" s="1421" t="str">
        <f t="shared" si="30"/>
        <v/>
      </c>
      <c r="FA731" s="1423"/>
      <c r="FB731" s="1423"/>
      <c r="FC731" s="1423"/>
      <c r="FD731" s="1422"/>
      <c r="FE731" s="1421" t="str">
        <f t="shared" si="31"/>
        <v/>
      </c>
      <c r="FF731" s="1423"/>
      <c r="FG731" s="1423"/>
      <c r="FH731" s="1423"/>
      <c r="FI731" s="1422"/>
      <c r="FJ731" s="1421" t="str">
        <f t="shared" si="32"/>
        <v/>
      </c>
      <c r="FK731" s="1423"/>
      <c r="FL731" s="1423"/>
      <c r="FM731" s="1423"/>
      <c r="FN731" s="1422"/>
      <c r="FO731" s="1421" t="str">
        <f t="shared" si="33"/>
        <v/>
      </c>
      <c r="FP731" s="1423"/>
      <c r="FQ731" s="1423"/>
      <c r="FR731" s="1423"/>
      <c r="FS731" s="1422"/>
      <c r="FT731" s="1421" t="str">
        <f t="shared" si="34"/>
        <v/>
      </c>
      <c r="FU731" s="1423"/>
      <c r="FV731" s="1423"/>
      <c r="FW731" s="1423"/>
      <c r="FX731" s="1422"/>
      <c r="FY731" s="1421" t="str">
        <f t="shared" si="35"/>
        <v/>
      </c>
      <c r="FZ731" s="1423"/>
      <c r="GA731" s="1423"/>
      <c r="GB731" s="1423"/>
      <c r="GC731" s="1422"/>
    </row>
    <row r="732" spans="1:185" ht="13.15" customHeight="1">
      <c r="B732" s="1299"/>
      <c r="C732" s="1300"/>
      <c r="D732" s="1300"/>
      <c r="E732" s="1300"/>
      <c r="F732" s="1301"/>
      <c r="G732" s="1311"/>
      <c r="H732" s="1312"/>
      <c r="I732" s="1312"/>
      <c r="J732" s="1313"/>
      <c r="K732" s="1305"/>
      <c r="L732" s="1306"/>
      <c r="M732" s="1306"/>
      <c r="N732" s="1307"/>
      <c r="O732" s="1302"/>
      <c r="P732" s="1303"/>
      <c r="Q732" s="1303"/>
      <c r="R732" s="1303"/>
      <c r="S732" s="1304"/>
      <c r="T732" s="1302"/>
      <c r="U732" s="1303"/>
      <c r="V732" s="1303"/>
      <c r="W732" s="1304"/>
      <c r="X732" s="1314">
        <f t="shared" si="8"/>
        <v>0</v>
      </c>
      <c r="Y732" s="1315"/>
      <c r="Z732" s="1315"/>
      <c r="AA732" s="1315"/>
      <c r="AB732" s="1316"/>
      <c r="AC732" s="1321"/>
      <c r="AD732" s="1322"/>
      <c r="AE732" s="1322"/>
      <c r="AF732" s="1322"/>
      <c r="AG732" s="1323"/>
      <c r="AH732" s="1317" t="str">
        <f t="shared" si="36"/>
        <v/>
      </c>
      <c r="AI732" s="1318"/>
      <c r="AJ732" s="1319"/>
      <c r="AK732" s="1299" t="s">
        <v>807</v>
      </c>
      <c r="AL732" s="1300"/>
      <c r="AM732" s="1300"/>
      <c r="AN732" s="1300"/>
      <c r="AO732" s="1301"/>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421">
        <f t="shared" si="37"/>
        <v>0</v>
      </c>
      <c r="CH732" s="1422"/>
      <c r="CI732" s="1421">
        <f t="shared" si="38"/>
        <v>0</v>
      </c>
      <c r="CJ732" s="1422"/>
      <c r="CK732" s="1421">
        <f t="shared" si="16"/>
        <v>0</v>
      </c>
      <c r="CL732" s="1422"/>
      <c r="CM732" s="1421">
        <f t="shared" si="17"/>
        <v>0</v>
      </c>
      <c r="CN732" s="1422"/>
      <c r="CO732" s="3"/>
      <c r="CP732" s="1416">
        <f t="shared" si="18"/>
        <v>0</v>
      </c>
      <c r="CQ732" s="1417"/>
      <c r="CR732" s="1417"/>
      <c r="CS732" s="1417"/>
      <c r="CT732" s="1418"/>
      <c r="CU732" s="1401">
        <f t="shared" si="19"/>
        <v>0</v>
      </c>
      <c r="CV732" s="1401"/>
      <c r="CW732" s="1401"/>
      <c r="CX732" s="1401"/>
      <c r="CY732" s="1401"/>
      <c r="CZ732" s="1401">
        <f t="shared" si="20"/>
        <v>0</v>
      </c>
      <c r="DA732" s="1401"/>
      <c r="DB732" s="1401"/>
      <c r="DC732" s="1401"/>
      <c r="DD732" s="1401"/>
      <c r="DE732" s="1401">
        <f t="shared" si="21"/>
        <v>0</v>
      </c>
      <c r="DF732" s="1401"/>
      <c r="DG732" s="1401"/>
      <c r="DH732" s="1401"/>
      <c r="DI732" s="1401"/>
      <c r="DJ732" s="1401">
        <f t="shared" si="22"/>
        <v>0</v>
      </c>
      <c r="DK732" s="1401"/>
      <c r="DL732" s="1401"/>
      <c r="DM732" s="1401"/>
      <c r="DN732" s="1401"/>
      <c r="DO732" s="1401">
        <f t="shared" si="23"/>
        <v>0</v>
      </c>
      <c r="DP732" s="1401"/>
      <c r="DQ732" s="1401"/>
      <c r="DR732" s="1401"/>
      <c r="DS732" s="1401"/>
      <c r="DT732" s="257"/>
      <c r="DU732" s="1402">
        <f t="shared" si="24"/>
        <v>0</v>
      </c>
      <c r="DV732" s="1402"/>
      <c r="DW732" s="1402"/>
      <c r="DX732" s="1402"/>
      <c r="DY732" s="1402"/>
      <c r="DZ732" s="1402">
        <f t="shared" si="25"/>
        <v>0</v>
      </c>
      <c r="EA732" s="1402"/>
      <c r="EB732" s="1402"/>
      <c r="EC732" s="1402"/>
      <c r="ED732" s="1402"/>
      <c r="EE732" s="1402">
        <f t="shared" si="26"/>
        <v>0</v>
      </c>
      <c r="EF732" s="1402"/>
      <c r="EG732" s="1402"/>
      <c r="EH732" s="1402"/>
      <c r="EI732" s="1402"/>
      <c r="EJ732" s="1402">
        <f t="shared" si="27"/>
        <v>0</v>
      </c>
      <c r="EK732" s="1402"/>
      <c r="EL732" s="1402"/>
      <c r="EM732" s="1402"/>
      <c r="EN732" s="1402"/>
      <c r="EO732" s="1402">
        <f t="shared" si="28"/>
        <v>0</v>
      </c>
      <c r="EP732" s="1402"/>
      <c r="EQ732" s="1402"/>
      <c r="ER732" s="1402"/>
      <c r="ES732" s="1402"/>
      <c r="ET732" s="1402">
        <f t="shared" si="29"/>
        <v>0</v>
      </c>
      <c r="EU732" s="1402"/>
      <c r="EV732" s="1402"/>
      <c r="EW732" s="1402"/>
      <c r="EX732" s="1402"/>
      <c r="EZ732" s="1421" t="str">
        <f t="shared" si="30"/>
        <v/>
      </c>
      <c r="FA732" s="1423"/>
      <c r="FB732" s="1423"/>
      <c r="FC732" s="1423"/>
      <c r="FD732" s="1422"/>
      <c r="FE732" s="1421" t="str">
        <f t="shared" si="31"/>
        <v/>
      </c>
      <c r="FF732" s="1423"/>
      <c r="FG732" s="1423"/>
      <c r="FH732" s="1423"/>
      <c r="FI732" s="1422"/>
      <c r="FJ732" s="1421" t="str">
        <f t="shared" si="32"/>
        <v/>
      </c>
      <c r="FK732" s="1423"/>
      <c r="FL732" s="1423"/>
      <c r="FM732" s="1423"/>
      <c r="FN732" s="1422"/>
      <c r="FO732" s="1421" t="str">
        <f t="shared" si="33"/>
        <v/>
      </c>
      <c r="FP732" s="1423"/>
      <c r="FQ732" s="1423"/>
      <c r="FR732" s="1423"/>
      <c r="FS732" s="1422"/>
      <c r="FT732" s="1421" t="str">
        <f t="shared" si="34"/>
        <v/>
      </c>
      <c r="FU732" s="1423"/>
      <c r="FV732" s="1423"/>
      <c r="FW732" s="1423"/>
      <c r="FX732" s="1422"/>
      <c r="FY732" s="1421" t="str">
        <f t="shared" si="35"/>
        <v/>
      </c>
      <c r="FZ732" s="1423"/>
      <c r="GA732" s="1423"/>
      <c r="GB732" s="1423"/>
      <c r="GC732" s="1422"/>
    </row>
    <row r="733" spans="1:185" ht="13.15" customHeight="1">
      <c r="B733" s="1299"/>
      <c r="C733" s="1300"/>
      <c r="D733" s="1300"/>
      <c r="E733" s="1300"/>
      <c r="F733" s="1301"/>
      <c r="G733" s="1311"/>
      <c r="H733" s="1312"/>
      <c r="I733" s="1312"/>
      <c r="J733" s="1313"/>
      <c r="K733" s="1305"/>
      <c r="L733" s="1306"/>
      <c r="M733" s="1306"/>
      <c r="N733" s="1307"/>
      <c r="O733" s="1302"/>
      <c r="P733" s="1303"/>
      <c r="Q733" s="1303"/>
      <c r="R733" s="1303"/>
      <c r="S733" s="1304"/>
      <c r="T733" s="1302"/>
      <c r="U733" s="1303"/>
      <c r="V733" s="1303"/>
      <c r="W733" s="1304"/>
      <c r="X733" s="1314">
        <f t="shared" si="8"/>
        <v>0</v>
      </c>
      <c r="Y733" s="1315"/>
      <c r="Z733" s="1315"/>
      <c r="AA733" s="1315"/>
      <c r="AB733" s="1316"/>
      <c r="AC733" s="1321"/>
      <c r="AD733" s="1322"/>
      <c r="AE733" s="1322"/>
      <c r="AF733" s="1322"/>
      <c r="AG733" s="1323"/>
      <c r="AH733" s="1317" t="str">
        <f t="shared" si="36"/>
        <v/>
      </c>
      <c r="AI733" s="1318"/>
      <c r="AJ733" s="1319"/>
      <c r="AK733" s="1299" t="s">
        <v>807</v>
      </c>
      <c r="AL733" s="1300"/>
      <c r="AM733" s="1300"/>
      <c r="AN733" s="1300"/>
      <c r="AO733" s="1301"/>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421">
        <f t="shared" si="37"/>
        <v>0</v>
      </c>
      <c r="CH733" s="1422"/>
      <c r="CI733" s="1421">
        <f t="shared" si="38"/>
        <v>0</v>
      </c>
      <c r="CJ733" s="1422"/>
      <c r="CK733" s="1421">
        <f t="shared" si="16"/>
        <v>0</v>
      </c>
      <c r="CL733" s="1422"/>
      <c r="CM733" s="1421">
        <f t="shared" si="17"/>
        <v>0</v>
      </c>
      <c r="CN733" s="1422"/>
      <c r="CO733" s="3"/>
      <c r="CP733" s="1416">
        <f t="shared" si="18"/>
        <v>0</v>
      </c>
      <c r="CQ733" s="1417"/>
      <c r="CR733" s="1417"/>
      <c r="CS733" s="1417"/>
      <c r="CT733" s="1418"/>
      <c r="CU733" s="1401">
        <f t="shared" si="19"/>
        <v>0</v>
      </c>
      <c r="CV733" s="1401"/>
      <c r="CW733" s="1401"/>
      <c r="CX733" s="1401"/>
      <c r="CY733" s="1401"/>
      <c r="CZ733" s="1401">
        <f t="shared" si="20"/>
        <v>0</v>
      </c>
      <c r="DA733" s="1401"/>
      <c r="DB733" s="1401"/>
      <c r="DC733" s="1401"/>
      <c r="DD733" s="1401"/>
      <c r="DE733" s="1401">
        <f t="shared" si="21"/>
        <v>0</v>
      </c>
      <c r="DF733" s="1401"/>
      <c r="DG733" s="1401"/>
      <c r="DH733" s="1401"/>
      <c r="DI733" s="1401"/>
      <c r="DJ733" s="1401">
        <f t="shared" si="22"/>
        <v>0</v>
      </c>
      <c r="DK733" s="1401"/>
      <c r="DL733" s="1401"/>
      <c r="DM733" s="1401"/>
      <c r="DN733" s="1401"/>
      <c r="DO733" s="1401">
        <f t="shared" si="23"/>
        <v>0</v>
      </c>
      <c r="DP733" s="1401"/>
      <c r="DQ733" s="1401"/>
      <c r="DR733" s="1401"/>
      <c r="DS733" s="1401"/>
      <c r="DT733" s="257"/>
      <c r="DU733" s="1402">
        <f t="shared" si="24"/>
        <v>0</v>
      </c>
      <c r="DV733" s="1402"/>
      <c r="DW733" s="1402"/>
      <c r="DX733" s="1402"/>
      <c r="DY733" s="1402"/>
      <c r="DZ733" s="1402">
        <f t="shared" si="25"/>
        <v>0</v>
      </c>
      <c r="EA733" s="1402"/>
      <c r="EB733" s="1402"/>
      <c r="EC733" s="1402"/>
      <c r="ED733" s="1402"/>
      <c r="EE733" s="1402">
        <f t="shared" si="26"/>
        <v>0</v>
      </c>
      <c r="EF733" s="1402"/>
      <c r="EG733" s="1402"/>
      <c r="EH733" s="1402"/>
      <c r="EI733" s="1402"/>
      <c r="EJ733" s="1402">
        <f t="shared" si="27"/>
        <v>0</v>
      </c>
      <c r="EK733" s="1402"/>
      <c r="EL733" s="1402"/>
      <c r="EM733" s="1402"/>
      <c r="EN733" s="1402"/>
      <c r="EO733" s="1402">
        <f t="shared" si="28"/>
        <v>0</v>
      </c>
      <c r="EP733" s="1402"/>
      <c r="EQ733" s="1402"/>
      <c r="ER733" s="1402"/>
      <c r="ES733" s="1402"/>
      <c r="ET733" s="1402">
        <f t="shared" si="29"/>
        <v>0</v>
      </c>
      <c r="EU733" s="1402"/>
      <c r="EV733" s="1402"/>
      <c r="EW733" s="1402"/>
      <c r="EX733" s="1402"/>
      <c r="EZ733" s="1421" t="str">
        <f t="shared" si="30"/>
        <v/>
      </c>
      <c r="FA733" s="1423"/>
      <c r="FB733" s="1423"/>
      <c r="FC733" s="1423"/>
      <c r="FD733" s="1422"/>
      <c r="FE733" s="1421" t="str">
        <f t="shared" si="31"/>
        <v/>
      </c>
      <c r="FF733" s="1423"/>
      <c r="FG733" s="1423"/>
      <c r="FH733" s="1423"/>
      <c r="FI733" s="1422"/>
      <c r="FJ733" s="1421" t="str">
        <f t="shared" si="32"/>
        <v/>
      </c>
      <c r="FK733" s="1423"/>
      <c r="FL733" s="1423"/>
      <c r="FM733" s="1423"/>
      <c r="FN733" s="1422"/>
      <c r="FO733" s="1421" t="str">
        <f t="shared" si="33"/>
        <v/>
      </c>
      <c r="FP733" s="1423"/>
      <c r="FQ733" s="1423"/>
      <c r="FR733" s="1423"/>
      <c r="FS733" s="1422"/>
      <c r="FT733" s="1421" t="str">
        <f t="shared" si="34"/>
        <v/>
      </c>
      <c r="FU733" s="1423"/>
      <c r="FV733" s="1423"/>
      <c r="FW733" s="1423"/>
      <c r="FX733" s="1422"/>
      <c r="FY733" s="1421" t="str">
        <f t="shared" si="35"/>
        <v/>
      </c>
      <c r="FZ733" s="1423"/>
      <c r="GA733" s="1423"/>
      <c r="GB733" s="1423"/>
      <c r="GC733" s="1422"/>
    </row>
    <row r="734" spans="1:185" ht="13.15" customHeight="1">
      <c r="B734" s="1299"/>
      <c r="C734" s="1300"/>
      <c r="D734" s="1300"/>
      <c r="E734" s="1300"/>
      <c r="F734" s="1301"/>
      <c r="G734" s="1311"/>
      <c r="H734" s="1312"/>
      <c r="I734" s="1312"/>
      <c r="J734" s="1313"/>
      <c r="K734" s="1305"/>
      <c r="L734" s="1306"/>
      <c r="M734" s="1306"/>
      <c r="N734" s="1307"/>
      <c r="O734" s="1302"/>
      <c r="P734" s="1303"/>
      <c r="Q734" s="1303"/>
      <c r="R734" s="1303"/>
      <c r="S734" s="1304"/>
      <c r="T734" s="1302"/>
      <c r="U734" s="1303"/>
      <c r="V734" s="1303"/>
      <c r="W734" s="1304"/>
      <c r="X734" s="1314">
        <f t="shared" si="8"/>
        <v>0</v>
      </c>
      <c r="Y734" s="1315"/>
      <c r="Z734" s="1315"/>
      <c r="AA734" s="1315"/>
      <c r="AB734" s="1316"/>
      <c r="AC734" s="1321"/>
      <c r="AD734" s="1322"/>
      <c r="AE734" s="1322"/>
      <c r="AF734" s="1322"/>
      <c r="AG734" s="1323"/>
      <c r="AH734" s="1317" t="str">
        <f t="shared" si="36"/>
        <v/>
      </c>
      <c r="AI734" s="1318"/>
      <c r="AJ734" s="1319"/>
      <c r="AK734" s="1299" t="s">
        <v>807</v>
      </c>
      <c r="AL734" s="1300"/>
      <c r="AM734" s="1300"/>
      <c r="AN734" s="1300"/>
      <c r="AO734" s="1301"/>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421">
        <f t="shared" si="37"/>
        <v>0</v>
      </c>
      <c r="CH734" s="1422"/>
      <c r="CI734" s="1421">
        <f t="shared" si="38"/>
        <v>0</v>
      </c>
      <c r="CJ734" s="1422"/>
      <c r="CK734" s="1421">
        <f t="shared" si="16"/>
        <v>0</v>
      </c>
      <c r="CL734" s="1422"/>
      <c r="CM734" s="1421">
        <f t="shared" si="17"/>
        <v>0</v>
      </c>
      <c r="CN734" s="1422"/>
      <c r="CO734" s="3"/>
      <c r="CP734" s="1416">
        <f t="shared" si="18"/>
        <v>0</v>
      </c>
      <c r="CQ734" s="1417"/>
      <c r="CR734" s="1417"/>
      <c r="CS734" s="1417"/>
      <c r="CT734" s="1418"/>
      <c r="CU734" s="1401">
        <f t="shared" si="19"/>
        <v>0</v>
      </c>
      <c r="CV734" s="1401"/>
      <c r="CW734" s="1401"/>
      <c r="CX734" s="1401"/>
      <c r="CY734" s="1401"/>
      <c r="CZ734" s="1401">
        <f t="shared" si="20"/>
        <v>0</v>
      </c>
      <c r="DA734" s="1401"/>
      <c r="DB734" s="1401"/>
      <c r="DC734" s="1401"/>
      <c r="DD734" s="1401"/>
      <c r="DE734" s="1401">
        <f t="shared" si="21"/>
        <v>0</v>
      </c>
      <c r="DF734" s="1401"/>
      <c r="DG734" s="1401"/>
      <c r="DH734" s="1401"/>
      <c r="DI734" s="1401"/>
      <c r="DJ734" s="1401">
        <f t="shared" si="22"/>
        <v>0</v>
      </c>
      <c r="DK734" s="1401"/>
      <c r="DL734" s="1401"/>
      <c r="DM734" s="1401"/>
      <c r="DN734" s="1401"/>
      <c r="DO734" s="1401">
        <f t="shared" si="23"/>
        <v>0</v>
      </c>
      <c r="DP734" s="1401"/>
      <c r="DQ734" s="1401"/>
      <c r="DR734" s="1401"/>
      <c r="DS734" s="1401"/>
      <c r="DT734" s="257"/>
      <c r="DU734" s="1402">
        <f t="shared" si="24"/>
        <v>0</v>
      </c>
      <c r="DV734" s="1402"/>
      <c r="DW734" s="1402"/>
      <c r="DX734" s="1402"/>
      <c r="DY734" s="1402"/>
      <c r="DZ734" s="1402">
        <f t="shared" si="25"/>
        <v>0</v>
      </c>
      <c r="EA734" s="1402"/>
      <c r="EB734" s="1402"/>
      <c r="EC734" s="1402"/>
      <c r="ED734" s="1402"/>
      <c r="EE734" s="1402">
        <f t="shared" si="26"/>
        <v>0</v>
      </c>
      <c r="EF734" s="1402"/>
      <c r="EG734" s="1402"/>
      <c r="EH734" s="1402"/>
      <c r="EI734" s="1402"/>
      <c r="EJ734" s="1402">
        <f t="shared" si="27"/>
        <v>0</v>
      </c>
      <c r="EK734" s="1402"/>
      <c r="EL734" s="1402"/>
      <c r="EM734" s="1402"/>
      <c r="EN734" s="1402"/>
      <c r="EO734" s="1402">
        <f t="shared" si="28"/>
        <v>0</v>
      </c>
      <c r="EP734" s="1402"/>
      <c r="EQ734" s="1402"/>
      <c r="ER734" s="1402"/>
      <c r="ES734" s="1402"/>
      <c r="ET734" s="1402">
        <f t="shared" si="29"/>
        <v>0</v>
      </c>
      <c r="EU734" s="1402"/>
      <c r="EV734" s="1402"/>
      <c r="EW734" s="1402"/>
      <c r="EX734" s="1402"/>
      <c r="EZ734" s="1421" t="str">
        <f t="shared" si="30"/>
        <v/>
      </c>
      <c r="FA734" s="1423"/>
      <c r="FB734" s="1423"/>
      <c r="FC734" s="1423"/>
      <c r="FD734" s="1422"/>
      <c r="FE734" s="1421" t="str">
        <f t="shared" si="31"/>
        <v/>
      </c>
      <c r="FF734" s="1423"/>
      <c r="FG734" s="1423"/>
      <c r="FH734" s="1423"/>
      <c r="FI734" s="1422"/>
      <c r="FJ734" s="1421" t="str">
        <f t="shared" si="32"/>
        <v/>
      </c>
      <c r="FK734" s="1423"/>
      <c r="FL734" s="1423"/>
      <c r="FM734" s="1423"/>
      <c r="FN734" s="1422"/>
      <c r="FO734" s="1421" t="str">
        <f t="shared" si="33"/>
        <v/>
      </c>
      <c r="FP734" s="1423"/>
      <c r="FQ734" s="1423"/>
      <c r="FR734" s="1423"/>
      <c r="FS734" s="1422"/>
      <c r="FT734" s="1421" t="str">
        <f t="shared" si="34"/>
        <v/>
      </c>
      <c r="FU734" s="1423"/>
      <c r="FV734" s="1423"/>
      <c r="FW734" s="1423"/>
      <c r="FX734" s="1422"/>
      <c r="FY734" s="1421" t="str">
        <f t="shared" si="35"/>
        <v/>
      </c>
      <c r="FZ734" s="1423"/>
      <c r="GA734" s="1423"/>
      <c r="GB734" s="1423"/>
      <c r="GC734" s="1422"/>
    </row>
    <row r="735" spans="1:185" ht="13.15" customHeight="1">
      <c r="B735" s="1299"/>
      <c r="C735" s="1300"/>
      <c r="D735" s="1300"/>
      <c r="E735" s="1300"/>
      <c r="F735" s="1301"/>
      <c r="G735" s="1311"/>
      <c r="H735" s="1312"/>
      <c r="I735" s="1312"/>
      <c r="J735" s="1313"/>
      <c r="K735" s="1305"/>
      <c r="L735" s="1306"/>
      <c r="M735" s="1306"/>
      <c r="N735" s="1307"/>
      <c r="O735" s="1302"/>
      <c r="P735" s="1303"/>
      <c r="Q735" s="1303"/>
      <c r="R735" s="1303"/>
      <c r="S735" s="1304"/>
      <c r="T735" s="1302"/>
      <c r="U735" s="1303"/>
      <c r="V735" s="1303"/>
      <c r="W735" s="1304"/>
      <c r="X735" s="1314">
        <f t="shared" si="8"/>
        <v>0</v>
      </c>
      <c r="Y735" s="1315"/>
      <c r="Z735" s="1315"/>
      <c r="AA735" s="1315"/>
      <c r="AB735" s="1316"/>
      <c r="AC735" s="1321"/>
      <c r="AD735" s="1322"/>
      <c r="AE735" s="1322"/>
      <c r="AF735" s="1322"/>
      <c r="AG735" s="1323"/>
      <c r="AH735" s="1317" t="str">
        <f t="shared" si="36"/>
        <v/>
      </c>
      <c r="AI735" s="1318"/>
      <c r="AJ735" s="1319"/>
      <c r="AK735" s="1299" t="s">
        <v>807</v>
      </c>
      <c r="AL735" s="1300"/>
      <c r="AM735" s="1300"/>
      <c r="AN735" s="1300"/>
      <c r="AO735" s="1301"/>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421">
        <f t="shared" si="37"/>
        <v>0</v>
      </c>
      <c r="CH735" s="1422"/>
      <c r="CI735" s="1421">
        <f t="shared" si="38"/>
        <v>0</v>
      </c>
      <c r="CJ735" s="1422"/>
      <c r="CK735" s="1421">
        <f t="shared" si="16"/>
        <v>0</v>
      </c>
      <c r="CL735" s="1422"/>
      <c r="CM735" s="1421">
        <f t="shared" si="17"/>
        <v>0</v>
      </c>
      <c r="CN735" s="1422"/>
      <c r="CO735" s="3"/>
      <c r="CP735" s="1416">
        <f t="shared" si="18"/>
        <v>0</v>
      </c>
      <c r="CQ735" s="1417"/>
      <c r="CR735" s="1417"/>
      <c r="CS735" s="1417"/>
      <c r="CT735" s="1418"/>
      <c r="CU735" s="1401">
        <f t="shared" si="19"/>
        <v>0</v>
      </c>
      <c r="CV735" s="1401"/>
      <c r="CW735" s="1401"/>
      <c r="CX735" s="1401"/>
      <c r="CY735" s="1401"/>
      <c r="CZ735" s="1401">
        <f t="shared" si="20"/>
        <v>0</v>
      </c>
      <c r="DA735" s="1401"/>
      <c r="DB735" s="1401"/>
      <c r="DC735" s="1401"/>
      <c r="DD735" s="1401"/>
      <c r="DE735" s="1401">
        <f t="shared" si="21"/>
        <v>0</v>
      </c>
      <c r="DF735" s="1401"/>
      <c r="DG735" s="1401"/>
      <c r="DH735" s="1401"/>
      <c r="DI735" s="1401"/>
      <c r="DJ735" s="1401">
        <f t="shared" si="22"/>
        <v>0</v>
      </c>
      <c r="DK735" s="1401"/>
      <c r="DL735" s="1401"/>
      <c r="DM735" s="1401"/>
      <c r="DN735" s="1401"/>
      <c r="DO735" s="1401">
        <f t="shared" si="23"/>
        <v>0</v>
      </c>
      <c r="DP735" s="1401"/>
      <c r="DQ735" s="1401"/>
      <c r="DR735" s="1401"/>
      <c r="DS735" s="1401"/>
      <c r="DT735" s="257"/>
      <c r="DU735" s="1402">
        <f t="shared" si="24"/>
        <v>0</v>
      </c>
      <c r="DV735" s="1402"/>
      <c r="DW735" s="1402"/>
      <c r="DX735" s="1402"/>
      <c r="DY735" s="1402"/>
      <c r="DZ735" s="1402">
        <f t="shared" si="25"/>
        <v>0</v>
      </c>
      <c r="EA735" s="1402"/>
      <c r="EB735" s="1402"/>
      <c r="EC735" s="1402"/>
      <c r="ED735" s="1402"/>
      <c r="EE735" s="1402">
        <f t="shared" si="26"/>
        <v>0</v>
      </c>
      <c r="EF735" s="1402"/>
      <c r="EG735" s="1402"/>
      <c r="EH735" s="1402"/>
      <c r="EI735" s="1402"/>
      <c r="EJ735" s="1402">
        <f t="shared" si="27"/>
        <v>0</v>
      </c>
      <c r="EK735" s="1402"/>
      <c r="EL735" s="1402"/>
      <c r="EM735" s="1402"/>
      <c r="EN735" s="1402"/>
      <c r="EO735" s="1402">
        <f t="shared" si="28"/>
        <v>0</v>
      </c>
      <c r="EP735" s="1402"/>
      <c r="EQ735" s="1402"/>
      <c r="ER735" s="1402"/>
      <c r="ES735" s="1402"/>
      <c r="ET735" s="1402">
        <f t="shared" si="29"/>
        <v>0</v>
      </c>
      <c r="EU735" s="1402"/>
      <c r="EV735" s="1402"/>
      <c r="EW735" s="1402"/>
      <c r="EX735" s="1402"/>
      <c r="EZ735" s="1421" t="str">
        <f t="shared" si="30"/>
        <v/>
      </c>
      <c r="FA735" s="1423"/>
      <c r="FB735" s="1423"/>
      <c r="FC735" s="1423"/>
      <c r="FD735" s="1422"/>
      <c r="FE735" s="1421" t="str">
        <f t="shared" si="31"/>
        <v/>
      </c>
      <c r="FF735" s="1423"/>
      <c r="FG735" s="1423"/>
      <c r="FH735" s="1423"/>
      <c r="FI735" s="1422"/>
      <c r="FJ735" s="1421" t="str">
        <f t="shared" si="32"/>
        <v/>
      </c>
      <c r="FK735" s="1423"/>
      <c r="FL735" s="1423"/>
      <c r="FM735" s="1423"/>
      <c r="FN735" s="1422"/>
      <c r="FO735" s="1421" t="str">
        <f t="shared" si="33"/>
        <v/>
      </c>
      <c r="FP735" s="1423"/>
      <c r="FQ735" s="1423"/>
      <c r="FR735" s="1423"/>
      <c r="FS735" s="1422"/>
      <c r="FT735" s="1421" t="str">
        <f t="shared" si="34"/>
        <v/>
      </c>
      <c r="FU735" s="1423"/>
      <c r="FV735" s="1423"/>
      <c r="FW735" s="1423"/>
      <c r="FX735" s="1422"/>
      <c r="FY735" s="1421" t="str">
        <f t="shared" si="35"/>
        <v/>
      </c>
      <c r="FZ735" s="1423"/>
      <c r="GA735" s="1423"/>
      <c r="GB735" s="1423"/>
      <c r="GC735" s="1422"/>
    </row>
    <row r="736" spans="1:185" ht="13.15" customHeight="1">
      <c r="B736" s="1299"/>
      <c r="C736" s="1300"/>
      <c r="D736" s="1300"/>
      <c r="E736" s="1300"/>
      <c r="F736" s="1301"/>
      <c r="G736" s="1311"/>
      <c r="H736" s="1312"/>
      <c r="I736" s="1312"/>
      <c r="J736" s="1313"/>
      <c r="K736" s="1305"/>
      <c r="L736" s="1306"/>
      <c r="M736" s="1306"/>
      <c r="N736" s="1307"/>
      <c r="O736" s="1302"/>
      <c r="P736" s="1303"/>
      <c r="Q736" s="1303"/>
      <c r="R736" s="1303"/>
      <c r="S736" s="1304"/>
      <c r="T736" s="1302"/>
      <c r="U736" s="1303"/>
      <c r="V736" s="1303"/>
      <c r="W736" s="1304"/>
      <c r="X736" s="1314">
        <f t="shared" si="8"/>
        <v>0</v>
      </c>
      <c r="Y736" s="1315"/>
      <c r="Z736" s="1315"/>
      <c r="AA736" s="1315"/>
      <c r="AB736" s="1316"/>
      <c r="AC736" s="1321"/>
      <c r="AD736" s="1322"/>
      <c r="AE736" s="1322"/>
      <c r="AF736" s="1322"/>
      <c r="AG736" s="1323"/>
      <c r="AH736" s="1317" t="str">
        <f t="shared" si="36"/>
        <v/>
      </c>
      <c r="AI736" s="1318"/>
      <c r="AJ736" s="1319"/>
      <c r="AK736" s="1299" t="s">
        <v>807</v>
      </c>
      <c r="AL736" s="1300"/>
      <c r="AM736" s="1300"/>
      <c r="AN736" s="1300"/>
      <c r="AO736" s="1301"/>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421">
        <f t="shared" si="37"/>
        <v>0</v>
      </c>
      <c r="CH736" s="1422"/>
      <c r="CI736" s="1421">
        <f t="shared" si="38"/>
        <v>0</v>
      </c>
      <c r="CJ736" s="1422"/>
      <c r="CK736" s="1421">
        <f t="shared" si="16"/>
        <v>0</v>
      </c>
      <c r="CL736" s="1422"/>
      <c r="CM736" s="1421">
        <f t="shared" si="17"/>
        <v>0</v>
      </c>
      <c r="CN736" s="1422"/>
      <c r="CO736" s="3"/>
      <c r="CP736" s="1416">
        <f t="shared" si="18"/>
        <v>0</v>
      </c>
      <c r="CQ736" s="1417"/>
      <c r="CR736" s="1417"/>
      <c r="CS736" s="1417"/>
      <c r="CT736" s="1418"/>
      <c r="CU736" s="1401">
        <f t="shared" si="19"/>
        <v>0</v>
      </c>
      <c r="CV736" s="1401"/>
      <c r="CW736" s="1401"/>
      <c r="CX736" s="1401"/>
      <c r="CY736" s="1401"/>
      <c r="CZ736" s="1401">
        <f t="shared" si="20"/>
        <v>0</v>
      </c>
      <c r="DA736" s="1401"/>
      <c r="DB736" s="1401"/>
      <c r="DC736" s="1401"/>
      <c r="DD736" s="1401"/>
      <c r="DE736" s="1401">
        <f t="shared" si="21"/>
        <v>0</v>
      </c>
      <c r="DF736" s="1401"/>
      <c r="DG736" s="1401"/>
      <c r="DH736" s="1401"/>
      <c r="DI736" s="1401"/>
      <c r="DJ736" s="1401">
        <f t="shared" si="22"/>
        <v>0</v>
      </c>
      <c r="DK736" s="1401"/>
      <c r="DL736" s="1401"/>
      <c r="DM736" s="1401"/>
      <c r="DN736" s="1401"/>
      <c r="DO736" s="1401">
        <f t="shared" si="23"/>
        <v>0</v>
      </c>
      <c r="DP736" s="1401"/>
      <c r="DQ736" s="1401"/>
      <c r="DR736" s="1401"/>
      <c r="DS736" s="1401"/>
      <c r="DT736" s="257"/>
      <c r="DU736" s="1402">
        <f t="shared" si="24"/>
        <v>0</v>
      </c>
      <c r="DV736" s="1402"/>
      <c r="DW736" s="1402"/>
      <c r="DX736" s="1402"/>
      <c r="DY736" s="1402"/>
      <c r="DZ736" s="1402">
        <f t="shared" si="25"/>
        <v>0</v>
      </c>
      <c r="EA736" s="1402"/>
      <c r="EB736" s="1402"/>
      <c r="EC736" s="1402"/>
      <c r="ED736" s="1402"/>
      <c r="EE736" s="1402">
        <f t="shared" si="26"/>
        <v>0</v>
      </c>
      <c r="EF736" s="1402"/>
      <c r="EG736" s="1402"/>
      <c r="EH736" s="1402"/>
      <c r="EI736" s="1402"/>
      <c r="EJ736" s="1402">
        <f t="shared" si="27"/>
        <v>0</v>
      </c>
      <c r="EK736" s="1402"/>
      <c r="EL736" s="1402"/>
      <c r="EM736" s="1402"/>
      <c r="EN736" s="1402"/>
      <c r="EO736" s="1402">
        <f t="shared" si="28"/>
        <v>0</v>
      </c>
      <c r="EP736" s="1402"/>
      <c r="EQ736" s="1402"/>
      <c r="ER736" s="1402"/>
      <c r="ES736" s="1402"/>
      <c r="ET736" s="1402">
        <f t="shared" si="29"/>
        <v>0</v>
      </c>
      <c r="EU736" s="1402"/>
      <c r="EV736" s="1402"/>
      <c r="EW736" s="1402"/>
      <c r="EX736" s="1402"/>
      <c r="EZ736" s="1421" t="str">
        <f t="shared" si="30"/>
        <v/>
      </c>
      <c r="FA736" s="1423"/>
      <c r="FB736" s="1423"/>
      <c r="FC736" s="1423"/>
      <c r="FD736" s="1422"/>
      <c r="FE736" s="1421" t="str">
        <f t="shared" si="31"/>
        <v/>
      </c>
      <c r="FF736" s="1423"/>
      <c r="FG736" s="1423"/>
      <c r="FH736" s="1423"/>
      <c r="FI736" s="1422"/>
      <c r="FJ736" s="1421" t="str">
        <f t="shared" si="32"/>
        <v/>
      </c>
      <c r="FK736" s="1423"/>
      <c r="FL736" s="1423"/>
      <c r="FM736" s="1423"/>
      <c r="FN736" s="1422"/>
      <c r="FO736" s="1421" t="str">
        <f t="shared" si="33"/>
        <v/>
      </c>
      <c r="FP736" s="1423"/>
      <c r="FQ736" s="1423"/>
      <c r="FR736" s="1423"/>
      <c r="FS736" s="1422"/>
      <c r="FT736" s="1421" t="str">
        <f t="shared" si="34"/>
        <v/>
      </c>
      <c r="FU736" s="1423"/>
      <c r="FV736" s="1423"/>
      <c r="FW736" s="1423"/>
      <c r="FX736" s="1422"/>
      <c r="FY736" s="1421" t="str">
        <f t="shared" si="35"/>
        <v/>
      </c>
      <c r="FZ736" s="1423"/>
      <c r="GA736" s="1423"/>
      <c r="GB736" s="1423"/>
      <c r="GC736" s="1422"/>
    </row>
    <row r="737" spans="1:185" ht="13.15" customHeight="1">
      <c r="B737" s="1299"/>
      <c r="C737" s="1300"/>
      <c r="D737" s="1300"/>
      <c r="E737" s="1300"/>
      <c r="F737" s="1301"/>
      <c r="G737" s="1311"/>
      <c r="H737" s="1312"/>
      <c r="I737" s="1312"/>
      <c r="J737" s="1313"/>
      <c r="K737" s="1305"/>
      <c r="L737" s="1306"/>
      <c r="M737" s="1306"/>
      <c r="N737" s="1307"/>
      <c r="O737" s="1302"/>
      <c r="P737" s="1303"/>
      <c r="Q737" s="1303"/>
      <c r="R737" s="1303"/>
      <c r="S737" s="1304"/>
      <c r="T737" s="1302"/>
      <c r="U737" s="1303"/>
      <c r="V737" s="1303"/>
      <c r="W737" s="1304"/>
      <c r="X737" s="1314">
        <f t="shared" si="8"/>
        <v>0</v>
      </c>
      <c r="Y737" s="1315"/>
      <c r="Z737" s="1315"/>
      <c r="AA737" s="1315"/>
      <c r="AB737" s="1316"/>
      <c r="AC737" s="1321"/>
      <c r="AD737" s="1322"/>
      <c r="AE737" s="1322"/>
      <c r="AF737" s="1322"/>
      <c r="AG737" s="1323"/>
      <c r="AH737" s="1317" t="str">
        <f t="shared" si="36"/>
        <v/>
      </c>
      <c r="AI737" s="1318"/>
      <c r="AJ737" s="1319"/>
      <c r="AK737" s="1299" t="s">
        <v>807</v>
      </c>
      <c r="AL737" s="1300"/>
      <c r="AM737" s="1300"/>
      <c r="AN737" s="1300"/>
      <c r="AO737" s="1301"/>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421">
        <f t="shared" si="37"/>
        <v>0</v>
      </c>
      <c r="CH737" s="1422"/>
      <c r="CI737" s="1421">
        <f t="shared" si="38"/>
        <v>0</v>
      </c>
      <c r="CJ737" s="1422"/>
      <c r="CK737" s="1421">
        <f t="shared" si="16"/>
        <v>0</v>
      </c>
      <c r="CL737" s="1422"/>
      <c r="CM737" s="1421">
        <f t="shared" si="17"/>
        <v>0</v>
      </c>
      <c r="CN737" s="1422"/>
      <c r="CO737" s="3"/>
      <c r="CP737" s="1416">
        <f t="shared" si="18"/>
        <v>0</v>
      </c>
      <c r="CQ737" s="1417"/>
      <c r="CR737" s="1417"/>
      <c r="CS737" s="1417"/>
      <c r="CT737" s="1418"/>
      <c r="CU737" s="1401">
        <f t="shared" si="19"/>
        <v>0</v>
      </c>
      <c r="CV737" s="1401"/>
      <c r="CW737" s="1401"/>
      <c r="CX737" s="1401"/>
      <c r="CY737" s="1401"/>
      <c r="CZ737" s="1401">
        <f t="shared" si="20"/>
        <v>0</v>
      </c>
      <c r="DA737" s="1401"/>
      <c r="DB737" s="1401"/>
      <c r="DC737" s="1401"/>
      <c r="DD737" s="1401"/>
      <c r="DE737" s="1401">
        <f t="shared" si="21"/>
        <v>0</v>
      </c>
      <c r="DF737" s="1401"/>
      <c r="DG737" s="1401"/>
      <c r="DH737" s="1401"/>
      <c r="DI737" s="1401"/>
      <c r="DJ737" s="1401">
        <f t="shared" si="22"/>
        <v>0</v>
      </c>
      <c r="DK737" s="1401"/>
      <c r="DL737" s="1401"/>
      <c r="DM737" s="1401"/>
      <c r="DN737" s="1401"/>
      <c r="DO737" s="1401">
        <f t="shared" si="23"/>
        <v>0</v>
      </c>
      <c r="DP737" s="1401"/>
      <c r="DQ737" s="1401"/>
      <c r="DR737" s="1401"/>
      <c r="DS737" s="1401"/>
      <c r="DT737" s="257"/>
      <c r="DU737" s="1402">
        <f t="shared" si="24"/>
        <v>0</v>
      </c>
      <c r="DV737" s="1402"/>
      <c r="DW737" s="1402"/>
      <c r="DX737" s="1402"/>
      <c r="DY737" s="1402"/>
      <c r="DZ737" s="1402">
        <f t="shared" si="25"/>
        <v>0</v>
      </c>
      <c r="EA737" s="1402"/>
      <c r="EB737" s="1402"/>
      <c r="EC737" s="1402"/>
      <c r="ED737" s="1402"/>
      <c r="EE737" s="1402">
        <f t="shared" si="26"/>
        <v>0</v>
      </c>
      <c r="EF737" s="1402"/>
      <c r="EG737" s="1402"/>
      <c r="EH737" s="1402"/>
      <c r="EI737" s="1402"/>
      <c r="EJ737" s="1402">
        <f t="shared" si="27"/>
        <v>0</v>
      </c>
      <c r="EK737" s="1402"/>
      <c r="EL737" s="1402"/>
      <c r="EM737" s="1402"/>
      <c r="EN737" s="1402"/>
      <c r="EO737" s="1402">
        <f t="shared" si="28"/>
        <v>0</v>
      </c>
      <c r="EP737" s="1402"/>
      <c r="EQ737" s="1402"/>
      <c r="ER737" s="1402"/>
      <c r="ES737" s="1402"/>
      <c r="ET737" s="1402">
        <f t="shared" si="29"/>
        <v>0</v>
      </c>
      <c r="EU737" s="1402"/>
      <c r="EV737" s="1402"/>
      <c r="EW737" s="1402"/>
      <c r="EX737" s="1402"/>
      <c r="EZ737" s="1421" t="str">
        <f t="shared" si="30"/>
        <v/>
      </c>
      <c r="FA737" s="1423"/>
      <c r="FB737" s="1423"/>
      <c r="FC737" s="1423"/>
      <c r="FD737" s="1422"/>
      <c r="FE737" s="1421" t="str">
        <f t="shared" si="31"/>
        <v/>
      </c>
      <c r="FF737" s="1423"/>
      <c r="FG737" s="1423"/>
      <c r="FH737" s="1423"/>
      <c r="FI737" s="1422"/>
      <c r="FJ737" s="1421" t="str">
        <f t="shared" si="32"/>
        <v/>
      </c>
      <c r="FK737" s="1423"/>
      <c r="FL737" s="1423"/>
      <c r="FM737" s="1423"/>
      <c r="FN737" s="1422"/>
      <c r="FO737" s="1421" t="str">
        <f t="shared" si="33"/>
        <v/>
      </c>
      <c r="FP737" s="1423"/>
      <c r="FQ737" s="1423"/>
      <c r="FR737" s="1423"/>
      <c r="FS737" s="1422"/>
      <c r="FT737" s="1421" t="str">
        <f t="shared" si="34"/>
        <v/>
      </c>
      <c r="FU737" s="1423"/>
      <c r="FV737" s="1423"/>
      <c r="FW737" s="1423"/>
      <c r="FX737" s="1422"/>
      <c r="FY737" s="1421" t="str">
        <f t="shared" si="35"/>
        <v/>
      </c>
      <c r="FZ737" s="1423"/>
      <c r="GA737" s="1423"/>
      <c r="GB737" s="1423"/>
      <c r="GC737" s="1422"/>
    </row>
    <row r="738" spans="1:185" ht="13.15" customHeight="1">
      <c r="B738" s="1299"/>
      <c r="C738" s="1300"/>
      <c r="D738" s="1300"/>
      <c r="E738" s="1300"/>
      <c r="F738" s="1301"/>
      <c r="G738" s="1311"/>
      <c r="H738" s="1312"/>
      <c r="I738" s="1312"/>
      <c r="J738" s="1313"/>
      <c r="K738" s="1305"/>
      <c r="L738" s="1306"/>
      <c r="M738" s="1306"/>
      <c r="N738" s="1307"/>
      <c r="O738" s="1302"/>
      <c r="P738" s="1303"/>
      <c r="Q738" s="1303"/>
      <c r="R738" s="1303"/>
      <c r="S738" s="1304"/>
      <c r="T738" s="1302"/>
      <c r="U738" s="1303"/>
      <c r="V738" s="1303"/>
      <c r="W738" s="1304"/>
      <c r="X738" s="1314">
        <f t="shared" si="8"/>
        <v>0</v>
      </c>
      <c r="Y738" s="1315"/>
      <c r="Z738" s="1315"/>
      <c r="AA738" s="1315"/>
      <c r="AB738" s="1316"/>
      <c r="AC738" s="1321"/>
      <c r="AD738" s="1322"/>
      <c r="AE738" s="1322"/>
      <c r="AF738" s="1322"/>
      <c r="AG738" s="1323"/>
      <c r="AH738" s="1317" t="str">
        <f t="shared" si="36"/>
        <v/>
      </c>
      <c r="AI738" s="1318"/>
      <c r="AJ738" s="1319"/>
      <c r="AK738" s="1299" t="s">
        <v>807</v>
      </c>
      <c r="AL738" s="1300"/>
      <c r="AM738" s="1300"/>
      <c r="AN738" s="1300"/>
      <c r="AO738" s="1301"/>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421">
        <f t="shared" si="37"/>
        <v>0</v>
      </c>
      <c r="CH738" s="1422"/>
      <c r="CI738" s="1421">
        <f t="shared" si="38"/>
        <v>0</v>
      </c>
      <c r="CJ738" s="1422"/>
      <c r="CK738" s="1421">
        <f t="shared" si="16"/>
        <v>0</v>
      </c>
      <c r="CL738" s="1422"/>
      <c r="CM738" s="1421">
        <f t="shared" si="17"/>
        <v>0</v>
      </c>
      <c r="CN738" s="1422"/>
      <c r="CO738" s="3"/>
      <c r="CP738" s="1416">
        <f t="shared" si="18"/>
        <v>0</v>
      </c>
      <c r="CQ738" s="1417"/>
      <c r="CR738" s="1417"/>
      <c r="CS738" s="1417"/>
      <c r="CT738" s="1418"/>
      <c r="CU738" s="1401">
        <f t="shared" si="19"/>
        <v>0</v>
      </c>
      <c r="CV738" s="1401"/>
      <c r="CW738" s="1401"/>
      <c r="CX738" s="1401"/>
      <c r="CY738" s="1401"/>
      <c r="CZ738" s="1401">
        <f t="shared" si="20"/>
        <v>0</v>
      </c>
      <c r="DA738" s="1401"/>
      <c r="DB738" s="1401"/>
      <c r="DC738" s="1401"/>
      <c r="DD738" s="1401"/>
      <c r="DE738" s="1401">
        <f t="shared" si="21"/>
        <v>0</v>
      </c>
      <c r="DF738" s="1401"/>
      <c r="DG738" s="1401"/>
      <c r="DH738" s="1401"/>
      <c r="DI738" s="1401"/>
      <c r="DJ738" s="1401">
        <f t="shared" si="22"/>
        <v>0</v>
      </c>
      <c r="DK738" s="1401"/>
      <c r="DL738" s="1401"/>
      <c r="DM738" s="1401"/>
      <c r="DN738" s="1401"/>
      <c r="DO738" s="1401">
        <f t="shared" si="23"/>
        <v>0</v>
      </c>
      <c r="DP738" s="1401"/>
      <c r="DQ738" s="1401"/>
      <c r="DR738" s="1401"/>
      <c r="DS738" s="1401"/>
      <c r="DT738" s="257"/>
      <c r="DU738" s="1402">
        <f t="shared" si="24"/>
        <v>0</v>
      </c>
      <c r="DV738" s="1402"/>
      <c r="DW738" s="1402"/>
      <c r="DX738" s="1402"/>
      <c r="DY738" s="1402"/>
      <c r="DZ738" s="1402">
        <f t="shared" si="25"/>
        <v>0</v>
      </c>
      <c r="EA738" s="1402"/>
      <c r="EB738" s="1402"/>
      <c r="EC738" s="1402"/>
      <c r="ED738" s="1402"/>
      <c r="EE738" s="1402">
        <f t="shared" si="26"/>
        <v>0</v>
      </c>
      <c r="EF738" s="1402"/>
      <c r="EG738" s="1402"/>
      <c r="EH738" s="1402"/>
      <c r="EI738" s="1402"/>
      <c r="EJ738" s="1402">
        <f t="shared" si="27"/>
        <v>0</v>
      </c>
      <c r="EK738" s="1402"/>
      <c r="EL738" s="1402"/>
      <c r="EM738" s="1402"/>
      <c r="EN738" s="1402"/>
      <c r="EO738" s="1402">
        <f t="shared" si="28"/>
        <v>0</v>
      </c>
      <c r="EP738" s="1402"/>
      <c r="EQ738" s="1402"/>
      <c r="ER738" s="1402"/>
      <c r="ES738" s="1402"/>
      <c r="ET738" s="1402">
        <f t="shared" si="29"/>
        <v>0</v>
      </c>
      <c r="EU738" s="1402"/>
      <c r="EV738" s="1402"/>
      <c r="EW738" s="1402"/>
      <c r="EX738" s="1402"/>
      <c r="EZ738" s="1421" t="str">
        <f t="shared" si="30"/>
        <v/>
      </c>
      <c r="FA738" s="1423"/>
      <c r="FB738" s="1423"/>
      <c r="FC738" s="1423"/>
      <c r="FD738" s="1422"/>
      <c r="FE738" s="1421" t="str">
        <f t="shared" si="31"/>
        <v/>
      </c>
      <c r="FF738" s="1423"/>
      <c r="FG738" s="1423"/>
      <c r="FH738" s="1423"/>
      <c r="FI738" s="1422"/>
      <c r="FJ738" s="1421" t="str">
        <f t="shared" si="32"/>
        <v/>
      </c>
      <c r="FK738" s="1423"/>
      <c r="FL738" s="1423"/>
      <c r="FM738" s="1423"/>
      <c r="FN738" s="1422"/>
      <c r="FO738" s="1421" t="str">
        <f t="shared" si="33"/>
        <v/>
      </c>
      <c r="FP738" s="1423"/>
      <c r="FQ738" s="1423"/>
      <c r="FR738" s="1423"/>
      <c r="FS738" s="1422"/>
      <c r="FT738" s="1421" t="str">
        <f t="shared" si="34"/>
        <v/>
      </c>
      <c r="FU738" s="1423"/>
      <c r="FV738" s="1423"/>
      <c r="FW738" s="1423"/>
      <c r="FX738" s="1422"/>
      <c r="FY738" s="1421" t="str">
        <f t="shared" si="35"/>
        <v/>
      </c>
      <c r="FZ738" s="1423"/>
      <c r="GA738" s="1423"/>
      <c r="GB738" s="1423"/>
      <c r="GC738" s="1422"/>
    </row>
    <row r="739" spans="1:185" ht="13.15" customHeight="1">
      <c r="B739" s="1299"/>
      <c r="C739" s="1300"/>
      <c r="D739" s="1300"/>
      <c r="E739" s="1300"/>
      <c r="F739" s="1301"/>
      <c r="G739" s="1311"/>
      <c r="H739" s="1312"/>
      <c r="I739" s="1312"/>
      <c r="J739" s="1313"/>
      <c r="K739" s="1305"/>
      <c r="L739" s="1306"/>
      <c r="M739" s="1306"/>
      <c r="N739" s="1307"/>
      <c r="O739" s="1302"/>
      <c r="P739" s="1303"/>
      <c r="Q739" s="1303"/>
      <c r="R739" s="1303"/>
      <c r="S739" s="1304"/>
      <c r="T739" s="1302"/>
      <c r="U739" s="1303"/>
      <c r="V739" s="1303"/>
      <c r="W739" s="1304"/>
      <c r="X739" s="1314">
        <f t="shared" si="8"/>
        <v>0</v>
      </c>
      <c r="Y739" s="1315"/>
      <c r="Z739" s="1315"/>
      <c r="AA739" s="1315"/>
      <c r="AB739" s="1316"/>
      <c r="AC739" s="1321"/>
      <c r="AD739" s="1322"/>
      <c r="AE739" s="1322"/>
      <c r="AF739" s="1322"/>
      <c r="AG739" s="1323"/>
      <c r="AH739" s="1317" t="str">
        <f t="shared" si="36"/>
        <v/>
      </c>
      <c r="AI739" s="1318"/>
      <c r="AJ739" s="1319"/>
      <c r="AK739" s="1299" t="s">
        <v>807</v>
      </c>
      <c r="AL739" s="1300"/>
      <c r="AM739" s="1300"/>
      <c r="AN739" s="1300"/>
      <c r="AO739" s="1301"/>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421">
        <f t="shared" si="37"/>
        <v>0</v>
      </c>
      <c r="CH739" s="1422"/>
      <c r="CI739" s="1421">
        <f t="shared" si="38"/>
        <v>0</v>
      </c>
      <c r="CJ739" s="1422"/>
      <c r="CK739" s="1421">
        <f t="shared" si="16"/>
        <v>0</v>
      </c>
      <c r="CL739" s="1422"/>
      <c r="CM739" s="1421">
        <f t="shared" si="17"/>
        <v>0</v>
      </c>
      <c r="CN739" s="1422"/>
      <c r="CO739" s="3"/>
      <c r="CP739" s="1416">
        <f t="shared" si="18"/>
        <v>0</v>
      </c>
      <c r="CQ739" s="1417"/>
      <c r="CR739" s="1417"/>
      <c r="CS739" s="1417"/>
      <c r="CT739" s="1418"/>
      <c r="CU739" s="1401">
        <f t="shared" si="19"/>
        <v>0</v>
      </c>
      <c r="CV739" s="1401"/>
      <c r="CW739" s="1401"/>
      <c r="CX739" s="1401"/>
      <c r="CY739" s="1401"/>
      <c r="CZ739" s="1401">
        <f t="shared" si="20"/>
        <v>0</v>
      </c>
      <c r="DA739" s="1401"/>
      <c r="DB739" s="1401"/>
      <c r="DC739" s="1401"/>
      <c r="DD739" s="1401"/>
      <c r="DE739" s="1401">
        <f t="shared" si="21"/>
        <v>0</v>
      </c>
      <c r="DF739" s="1401"/>
      <c r="DG739" s="1401"/>
      <c r="DH739" s="1401"/>
      <c r="DI739" s="1401"/>
      <c r="DJ739" s="1401">
        <f t="shared" si="22"/>
        <v>0</v>
      </c>
      <c r="DK739" s="1401"/>
      <c r="DL739" s="1401"/>
      <c r="DM739" s="1401"/>
      <c r="DN739" s="1401"/>
      <c r="DO739" s="1401">
        <f t="shared" si="23"/>
        <v>0</v>
      </c>
      <c r="DP739" s="1401"/>
      <c r="DQ739" s="1401"/>
      <c r="DR739" s="1401"/>
      <c r="DS739" s="1401"/>
      <c r="DT739" s="257"/>
      <c r="DU739" s="1402">
        <f t="shared" si="24"/>
        <v>0</v>
      </c>
      <c r="DV739" s="1402"/>
      <c r="DW739" s="1402"/>
      <c r="DX739" s="1402"/>
      <c r="DY739" s="1402"/>
      <c r="DZ739" s="1402">
        <f t="shared" si="25"/>
        <v>0</v>
      </c>
      <c r="EA739" s="1402"/>
      <c r="EB739" s="1402"/>
      <c r="EC739" s="1402"/>
      <c r="ED739" s="1402"/>
      <c r="EE739" s="1402">
        <f t="shared" si="26"/>
        <v>0</v>
      </c>
      <c r="EF739" s="1402"/>
      <c r="EG739" s="1402"/>
      <c r="EH739" s="1402"/>
      <c r="EI739" s="1402"/>
      <c r="EJ739" s="1402">
        <f t="shared" si="27"/>
        <v>0</v>
      </c>
      <c r="EK739" s="1402"/>
      <c r="EL739" s="1402"/>
      <c r="EM739" s="1402"/>
      <c r="EN739" s="1402"/>
      <c r="EO739" s="1402">
        <f t="shared" si="28"/>
        <v>0</v>
      </c>
      <c r="EP739" s="1402"/>
      <c r="EQ739" s="1402"/>
      <c r="ER739" s="1402"/>
      <c r="ES739" s="1402"/>
      <c r="ET739" s="1402">
        <f t="shared" si="29"/>
        <v>0</v>
      </c>
      <c r="EU739" s="1402"/>
      <c r="EV739" s="1402"/>
      <c r="EW739" s="1402"/>
      <c r="EX739" s="1402"/>
      <c r="EZ739" s="1421" t="str">
        <f t="shared" si="30"/>
        <v/>
      </c>
      <c r="FA739" s="1423"/>
      <c r="FB739" s="1423"/>
      <c r="FC739" s="1423"/>
      <c r="FD739" s="1422"/>
      <c r="FE739" s="1421" t="str">
        <f t="shared" si="31"/>
        <v/>
      </c>
      <c r="FF739" s="1423"/>
      <c r="FG739" s="1423"/>
      <c r="FH739" s="1423"/>
      <c r="FI739" s="1422"/>
      <c r="FJ739" s="1421" t="str">
        <f t="shared" si="32"/>
        <v/>
      </c>
      <c r="FK739" s="1423"/>
      <c r="FL739" s="1423"/>
      <c r="FM739" s="1423"/>
      <c r="FN739" s="1422"/>
      <c r="FO739" s="1421" t="str">
        <f t="shared" si="33"/>
        <v/>
      </c>
      <c r="FP739" s="1423"/>
      <c r="FQ739" s="1423"/>
      <c r="FR739" s="1423"/>
      <c r="FS739" s="1422"/>
      <c r="FT739" s="1421" t="str">
        <f t="shared" si="34"/>
        <v/>
      </c>
      <c r="FU739" s="1423"/>
      <c r="FV739" s="1423"/>
      <c r="FW739" s="1423"/>
      <c r="FX739" s="1422"/>
      <c r="FY739" s="1421" t="str">
        <f t="shared" si="35"/>
        <v/>
      </c>
      <c r="FZ739" s="1423"/>
      <c r="GA739" s="1423"/>
      <c r="GB739" s="1423"/>
      <c r="GC739" s="1422"/>
    </row>
    <row r="740" spans="1:185" ht="13.15" customHeight="1">
      <c r="B740" s="1299"/>
      <c r="C740" s="1300"/>
      <c r="D740" s="1300"/>
      <c r="E740" s="1300"/>
      <c r="F740" s="1301"/>
      <c r="G740" s="1311"/>
      <c r="H740" s="1312"/>
      <c r="I740" s="1312"/>
      <c r="J740" s="1313"/>
      <c r="K740" s="1305"/>
      <c r="L740" s="1306"/>
      <c r="M740" s="1306"/>
      <c r="N740" s="1307"/>
      <c r="O740" s="1302"/>
      <c r="P740" s="1303"/>
      <c r="Q740" s="1303"/>
      <c r="R740" s="1303"/>
      <c r="S740" s="1304"/>
      <c r="T740" s="1302"/>
      <c r="U740" s="1303"/>
      <c r="V740" s="1303"/>
      <c r="W740" s="1304"/>
      <c r="X740" s="1314">
        <f t="shared" si="8"/>
        <v>0</v>
      </c>
      <c r="Y740" s="1315"/>
      <c r="Z740" s="1315"/>
      <c r="AA740" s="1315"/>
      <c r="AB740" s="1316"/>
      <c r="AC740" s="1321"/>
      <c r="AD740" s="1322"/>
      <c r="AE740" s="1322"/>
      <c r="AF740" s="1322"/>
      <c r="AG740" s="1323"/>
      <c r="AH740" s="1317" t="str">
        <f t="shared" si="36"/>
        <v/>
      </c>
      <c r="AI740" s="1318"/>
      <c r="AJ740" s="1319"/>
      <c r="AK740" s="1299" t="s">
        <v>807</v>
      </c>
      <c r="AL740" s="1300"/>
      <c r="AM740" s="1300"/>
      <c r="AN740" s="1300"/>
      <c r="AO740" s="1301"/>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421">
        <f t="shared" si="37"/>
        <v>0</v>
      </c>
      <c r="CH740" s="1422"/>
      <c r="CI740" s="1421">
        <f t="shared" si="38"/>
        <v>0</v>
      </c>
      <c r="CJ740" s="1422"/>
      <c r="CK740" s="1421">
        <f t="shared" si="16"/>
        <v>0</v>
      </c>
      <c r="CL740" s="1422"/>
      <c r="CM740" s="1421">
        <f t="shared" si="17"/>
        <v>0</v>
      </c>
      <c r="CN740" s="1422"/>
      <c r="CO740" s="3"/>
      <c r="CP740" s="1416">
        <f t="shared" si="18"/>
        <v>0</v>
      </c>
      <c r="CQ740" s="1417"/>
      <c r="CR740" s="1417"/>
      <c r="CS740" s="1417"/>
      <c r="CT740" s="1418"/>
      <c r="CU740" s="1401">
        <f t="shared" si="19"/>
        <v>0</v>
      </c>
      <c r="CV740" s="1401"/>
      <c r="CW740" s="1401"/>
      <c r="CX740" s="1401"/>
      <c r="CY740" s="1401"/>
      <c r="CZ740" s="1401">
        <f t="shared" si="20"/>
        <v>0</v>
      </c>
      <c r="DA740" s="1401"/>
      <c r="DB740" s="1401"/>
      <c r="DC740" s="1401"/>
      <c r="DD740" s="1401"/>
      <c r="DE740" s="1401">
        <f t="shared" si="21"/>
        <v>0</v>
      </c>
      <c r="DF740" s="1401"/>
      <c r="DG740" s="1401"/>
      <c r="DH740" s="1401"/>
      <c r="DI740" s="1401"/>
      <c r="DJ740" s="1401">
        <f t="shared" si="22"/>
        <v>0</v>
      </c>
      <c r="DK740" s="1401"/>
      <c r="DL740" s="1401"/>
      <c r="DM740" s="1401"/>
      <c r="DN740" s="1401"/>
      <c r="DO740" s="1401">
        <f t="shared" si="23"/>
        <v>0</v>
      </c>
      <c r="DP740" s="1401"/>
      <c r="DQ740" s="1401"/>
      <c r="DR740" s="1401"/>
      <c r="DS740" s="1401"/>
      <c r="DT740" s="257"/>
      <c r="DU740" s="1402">
        <f t="shared" si="24"/>
        <v>0</v>
      </c>
      <c r="DV740" s="1402"/>
      <c r="DW740" s="1402"/>
      <c r="DX740" s="1402"/>
      <c r="DY740" s="1402"/>
      <c r="DZ740" s="1402">
        <f t="shared" si="25"/>
        <v>0</v>
      </c>
      <c r="EA740" s="1402"/>
      <c r="EB740" s="1402"/>
      <c r="EC740" s="1402"/>
      <c r="ED740" s="1402"/>
      <c r="EE740" s="1402">
        <f t="shared" si="26"/>
        <v>0</v>
      </c>
      <c r="EF740" s="1402"/>
      <c r="EG740" s="1402"/>
      <c r="EH740" s="1402"/>
      <c r="EI740" s="1402"/>
      <c r="EJ740" s="1402">
        <f t="shared" si="27"/>
        <v>0</v>
      </c>
      <c r="EK740" s="1402"/>
      <c r="EL740" s="1402"/>
      <c r="EM740" s="1402"/>
      <c r="EN740" s="1402"/>
      <c r="EO740" s="1402">
        <f t="shared" si="28"/>
        <v>0</v>
      </c>
      <c r="EP740" s="1402"/>
      <c r="EQ740" s="1402"/>
      <c r="ER740" s="1402"/>
      <c r="ES740" s="1402"/>
      <c r="ET740" s="1402">
        <f t="shared" si="29"/>
        <v>0</v>
      </c>
      <c r="EU740" s="1402"/>
      <c r="EV740" s="1402"/>
      <c r="EW740" s="1402"/>
      <c r="EX740" s="1402"/>
      <c r="EZ740" s="1421" t="str">
        <f t="shared" si="30"/>
        <v/>
      </c>
      <c r="FA740" s="1423"/>
      <c r="FB740" s="1423"/>
      <c r="FC740" s="1423"/>
      <c r="FD740" s="1422"/>
      <c r="FE740" s="1421" t="str">
        <f t="shared" si="31"/>
        <v/>
      </c>
      <c r="FF740" s="1423"/>
      <c r="FG740" s="1423"/>
      <c r="FH740" s="1423"/>
      <c r="FI740" s="1422"/>
      <c r="FJ740" s="1421" t="str">
        <f t="shared" si="32"/>
        <v/>
      </c>
      <c r="FK740" s="1423"/>
      <c r="FL740" s="1423"/>
      <c r="FM740" s="1423"/>
      <c r="FN740" s="1422"/>
      <c r="FO740" s="1421" t="str">
        <f t="shared" si="33"/>
        <v/>
      </c>
      <c r="FP740" s="1423"/>
      <c r="FQ740" s="1423"/>
      <c r="FR740" s="1423"/>
      <c r="FS740" s="1422"/>
      <c r="FT740" s="1421" t="str">
        <f t="shared" si="34"/>
        <v/>
      </c>
      <c r="FU740" s="1423"/>
      <c r="FV740" s="1423"/>
      <c r="FW740" s="1423"/>
      <c r="FX740" s="1422"/>
      <c r="FY740" s="1421" t="str">
        <f t="shared" si="35"/>
        <v/>
      </c>
      <c r="FZ740" s="1423"/>
      <c r="GA740" s="1423"/>
      <c r="GB740" s="1423"/>
      <c r="GC740" s="1422"/>
    </row>
    <row r="741" spans="1:185" ht="13.15" customHeight="1">
      <c r="B741" s="1299"/>
      <c r="C741" s="1300"/>
      <c r="D741" s="1300"/>
      <c r="E741" s="1300"/>
      <c r="F741" s="1301"/>
      <c r="G741" s="1311"/>
      <c r="H741" s="1312"/>
      <c r="I741" s="1312"/>
      <c r="J741" s="1313"/>
      <c r="K741" s="1305"/>
      <c r="L741" s="1306"/>
      <c r="M741" s="1306"/>
      <c r="N741" s="1307"/>
      <c r="O741" s="1302"/>
      <c r="P741" s="1303"/>
      <c r="Q741" s="1303"/>
      <c r="R741" s="1303"/>
      <c r="S741" s="1304"/>
      <c r="T741" s="1302"/>
      <c r="U741" s="1303"/>
      <c r="V741" s="1303"/>
      <c r="W741" s="1304"/>
      <c r="X741" s="1314">
        <f t="shared" si="8"/>
        <v>0</v>
      </c>
      <c r="Y741" s="1315"/>
      <c r="Z741" s="1315"/>
      <c r="AA741" s="1315"/>
      <c r="AB741" s="1316"/>
      <c r="AC741" s="1321"/>
      <c r="AD741" s="1322"/>
      <c r="AE741" s="1322"/>
      <c r="AF741" s="1322"/>
      <c r="AG741" s="1323"/>
      <c r="AH741" s="1317" t="str">
        <f t="shared" si="36"/>
        <v/>
      </c>
      <c r="AI741" s="1318"/>
      <c r="AJ741" s="1319"/>
      <c r="AK741" s="1299" t="s">
        <v>807</v>
      </c>
      <c r="AL741" s="1300"/>
      <c r="AM741" s="1300"/>
      <c r="AN741" s="1300"/>
      <c r="AO741" s="1301"/>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421">
        <f t="shared" si="37"/>
        <v>0</v>
      </c>
      <c r="CH741" s="1422"/>
      <c r="CI741" s="1421">
        <f t="shared" si="38"/>
        <v>0</v>
      </c>
      <c r="CJ741" s="1422"/>
      <c r="CK741" s="1421">
        <f t="shared" si="16"/>
        <v>0</v>
      </c>
      <c r="CL741" s="1422"/>
      <c r="CM741" s="1421">
        <f t="shared" si="17"/>
        <v>0</v>
      </c>
      <c r="CN741" s="1422"/>
      <c r="CO741" s="3"/>
      <c r="CP741" s="1416">
        <f t="shared" si="18"/>
        <v>0</v>
      </c>
      <c r="CQ741" s="1417"/>
      <c r="CR741" s="1417"/>
      <c r="CS741" s="1417"/>
      <c r="CT741" s="1418"/>
      <c r="CU741" s="1401">
        <f t="shared" si="19"/>
        <v>0</v>
      </c>
      <c r="CV741" s="1401"/>
      <c r="CW741" s="1401"/>
      <c r="CX741" s="1401"/>
      <c r="CY741" s="1401"/>
      <c r="CZ741" s="1401">
        <f t="shared" si="20"/>
        <v>0</v>
      </c>
      <c r="DA741" s="1401"/>
      <c r="DB741" s="1401"/>
      <c r="DC741" s="1401"/>
      <c r="DD741" s="1401"/>
      <c r="DE741" s="1401">
        <f t="shared" si="21"/>
        <v>0</v>
      </c>
      <c r="DF741" s="1401"/>
      <c r="DG741" s="1401"/>
      <c r="DH741" s="1401"/>
      <c r="DI741" s="1401"/>
      <c r="DJ741" s="1401">
        <f t="shared" si="22"/>
        <v>0</v>
      </c>
      <c r="DK741" s="1401"/>
      <c r="DL741" s="1401"/>
      <c r="DM741" s="1401"/>
      <c r="DN741" s="1401"/>
      <c r="DO741" s="1401">
        <f t="shared" si="23"/>
        <v>0</v>
      </c>
      <c r="DP741" s="1401"/>
      <c r="DQ741" s="1401"/>
      <c r="DR741" s="1401"/>
      <c r="DS741" s="1401"/>
      <c r="DT741" s="257"/>
      <c r="DU741" s="1402">
        <f t="shared" si="24"/>
        <v>0</v>
      </c>
      <c r="DV741" s="1402"/>
      <c r="DW741" s="1402"/>
      <c r="DX741" s="1402"/>
      <c r="DY741" s="1402"/>
      <c r="DZ741" s="1402">
        <f t="shared" si="25"/>
        <v>0</v>
      </c>
      <c r="EA741" s="1402"/>
      <c r="EB741" s="1402"/>
      <c r="EC741" s="1402"/>
      <c r="ED741" s="1402"/>
      <c r="EE741" s="1402">
        <f t="shared" si="26"/>
        <v>0</v>
      </c>
      <c r="EF741" s="1402"/>
      <c r="EG741" s="1402"/>
      <c r="EH741" s="1402"/>
      <c r="EI741" s="1402"/>
      <c r="EJ741" s="1402">
        <f t="shared" si="27"/>
        <v>0</v>
      </c>
      <c r="EK741" s="1402"/>
      <c r="EL741" s="1402"/>
      <c r="EM741" s="1402"/>
      <c r="EN741" s="1402"/>
      <c r="EO741" s="1402">
        <f t="shared" si="28"/>
        <v>0</v>
      </c>
      <c r="EP741" s="1402"/>
      <c r="EQ741" s="1402"/>
      <c r="ER741" s="1402"/>
      <c r="ES741" s="1402"/>
      <c r="ET741" s="1402">
        <f t="shared" si="29"/>
        <v>0</v>
      </c>
      <c r="EU741" s="1402"/>
      <c r="EV741" s="1402"/>
      <c r="EW741" s="1402"/>
      <c r="EX741" s="1402"/>
      <c r="EZ741" s="1421" t="str">
        <f t="shared" si="30"/>
        <v/>
      </c>
      <c r="FA741" s="1423"/>
      <c r="FB741" s="1423"/>
      <c r="FC741" s="1423"/>
      <c r="FD741" s="1422"/>
      <c r="FE741" s="1421" t="str">
        <f t="shared" si="31"/>
        <v/>
      </c>
      <c r="FF741" s="1423"/>
      <c r="FG741" s="1423"/>
      <c r="FH741" s="1423"/>
      <c r="FI741" s="1422"/>
      <c r="FJ741" s="1421" t="str">
        <f t="shared" si="32"/>
        <v/>
      </c>
      <c r="FK741" s="1423"/>
      <c r="FL741" s="1423"/>
      <c r="FM741" s="1423"/>
      <c r="FN741" s="1422"/>
      <c r="FO741" s="1421" t="str">
        <f t="shared" si="33"/>
        <v/>
      </c>
      <c r="FP741" s="1423"/>
      <c r="FQ741" s="1423"/>
      <c r="FR741" s="1423"/>
      <c r="FS741" s="1422"/>
      <c r="FT741" s="1421" t="str">
        <f t="shared" si="34"/>
        <v/>
      </c>
      <c r="FU741" s="1423"/>
      <c r="FV741" s="1423"/>
      <c r="FW741" s="1423"/>
      <c r="FX741" s="1422"/>
      <c r="FY741" s="1421" t="str">
        <f t="shared" si="35"/>
        <v/>
      </c>
      <c r="FZ741" s="1423"/>
      <c r="GA741" s="1423"/>
      <c r="GB741" s="1423"/>
      <c r="GC741" s="1422"/>
    </row>
    <row r="742" spans="1:185" ht="13.15" customHeight="1">
      <c r="B742" s="1299"/>
      <c r="C742" s="1300"/>
      <c r="D742" s="1300"/>
      <c r="E742" s="1300"/>
      <c r="F742" s="1301"/>
      <c r="G742" s="1311"/>
      <c r="H742" s="1312"/>
      <c r="I742" s="1312"/>
      <c r="J742" s="1313"/>
      <c r="K742" s="1305"/>
      <c r="L742" s="1306"/>
      <c r="M742" s="1306"/>
      <c r="N742" s="1307"/>
      <c r="O742" s="1302"/>
      <c r="P742" s="1303"/>
      <c r="Q742" s="1303"/>
      <c r="R742" s="1303"/>
      <c r="S742" s="1304"/>
      <c r="T742" s="1302"/>
      <c r="U742" s="1303"/>
      <c r="V742" s="1303"/>
      <c r="W742" s="1304"/>
      <c r="X742" s="1314">
        <f t="shared" ref="X742:X751" si="39">O742+T742</f>
        <v>0</v>
      </c>
      <c r="Y742" s="1315"/>
      <c r="Z742" s="1315"/>
      <c r="AA742" s="1315"/>
      <c r="AB742" s="1316"/>
      <c r="AC742" s="1321"/>
      <c r="AD742" s="1322"/>
      <c r="AE742" s="1322"/>
      <c r="AF742" s="1322"/>
      <c r="AG742" s="1323"/>
      <c r="AH742" s="1317" t="str">
        <f t="shared" si="36"/>
        <v/>
      </c>
      <c r="AI742" s="1318"/>
      <c r="AJ742" s="1319"/>
      <c r="AK742" s="1299" t="s">
        <v>807</v>
      </c>
      <c r="AL742" s="1300"/>
      <c r="AM742" s="1300"/>
      <c r="AN742" s="1300"/>
      <c r="AO742" s="1301"/>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421">
        <f t="shared" si="37"/>
        <v>0</v>
      </c>
      <c r="CH742" s="1422"/>
      <c r="CI742" s="1421">
        <f t="shared" si="38"/>
        <v>0</v>
      </c>
      <c r="CJ742" s="1422"/>
      <c r="CK742" s="1421">
        <f t="shared" si="16"/>
        <v>0</v>
      </c>
      <c r="CL742" s="1422"/>
      <c r="CM742" s="1421">
        <f t="shared" si="17"/>
        <v>0</v>
      </c>
      <c r="CN742" s="1422"/>
      <c r="CO742" s="3"/>
      <c r="CP742" s="1416">
        <f t="shared" si="18"/>
        <v>0</v>
      </c>
      <c r="CQ742" s="1417"/>
      <c r="CR742" s="1417"/>
      <c r="CS742" s="1417"/>
      <c r="CT742" s="1418"/>
      <c r="CU742" s="1401">
        <f t="shared" si="19"/>
        <v>0</v>
      </c>
      <c r="CV742" s="1401"/>
      <c r="CW742" s="1401"/>
      <c r="CX742" s="1401"/>
      <c r="CY742" s="1401"/>
      <c r="CZ742" s="1401">
        <f t="shared" si="20"/>
        <v>0</v>
      </c>
      <c r="DA742" s="1401"/>
      <c r="DB742" s="1401"/>
      <c r="DC742" s="1401"/>
      <c r="DD742" s="1401"/>
      <c r="DE742" s="1401">
        <f t="shared" si="21"/>
        <v>0</v>
      </c>
      <c r="DF742" s="1401"/>
      <c r="DG742" s="1401"/>
      <c r="DH742" s="1401"/>
      <c r="DI742" s="1401"/>
      <c r="DJ742" s="1401">
        <f t="shared" si="22"/>
        <v>0</v>
      </c>
      <c r="DK742" s="1401"/>
      <c r="DL742" s="1401"/>
      <c r="DM742" s="1401"/>
      <c r="DN742" s="1401"/>
      <c r="DO742" s="1401">
        <f t="shared" si="23"/>
        <v>0</v>
      </c>
      <c r="DP742" s="1401"/>
      <c r="DQ742" s="1401"/>
      <c r="DR742" s="1401"/>
      <c r="DS742" s="1401"/>
      <c r="DT742" s="257"/>
      <c r="DU742" s="1402">
        <f t="shared" si="24"/>
        <v>0</v>
      </c>
      <c r="DV742" s="1402"/>
      <c r="DW742" s="1402"/>
      <c r="DX742" s="1402"/>
      <c r="DY742" s="1402"/>
      <c r="DZ742" s="1402">
        <f t="shared" si="25"/>
        <v>0</v>
      </c>
      <c r="EA742" s="1402"/>
      <c r="EB742" s="1402"/>
      <c r="EC742" s="1402"/>
      <c r="ED742" s="1402"/>
      <c r="EE742" s="1402">
        <f t="shared" si="26"/>
        <v>0</v>
      </c>
      <c r="EF742" s="1402"/>
      <c r="EG742" s="1402"/>
      <c r="EH742" s="1402"/>
      <c r="EI742" s="1402"/>
      <c r="EJ742" s="1402">
        <f t="shared" si="27"/>
        <v>0</v>
      </c>
      <c r="EK742" s="1402"/>
      <c r="EL742" s="1402"/>
      <c r="EM742" s="1402"/>
      <c r="EN742" s="1402"/>
      <c r="EO742" s="1402">
        <f t="shared" si="28"/>
        <v>0</v>
      </c>
      <c r="EP742" s="1402"/>
      <c r="EQ742" s="1402"/>
      <c r="ER742" s="1402"/>
      <c r="ES742" s="1402"/>
      <c r="ET742" s="1402">
        <f t="shared" si="29"/>
        <v>0</v>
      </c>
      <c r="EU742" s="1402"/>
      <c r="EV742" s="1402"/>
      <c r="EW742" s="1402"/>
      <c r="EX742" s="1402"/>
      <c r="EZ742" s="1421" t="str">
        <f t="shared" si="30"/>
        <v/>
      </c>
      <c r="FA742" s="1423"/>
      <c r="FB742" s="1423"/>
      <c r="FC742" s="1423"/>
      <c r="FD742" s="1422"/>
      <c r="FE742" s="1421" t="str">
        <f t="shared" si="31"/>
        <v/>
      </c>
      <c r="FF742" s="1423"/>
      <c r="FG742" s="1423"/>
      <c r="FH742" s="1423"/>
      <c r="FI742" s="1422"/>
      <c r="FJ742" s="1421" t="str">
        <f t="shared" si="32"/>
        <v/>
      </c>
      <c r="FK742" s="1423"/>
      <c r="FL742" s="1423"/>
      <c r="FM742" s="1423"/>
      <c r="FN742" s="1422"/>
      <c r="FO742" s="1421" t="str">
        <f t="shared" si="33"/>
        <v/>
      </c>
      <c r="FP742" s="1423"/>
      <c r="FQ742" s="1423"/>
      <c r="FR742" s="1423"/>
      <c r="FS742" s="1422"/>
      <c r="FT742" s="1421" t="str">
        <f t="shared" si="34"/>
        <v/>
      </c>
      <c r="FU742" s="1423"/>
      <c r="FV742" s="1423"/>
      <c r="FW742" s="1423"/>
      <c r="FX742" s="1422"/>
      <c r="FY742" s="1421" t="str">
        <f t="shared" si="35"/>
        <v/>
      </c>
      <c r="FZ742" s="1423"/>
      <c r="GA742" s="1423"/>
      <c r="GB742" s="1423"/>
      <c r="GC742" s="1422"/>
    </row>
    <row r="743" spans="1:185" s="3" customFormat="1" ht="13.15" customHeight="1">
      <c r="A743"/>
      <c r="B743" s="1299"/>
      <c r="C743" s="1300"/>
      <c r="D743" s="1300"/>
      <c r="E743" s="1300"/>
      <c r="F743" s="1301"/>
      <c r="G743" s="1311"/>
      <c r="H743" s="1312"/>
      <c r="I743" s="1312"/>
      <c r="J743" s="1313"/>
      <c r="K743" s="1305"/>
      <c r="L743" s="1306"/>
      <c r="M743" s="1306"/>
      <c r="N743" s="1307"/>
      <c r="O743" s="1302"/>
      <c r="P743" s="1303"/>
      <c r="Q743" s="1303"/>
      <c r="R743" s="1303"/>
      <c r="S743" s="1304"/>
      <c r="T743" s="1302"/>
      <c r="U743" s="1303"/>
      <c r="V743" s="1303"/>
      <c r="W743" s="1304"/>
      <c r="X743" s="1314">
        <f t="shared" si="39"/>
        <v>0</v>
      </c>
      <c r="Y743" s="1315"/>
      <c r="Z743" s="1315"/>
      <c r="AA743" s="1315"/>
      <c r="AB743" s="1316"/>
      <c r="AC743" s="1321"/>
      <c r="AD743" s="1322"/>
      <c r="AE743" s="1322"/>
      <c r="AF743" s="1322"/>
      <c r="AG743" s="1323"/>
      <c r="AH743" s="1317" t="str">
        <f t="shared" si="36"/>
        <v/>
      </c>
      <c r="AI743" s="1318"/>
      <c r="AJ743" s="1319"/>
      <c r="AK743" s="1299" t="s">
        <v>807</v>
      </c>
      <c r="AL743" s="1300"/>
      <c r="AM743" s="1300"/>
      <c r="AN743" s="1300"/>
      <c r="AO743" s="1301"/>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421">
        <f t="shared" si="37"/>
        <v>0</v>
      </c>
      <c r="CH743" s="1422"/>
      <c r="CI743" s="1421">
        <f t="shared" si="38"/>
        <v>0</v>
      </c>
      <c r="CJ743" s="1422"/>
      <c r="CK743" s="1421">
        <f t="shared" si="16"/>
        <v>0</v>
      </c>
      <c r="CL743" s="1422"/>
      <c r="CM743" s="1421">
        <f t="shared" si="17"/>
        <v>0</v>
      </c>
      <c r="CN743" s="1422"/>
      <c r="CP743" s="1416">
        <f t="shared" si="18"/>
        <v>0</v>
      </c>
      <c r="CQ743" s="1417"/>
      <c r="CR743" s="1417"/>
      <c r="CS743" s="1417"/>
      <c r="CT743" s="1418"/>
      <c r="CU743" s="1401">
        <f t="shared" si="19"/>
        <v>0</v>
      </c>
      <c r="CV743" s="1401"/>
      <c r="CW743" s="1401"/>
      <c r="CX743" s="1401"/>
      <c r="CY743" s="1401"/>
      <c r="CZ743" s="1401">
        <f t="shared" si="20"/>
        <v>0</v>
      </c>
      <c r="DA743" s="1401"/>
      <c r="DB743" s="1401"/>
      <c r="DC743" s="1401"/>
      <c r="DD743" s="1401"/>
      <c r="DE743" s="1401">
        <f t="shared" si="21"/>
        <v>0</v>
      </c>
      <c r="DF743" s="1401"/>
      <c r="DG743" s="1401"/>
      <c r="DH743" s="1401"/>
      <c r="DI743" s="1401"/>
      <c r="DJ743" s="1401">
        <f t="shared" si="22"/>
        <v>0</v>
      </c>
      <c r="DK743" s="1401"/>
      <c r="DL743" s="1401"/>
      <c r="DM743" s="1401"/>
      <c r="DN743" s="1401"/>
      <c r="DO743" s="1401">
        <f t="shared" si="23"/>
        <v>0</v>
      </c>
      <c r="DP743" s="1401"/>
      <c r="DQ743" s="1401"/>
      <c r="DR743" s="1401"/>
      <c r="DS743" s="1401"/>
      <c r="DT743" s="257"/>
      <c r="DU743" s="1402">
        <f t="shared" si="24"/>
        <v>0</v>
      </c>
      <c r="DV743" s="1402"/>
      <c r="DW743" s="1402"/>
      <c r="DX743" s="1402"/>
      <c r="DY743" s="1402"/>
      <c r="DZ743" s="1402">
        <f t="shared" si="25"/>
        <v>0</v>
      </c>
      <c r="EA743" s="1402"/>
      <c r="EB743" s="1402"/>
      <c r="EC743" s="1402"/>
      <c r="ED743" s="1402"/>
      <c r="EE743" s="1402">
        <f t="shared" si="26"/>
        <v>0</v>
      </c>
      <c r="EF743" s="1402"/>
      <c r="EG743" s="1402"/>
      <c r="EH743" s="1402"/>
      <c r="EI743" s="1402"/>
      <c r="EJ743" s="1402">
        <f t="shared" si="27"/>
        <v>0</v>
      </c>
      <c r="EK743" s="1402"/>
      <c r="EL743" s="1402"/>
      <c r="EM743" s="1402"/>
      <c r="EN743" s="1402"/>
      <c r="EO743" s="1402">
        <f t="shared" si="28"/>
        <v>0</v>
      </c>
      <c r="EP743" s="1402"/>
      <c r="EQ743" s="1402"/>
      <c r="ER743" s="1402"/>
      <c r="ES743" s="1402"/>
      <c r="ET743" s="1402">
        <f t="shared" si="29"/>
        <v>0</v>
      </c>
      <c r="EU743" s="1402"/>
      <c r="EV743" s="1402"/>
      <c r="EW743" s="1402"/>
      <c r="EX743" s="1402"/>
      <c r="EY743"/>
      <c r="EZ743" s="1421" t="str">
        <f t="shared" si="30"/>
        <v/>
      </c>
      <c r="FA743" s="1423"/>
      <c r="FB743" s="1423"/>
      <c r="FC743" s="1423"/>
      <c r="FD743" s="1422"/>
      <c r="FE743" s="1421" t="str">
        <f t="shared" si="31"/>
        <v/>
      </c>
      <c r="FF743" s="1423"/>
      <c r="FG743" s="1423"/>
      <c r="FH743" s="1423"/>
      <c r="FI743" s="1422"/>
      <c r="FJ743" s="1421" t="str">
        <f t="shared" si="32"/>
        <v/>
      </c>
      <c r="FK743" s="1423"/>
      <c r="FL743" s="1423"/>
      <c r="FM743" s="1423"/>
      <c r="FN743" s="1422"/>
      <c r="FO743" s="1421" t="str">
        <f t="shared" si="33"/>
        <v/>
      </c>
      <c r="FP743" s="1423"/>
      <c r="FQ743" s="1423"/>
      <c r="FR743" s="1423"/>
      <c r="FS743" s="1422"/>
      <c r="FT743" s="1421" t="str">
        <f t="shared" si="34"/>
        <v/>
      </c>
      <c r="FU743" s="1423"/>
      <c r="FV743" s="1423"/>
      <c r="FW743" s="1423"/>
      <c r="FX743" s="1422"/>
      <c r="FY743" s="1421" t="str">
        <f t="shared" si="35"/>
        <v/>
      </c>
      <c r="FZ743" s="1423"/>
      <c r="GA743" s="1423"/>
      <c r="GB743" s="1423"/>
      <c r="GC743" s="1422"/>
    </row>
    <row r="744" spans="1:185" ht="13.15" customHeight="1">
      <c r="B744" s="1299"/>
      <c r="C744" s="1300"/>
      <c r="D744" s="1300"/>
      <c r="E744" s="1300"/>
      <c r="F744" s="1301"/>
      <c r="G744" s="1311"/>
      <c r="H744" s="1312"/>
      <c r="I744" s="1312"/>
      <c r="J744" s="1313"/>
      <c r="K744" s="1305"/>
      <c r="L744" s="1306"/>
      <c r="M744" s="1306"/>
      <c r="N744" s="1307"/>
      <c r="O744" s="1302"/>
      <c r="P744" s="1303"/>
      <c r="Q744" s="1303"/>
      <c r="R744" s="1303"/>
      <c r="S744" s="1304"/>
      <c r="T744" s="1302"/>
      <c r="U744" s="1303"/>
      <c r="V744" s="1303"/>
      <c r="W744" s="1304"/>
      <c r="X744" s="1314">
        <f t="shared" si="39"/>
        <v>0</v>
      </c>
      <c r="Y744" s="1315"/>
      <c r="Z744" s="1315"/>
      <c r="AA744" s="1315"/>
      <c r="AB744" s="1316"/>
      <c r="AC744" s="1321"/>
      <c r="AD744" s="1322"/>
      <c r="AE744" s="1322"/>
      <c r="AF744" s="1322"/>
      <c r="AG744" s="1323"/>
      <c r="AH744" s="1317" t="str">
        <f t="shared" si="36"/>
        <v/>
      </c>
      <c r="AI744" s="1318"/>
      <c r="AJ744" s="1319"/>
      <c r="AK744" s="1299" t="s">
        <v>807</v>
      </c>
      <c r="AL744" s="1300"/>
      <c r="AM744" s="1300"/>
      <c r="AN744" s="1300"/>
      <c r="AO744" s="1301"/>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421">
        <f t="shared" si="37"/>
        <v>0</v>
      </c>
      <c r="CH744" s="1422"/>
      <c r="CI744" s="1421">
        <f t="shared" si="38"/>
        <v>0</v>
      </c>
      <c r="CJ744" s="1422"/>
      <c r="CK744" s="1421">
        <f t="shared" si="16"/>
        <v>0</v>
      </c>
      <c r="CL744" s="1422"/>
      <c r="CM744" s="1421">
        <f t="shared" si="17"/>
        <v>0</v>
      </c>
      <c r="CN744" s="1422"/>
      <c r="CO744" s="3"/>
      <c r="CP744" s="1416">
        <f t="shared" si="18"/>
        <v>0</v>
      </c>
      <c r="CQ744" s="1417"/>
      <c r="CR744" s="1417"/>
      <c r="CS744" s="1417"/>
      <c r="CT744" s="1418"/>
      <c r="CU744" s="1401">
        <f t="shared" si="19"/>
        <v>0</v>
      </c>
      <c r="CV744" s="1401"/>
      <c r="CW744" s="1401"/>
      <c r="CX744" s="1401"/>
      <c r="CY744" s="1401"/>
      <c r="CZ744" s="1401">
        <f t="shared" si="20"/>
        <v>0</v>
      </c>
      <c r="DA744" s="1401"/>
      <c r="DB744" s="1401"/>
      <c r="DC744" s="1401"/>
      <c r="DD744" s="1401"/>
      <c r="DE744" s="1401">
        <f t="shared" si="21"/>
        <v>0</v>
      </c>
      <c r="DF744" s="1401"/>
      <c r="DG744" s="1401"/>
      <c r="DH744" s="1401"/>
      <c r="DI744" s="1401"/>
      <c r="DJ744" s="1401">
        <f t="shared" si="22"/>
        <v>0</v>
      </c>
      <c r="DK744" s="1401"/>
      <c r="DL744" s="1401"/>
      <c r="DM744" s="1401"/>
      <c r="DN744" s="1401"/>
      <c r="DO744" s="1401">
        <f t="shared" si="23"/>
        <v>0</v>
      </c>
      <c r="DP744" s="1401"/>
      <c r="DQ744" s="1401"/>
      <c r="DR744" s="1401"/>
      <c r="DS744" s="1401"/>
      <c r="DT744" s="257"/>
      <c r="DU744" s="1402">
        <f t="shared" si="24"/>
        <v>0</v>
      </c>
      <c r="DV744" s="1402"/>
      <c r="DW744" s="1402"/>
      <c r="DX744" s="1402"/>
      <c r="DY744" s="1402"/>
      <c r="DZ744" s="1402">
        <f t="shared" si="25"/>
        <v>0</v>
      </c>
      <c r="EA744" s="1402"/>
      <c r="EB744" s="1402"/>
      <c r="EC744" s="1402"/>
      <c r="ED744" s="1402"/>
      <c r="EE744" s="1402">
        <f t="shared" si="26"/>
        <v>0</v>
      </c>
      <c r="EF744" s="1402"/>
      <c r="EG744" s="1402"/>
      <c r="EH744" s="1402"/>
      <c r="EI744" s="1402"/>
      <c r="EJ744" s="1402">
        <f t="shared" si="27"/>
        <v>0</v>
      </c>
      <c r="EK744" s="1402"/>
      <c r="EL744" s="1402"/>
      <c r="EM744" s="1402"/>
      <c r="EN744" s="1402"/>
      <c r="EO744" s="1402">
        <f t="shared" si="28"/>
        <v>0</v>
      </c>
      <c r="EP744" s="1402"/>
      <c r="EQ744" s="1402"/>
      <c r="ER744" s="1402"/>
      <c r="ES744" s="1402"/>
      <c r="ET744" s="1402">
        <f t="shared" si="29"/>
        <v>0</v>
      </c>
      <c r="EU744" s="1402"/>
      <c r="EV744" s="1402"/>
      <c r="EW744" s="1402"/>
      <c r="EX744" s="1402"/>
      <c r="EZ744" s="1421" t="str">
        <f t="shared" si="30"/>
        <v/>
      </c>
      <c r="FA744" s="1423"/>
      <c r="FB744" s="1423"/>
      <c r="FC744" s="1423"/>
      <c r="FD744" s="1422"/>
      <c r="FE744" s="1421" t="str">
        <f t="shared" si="31"/>
        <v/>
      </c>
      <c r="FF744" s="1423"/>
      <c r="FG744" s="1423"/>
      <c r="FH744" s="1423"/>
      <c r="FI744" s="1422"/>
      <c r="FJ744" s="1421" t="str">
        <f t="shared" si="32"/>
        <v/>
      </c>
      <c r="FK744" s="1423"/>
      <c r="FL744" s="1423"/>
      <c r="FM744" s="1423"/>
      <c r="FN744" s="1422"/>
      <c r="FO744" s="1421" t="str">
        <f t="shared" si="33"/>
        <v/>
      </c>
      <c r="FP744" s="1423"/>
      <c r="FQ744" s="1423"/>
      <c r="FR744" s="1423"/>
      <c r="FS744" s="1422"/>
      <c r="FT744" s="1421" t="str">
        <f t="shared" si="34"/>
        <v/>
      </c>
      <c r="FU744" s="1423"/>
      <c r="FV744" s="1423"/>
      <c r="FW744" s="1423"/>
      <c r="FX744" s="1422"/>
      <c r="FY744" s="1421" t="str">
        <f t="shared" si="35"/>
        <v/>
      </c>
      <c r="FZ744" s="1423"/>
      <c r="GA744" s="1423"/>
      <c r="GB744" s="1423"/>
      <c r="GC744" s="1422"/>
    </row>
    <row r="745" spans="1:185" ht="13.15" customHeight="1">
      <c r="B745" s="1299"/>
      <c r="C745" s="1300"/>
      <c r="D745" s="1300"/>
      <c r="E745" s="1300"/>
      <c r="F745" s="1301"/>
      <c r="G745" s="1311"/>
      <c r="H745" s="1312"/>
      <c r="I745" s="1312"/>
      <c r="J745" s="1313"/>
      <c r="K745" s="1305"/>
      <c r="L745" s="1306"/>
      <c r="M745" s="1306"/>
      <c r="N745" s="1307"/>
      <c r="O745" s="1302"/>
      <c r="P745" s="1303"/>
      <c r="Q745" s="1303"/>
      <c r="R745" s="1303"/>
      <c r="S745" s="1304"/>
      <c r="T745" s="1302"/>
      <c r="U745" s="1303"/>
      <c r="V745" s="1303"/>
      <c r="W745" s="1304"/>
      <c r="X745" s="1314">
        <f t="shared" si="39"/>
        <v>0</v>
      </c>
      <c r="Y745" s="1315"/>
      <c r="Z745" s="1315"/>
      <c r="AA745" s="1315"/>
      <c r="AB745" s="1316"/>
      <c r="AC745" s="1321"/>
      <c r="AD745" s="1322"/>
      <c r="AE745" s="1322"/>
      <c r="AF745" s="1322"/>
      <c r="AG745" s="1323"/>
      <c r="AH745" s="1317" t="str">
        <f t="shared" si="36"/>
        <v/>
      </c>
      <c r="AI745" s="1318"/>
      <c r="AJ745" s="1319"/>
      <c r="AK745" s="1299" t="s">
        <v>807</v>
      </c>
      <c r="AL745" s="1300"/>
      <c r="AM745" s="1300"/>
      <c r="AN745" s="1300"/>
      <c r="AO745" s="1301"/>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421">
        <f t="shared" si="37"/>
        <v>0</v>
      </c>
      <c r="CH745" s="1422"/>
      <c r="CI745" s="1421">
        <f t="shared" si="38"/>
        <v>0</v>
      </c>
      <c r="CJ745" s="1422"/>
      <c r="CK745" s="1421">
        <f t="shared" si="16"/>
        <v>0</v>
      </c>
      <c r="CL745" s="1422"/>
      <c r="CM745" s="1421">
        <f t="shared" si="17"/>
        <v>0</v>
      </c>
      <c r="CN745" s="1422"/>
      <c r="CO745" s="3"/>
      <c r="CP745" s="1416">
        <f t="shared" si="18"/>
        <v>0</v>
      </c>
      <c r="CQ745" s="1417"/>
      <c r="CR745" s="1417"/>
      <c r="CS745" s="1417"/>
      <c r="CT745" s="1418"/>
      <c r="CU745" s="1401">
        <f t="shared" si="19"/>
        <v>0</v>
      </c>
      <c r="CV745" s="1401"/>
      <c r="CW745" s="1401"/>
      <c r="CX745" s="1401"/>
      <c r="CY745" s="1401"/>
      <c r="CZ745" s="1401">
        <f t="shared" si="20"/>
        <v>0</v>
      </c>
      <c r="DA745" s="1401"/>
      <c r="DB745" s="1401"/>
      <c r="DC745" s="1401"/>
      <c r="DD745" s="1401"/>
      <c r="DE745" s="1401">
        <f t="shared" si="21"/>
        <v>0</v>
      </c>
      <c r="DF745" s="1401"/>
      <c r="DG745" s="1401"/>
      <c r="DH745" s="1401"/>
      <c r="DI745" s="1401"/>
      <c r="DJ745" s="1401">
        <f t="shared" si="22"/>
        <v>0</v>
      </c>
      <c r="DK745" s="1401"/>
      <c r="DL745" s="1401"/>
      <c r="DM745" s="1401"/>
      <c r="DN745" s="1401"/>
      <c r="DO745" s="1401">
        <f t="shared" si="23"/>
        <v>0</v>
      </c>
      <c r="DP745" s="1401"/>
      <c r="DQ745" s="1401"/>
      <c r="DR745" s="1401"/>
      <c r="DS745" s="1401"/>
      <c r="DT745" s="257"/>
      <c r="DU745" s="1402">
        <f t="shared" si="24"/>
        <v>0</v>
      </c>
      <c r="DV745" s="1402"/>
      <c r="DW745" s="1402"/>
      <c r="DX745" s="1402"/>
      <c r="DY745" s="1402"/>
      <c r="DZ745" s="1402">
        <f t="shared" si="25"/>
        <v>0</v>
      </c>
      <c r="EA745" s="1402"/>
      <c r="EB745" s="1402"/>
      <c r="EC745" s="1402"/>
      <c r="ED745" s="1402"/>
      <c r="EE745" s="1402">
        <f t="shared" si="26"/>
        <v>0</v>
      </c>
      <c r="EF745" s="1402"/>
      <c r="EG745" s="1402"/>
      <c r="EH745" s="1402"/>
      <c r="EI745" s="1402"/>
      <c r="EJ745" s="1402">
        <f t="shared" si="27"/>
        <v>0</v>
      </c>
      <c r="EK745" s="1402"/>
      <c r="EL745" s="1402"/>
      <c r="EM745" s="1402"/>
      <c r="EN745" s="1402"/>
      <c r="EO745" s="1402">
        <f t="shared" si="28"/>
        <v>0</v>
      </c>
      <c r="EP745" s="1402"/>
      <c r="EQ745" s="1402"/>
      <c r="ER745" s="1402"/>
      <c r="ES745" s="1402"/>
      <c r="ET745" s="1402">
        <f t="shared" si="29"/>
        <v>0</v>
      </c>
      <c r="EU745" s="1402"/>
      <c r="EV745" s="1402"/>
      <c r="EW745" s="1402"/>
      <c r="EX745" s="1402"/>
      <c r="EZ745" s="1421" t="str">
        <f t="shared" si="30"/>
        <v/>
      </c>
      <c r="FA745" s="1423"/>
      <c r="FB745" s="1423"/>
      <c r="FC745" s="1423"/>
      <c r="FD745" s="1422"/>
      <c r="FE745" s="1421" t="str">
        <f t="shared" si="31"/>
        <v/>
      </c>
      <c r="FF745" s="1423"/>
      <c r="FG745" s="1423"/>
      <c r="FH745" s="1423"/>
      <c r="FI745" s="1422"/>
      <c r="FJ745" s="1421" t="str">
        <f t="shared" si="32"/>
        <v/>
      </c>
      <c r="FK745" s="1423"/>
      <c r="FL745" s="1423"/>
      <c r="FM745" s="1423"/>
      <c r="FN745" s="1422"/>
      <c r="FO745" s="1421" t="str">
        <f t="shared" si="33"/>
        <v/>
      </c>
      <c r="FP745" s="1423"/>
      <c r="FQ745" s="1423"/>
      <c r="FR745" s="1423"/>
      <c r="FS745" s="1422"/>
      <c r="FT745" s="1421" t="str">
        <f t="shared" si="34"/>
        <v/>
      </c>
      <c r="FU745" s="1423"/>
      <c r="FV745" s="1423"/>
      <c r="FW745" s="1423"/>
      <c r="FX745" s="1422"/>
      <c r="FY745" s="1421" t="str">
        <f t="shared" si="35"/>
        <v/>
      </c>
      <c r="FZ745" s="1423"/>
      <c r="GA745" s="1423"/>
      <c r="GB745" s="1423"/>
      <c r="GC745" s="1422"/>
    </row>
    <row r="746" spans="1:185" ht="13.15" customHeight="1">
      <c r="B746" s="1299"/>
      <c r="C746" s="1300"/>
      <c r="D746" s="1300"/>
      <c r="E746" s="1300"/>
      <c r="F746" s="1301"/>
      <c r="G746" s="1311"/>
      <c r="H746" s="1312"/>
      <c r="I746" s="1312"/>
      <c r="J746" s="1313"/>
      <c r="K746" s="1305"/>
      <c r="L746" s="1306"/>
      <c r="M746" s="1306"/>
      <c r="N746" s="1307"/>
      <c r="O746" s="1302"/>
      <c r="P746" s="1303"/>
      <c r="Q746" s="1303"/>
      <c r="R746" s="1303"/>
      <c r="S746" s="1304"/>
      <c r="T746" s="1302"/>
      <c r="U746" s="1303"/>
      <c r="V746" s="1303"/>
      <c r="W746" s="1304"/>
      <c r="X746" s="1314">
        <f t="shared" si="39"/>
        <v>0</v>
      </c>
      <c r="Y746" s="1315"/>
      <c r="Z746" s="1315"/>
      <c r="AA746" s="1315"/>
      <c r="AB746" s="1316"/>
      <c r="AC746" s="1321"/>
      <c r="AD746" s="1322"/>
      <c r="AE746" s="1322"/>
      <c r="AF746" s="1322"/>
      <c r="AG746" s="1323"/>
      <c r="AH746" s="1317" t="str">
        <f t="shared" si="36"/>
        <v/>
      </c>
      <c r="AI746" s="1318"/>
      <c r="AJ746" s="1319"/>
      <c r="AK746" s="1299" t="s">
        <v>807</v>
      </c>
      <c r="AL746" s="1300"/>
      <c r="AM746" s="1300"/>
      <c r="AN746" s="1300"/>
      <c r="AO746" s="1301"/>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421">
        <f t="shared" si="37"/>
        <v>0</v>
      </c>
      <c r="CH746" s="1422"/>
      <c r="CI746" s="1421">
        <f t="shared" si="38"/>
        <v>0</v>
      </c>
      <c r="CJ746" s="1422"/>
      <c r="CK746" s="1421">
        <f t="shared" si="16"/>
        <v>0</v>
      </c>
      <c r="CL746" s="1422"/>
      <c r="CM746" s="1421">
        <f t="shared" si="17"/>
        <v>0</v>
      </c>
      <c r="CN746" s="1422"/>
      <c r="CO746" s="3"/>
      <c r="CP746" s="1416">
        <f t="shared" si="18"/>
        <v>0</v>
      </c>
      <c r="CQ746" s="1417"/>
      <c r="CR746" s="1417"/>
      <c r="CS746" s="1417"/>
      <c r="CT746" s="1418"/>
      <c r="CU746" s="1401">
        <f t="shared" si="19"/>
        <v>0</v>
      </c>
      <c r="CV746" s="1401"/>
      <c r="CW746" s="1401"/>
      <c r="CX746" s="1401"/>
      <c r="CY746" s="1401"/>
      <c r="CZ746" s="1401">
        <f t="shared" si="20"/>
        <v>0</v>
      </c>
      <c r="DA746" s="1401"/>
      <c r="DB746" s="1401"/>
      <c r="DC746" s="1401"/>
      <c r="DD746" s="1401"/>
      <c r="DE746" s="1401">
        <f t="shared" si="21"/>
        <v>0</v>
      </c>
      <c r="DF746" s="1401"/>
      <c r="DG746" s="1401"/>
      <c r="DH746" s="1401"/>
      <c r="DI746" s="1401"/>
      <c r="DJ746" s="1401">
        <f t="shared" si="22"/>
        <v>0</v>
      </c>
      <c r="DK746" s="1401"/>
      <c r="DL746" s="1401"/>
      <c r="DM746" s="1401"/>
      <c r="DN746" s="1401"/>
      <c r="DO746" s="1401">
        <f t="shared" si="23"/>
        <v>0</v>
      </c>
      <c r="DP746" s="1401"/>
      <c r="DQ746" s="1401"/>
      <c r="DR746" s="1401"/>
      <c r="DS746" s="1401"/>
      <c r="DT746" s="257"/>
      <c r="DU746" s="1402">
        <f t="shared" si="24"/>
        <v>0</v>
      </c>
      <c r="DV746" s="1402"/>
      <c r="DW746" s="1402"/>
      <c r="DX746" s="1402"/>
      <c r="DY746" s="1402"/>
      <c r="DZ746" s="1402">
        <f t="shared" si="25"/>
        <v>0</v>
      </c>
      <c r="EA746" s="1402"/>
      <c r="EB746" s="1402"/>
      <c r="EC746" s="1402"/>
      <c r="ED746" s="1402"/>
      <c r="EE746" s="1402">
        <f t="shared" si="26"/>
        <v>0</v>
      </c>
      <c r="EF746" s="1402"/>
      <c r="EG746" s="1402"/>
      <c r="EH746" s="1402"/>
      <c r="EI746" s="1402"/>
      <c r="EJ746" s="1402">
        <f t="shared" si="27"/>
        <v>0</v>
      </c>
      <c r="EK746" s="1402"/>
      <c r="EL746" s="1402"/>
      <c r="EM746" s="1402"/>
      <c r="EN746" s="1402"/>
      <c r="EO746" s="1402">
        <f t="shared" si="28"/>
        <v>0</v>
      </c>
      <c r="EP746" s="1402"/>
      <c r="EQ746" s="1402"/>
      <c r="ER746" s="1402"/>
      <c r="ES746" s="1402"/>
      <c r="ET746" s="1402">
        <f t="shared" si="29"/>
        <v>0</v>
      </c>
      <c r="EU746" s="1402"/>
      <c r="EV746" s="1402"/>
      <c r="EW746" s="1402"/>
      <c r="EX746" s="1402"/>
      <c r="EZ746" s="1421" t="str">
        <f t="shared" si="30"/>
        <v/>
      </c>
      <c r="FA746" s="1423"/>
      <c r="FB746" s="1423"/>
      <c r="FC746" s="1423"/>
      <c r="FD746" s="1422"/>
      <c r="FE746" s="1421" t="str">
        <f t="shared" si="31"/>
        <v/>
      </c>
      <c r="FF746" s="1423"/>
      <c r="FG746" s="1423"/>
      <c r="FH746" s="1423"/>
      <c r="FI746" s="1422"/>
      <c r="FJ746" s="1421" t="str">
        <f t="shared" si="32"/>
        <v/>
      </c>
      <c r="FK746" s="1423"/>
      <c r="FL746" s="1423"/>
      <c r="FM746" s="1423"/>
      <c r="FN746" s="1422"/>
      <c r="FO746" s="1421" t="str">
        <f t="shared" si="33"/>
        <v/>
      </c>
      <c r="FP746" s="1423"/>
      <c r="FQ746" s="1423"/>
      <c r="FR746" s="1423"/>
      <c r="FS746" s="1422"/>
      <c r="FT746" s="1421" t="str">
        <f t="shared" si="34"/>
        <v/>
      </c>
      <c r="FU746" s="1423"/>
      <c r="FV746" s="1423"/>
      <c r="FW746" s="1423"/>
      <c r="FX746" s="1422"/>
      <c r="FY746" s="1421" t="str">
        <f t="shared" si="35"/>
        <v/>
      </c>
      <c r="FZ746" s="1423"/>
      <c r="GA746" s="1423"/>
      <c r="GB746" s="1423"/>
      <c r="GC746" s="1422"/>
    </row>
    <row r="747" spans="1:185" ht="13.15" customHeight="1">
      <c r="B747" s="1299"/>
      <c r="C747" s="1300"/>
      <c r="D747" s="1300"/>
      <c r="E747" s="1300"/>
      <c r="F747" s="1301"/>
      <c r="G747" s="1311"/>
      <c r="H747" s="1312"/>
      <c r="I747" s="1312"/>
      <c r="J747" s="1313"/>
      <c r="K747" s="1305"/>
      <c r="L747" s="1306"/>
      <c r="M747" s="1306"/>
      <c r="N747" s="1307"/>
      <c r="O747" s="1302"/>
      <c r="P747" s="1303"/>
      <c r="Q747" s="1303"/>
      <c r="R747" s="1303"/>
      <c r="S747" s="1304"/>
      <c r="T747" s="1302"/>
      <c r="U747" s="1303"/>
      <c r="V747" s="1303"/>
      <c r="W747" s="1304"/>
      <c r="X747" s="1314">
        <f t="shared" si="39"/>
        <v>0</v>
      </c>
      <c r="Y747" s="1315"/>
      <c r="Z747" s="1315"/>
      <c r="AA747" s="1315"/>
      <c r="AB747" s="1316"/>
      <c r="AC747" s="1321"/>
      <c r="AD747" s="1322"/>
      <c r="AE747" s="1322"/>
      <c r="AF747" s="1322"/>
      <c r="AG747" s="1323"/>
      <c r="AH747" s="1317" t="str">
        <f t="shared" si="36"/>
        <v/>
      </c>
      <c r="AI747" s="1318"/>
      <c r="AJ747" s="1319"/>
      <c r="AK747" s="1299" t="s">
        <v>807</v>
      </c>
      <c r="AL747" s="1300"/>
      <c r="AM747" s="1300"/>
      <c r="AN747" s="1300"/>
      <c r="AO747" s="1301"/>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421">
        <f t="shared" si="37"/>
        <v>0</v>
      </c>
      <c r="CH747" s="1422"/>
      <c r="CI747" s="1421">
        <f t="shared" si="38"/>
        <v>0</v>
      </c>
      <c r="CJ747" s="1422"/>
      <c r="CK747" s="1421">
        <f t="shared" si="16"/>
        <v>0</v>
      </c>
      <c r="CL747" s="1422"/>
      <c r="CM747" s="1421">
        <f t="shared" si="17"/>
        <v>0</v>
      </c>
      <c r="CN747" s="1422"/>
      <c r="CO747" s="3"/>
      <c r="CP747" s="1416">
        <f t="shared" si="18"/>
        <v>0</v>
      </c>
      <c r="CQ747" s="1417"/>
      <c r="CR747" s="1417"/>
      <c r="CS747" s="1417"/>
      <c r="CT747" s="1418"/>
      <c r="CU747" s="1401">
        <f t="shared" si="19"/>
        <v>0</v>
      </c>
      <c r="CV747" s="1401"/>
      <c r="CW747" s="1401"/>
      <c r="CX747" s="1401"/>
      <c r="CY747" s="1401"/>
      <c r="CZ747" s="1401">
        <f t="shared" si="20"/>
        <v>0</v>
      </c>
      <c r="DA747" s="1401"/>
      <c r="DB747" s="1401"/>
      <c r="DC747" s="1401"/>
      <c r="DD747" s="1401"/>
      <c r="DE747" s="1401">
        <f t="shared" si="21"/>
        <v>0</v>
      </c>
      <c r="DF747" s="1401"/>
      <c r="DG747" s="1401"/>
      <c r="DH747" s="1401"/>
      <c r="DI747" s="1401"/>
      <c r="DJ747" s="1401">
        <f t="shared" si="22"/>
        <v>0</v>
      </c>
      <c r="DK747" s="1401"/>
      <c r="DL747" s="1401"/>
      <c r="DM747" s="1401"/>
      <c r="DN747" s="1401"/>
      <c r="DO747" s="1401">
        <f t="shared" si="23"/>
        <v>0</v>
      </c>
      <c r="DP747" s="1401"/>
      <c r="DQ747" s="1401"/>
      <c r="DR747" s="1401"/>
      <c r="DS747" s="1401"/>
      <c r="DT747" s="257"/>
      <c r="DU747" s="1402">
        <f t="shared" si="24"/>
        <v>0</v>
      </c>
      <c r="DV747" s="1402"/>
      <c r="DW747" s="1402"/>
      <c r="DX747" s="1402"/>
      <c r="DY747" s="1402"/>
      <c r="DZ747" s="1402">
        <f t="shared" si="25"/>
        <v>0</v>
      </c>
      <c r="EA747" s="1402"/>
      <c r="EB747" s="1402"/>
      <c r="EC747" s="1402"/>
      <c r="ED747" s="1402"/>
      <c r="EE747" s="1402">
        <f t="shared" si="26"/>
        <v>0</v>
      </c>
      <c r="EF747" s="1402"/>
      <c r="EG747" s="1402"/>
      <c r="EH747" s="1402"/>
      <c r="EI747" s="1402"/>
      <c r="EJ747" s="1402">
        <f t="shared" si="27"/>
        <v>0</v>
      </c>
      <c r="EK747" s="1402"/>
      <c r="EL747" s="1402"/>
      <c r="EM747" s="1402"/>
      <c r="EN747" s="1402"/>
      <c r="EO747" s="1402">
        <f t="shared" si="28"/>
        <v>0</v>
      </c>
      <c r="EP747" s="1402"/>
      <c r="EQ747" s="1402"/>
      <c r="ER747" s="1402"/>
      <c r="ES747" s="1402"/>
      <c r="ET747" s="1402">
        <f t="shared" si="29"/>
        <v>0</v>
      </c>
      <c r="EU747" s="1402"/>
      <c r="EV747" s="1402"/>
      <c r="EW747" s="1402"/>
      <c r="EX747" s="1402"/>
      <c r="EZ747" s="1421" t="str">
        <f t="shared" si="30"/>
        <v/>
      </c>
      <c r="FA747" s="1423"/>
      <c r="FB747" s="1423"/>
      <c r="FC747" s="1423"/>
      <c r="FD747" s="1422"/>
      <c r="FE747" s="1421" t="str">
        <f t="shared" si="31"/>
        <v/>
      </c>
      <c r="FF747" s="1423"/>
      <c r="FG747" s="1423"/>
      <c r="FH747" s="1423"/>
      <c r="FI747" s="1422"/>
      <c r="FJ747" s="1421" t="str">
        <f t="shared" si="32"/>
        <v/>
      </c>
      <c r="FK747" s="1423"/>
      <c r="FL747" s="1423"/>
      <c r="FM747" s="1423"/>
      <c r="FN747" s="1422"/>
      <c r="FO747" s="1421" t="str">
        <f t="shared" si="33"/>
        <v/>
      </c>
      <c r="FP747" s="1423"/>
      <c r="FQ747" s="1423"/>
      <c r="FR747" s="1423"/>
      <c r="FS747" s="1422"/>
      <c r="FT747" s="1421" t="str">
        <f t="shared" si="34"/>
        <v/>
      </c>
      <c r="FU747" s="1423"/>
      <c r="FV747" s="1423"/>
      <c r="FW747" s="1423"/>
      <c r="FX747" s="1422"/>
      <c r="FY747" s="1421" t="str">
        <f t="shared" si="35"/>
        <v/>
      </c>
      <c r="FZ747" s="1423"/>
      <c r="GA747" s="1423"/>
      <c r="GB747" s="1423"/>
      <c r="GC747" s="1422"/>
    </row>
    <row r="748" spans="1:185" s="3" customFormat="1" ht="13.15" customHeight="1">
      <c r="A748"/>
      <c r="B748" s="1299"/>
      <c r="C748" s="1300"/>
      <c r="D748" s="1300"/>
      <c r="E748" s="1300"/>
      <c r="F748" s="1301"/>
      <c r="G748" s="1311"/>
      <c r="H748" s="1312"/>
      <c r="I748" s="1312"/>
      <c r="J748" s="1313"/>
      <c r="K748" s="1305"/>
      <c r="L748" s="1306"/>
      <c r="M748" s="1306"/>
      <c r="N748" s="1307"/>
      <c r="O748" s="1302"/>
      <c r="P748" s="1303"/>
      <c r="Q748" s="1303"/>
      <c r="R748" s="1303"/>
      <c r="S748" s="1304"/>
      <c r="T748" s="1302"/>
      <c r="U748" s="1303"/>
      <c r="V748" s="1303"/>
      <c r="W748" s="1304"/>
      <c r="X748" s="1314">
        <f t="shared" si="39"/>
        <v>0</v>
      </c>
      <c r="Y748" s="1315"/>
      <c r="Z748" s="1315"/>
      <c r="AA748" s="1315"/>
      <c r="AB748" s="1316"/>
      <c r="AC748" s="1321"/>
      <c r="AD748" s="1322"/>
      <c r="AE748" s="1322"/>
      <c r="AF748" s="1322"/>
      <c r="AG748" s="1323"/>
      <c r="AH748" s="1317" t="str">
        <f t="shared" si="36"/>
        <v/>
      </c>
      <c r="AI748" s="1318"/>
      <c r="AJ748" s="1319"/>
      <c r="AK748" s="1299" t="s">
        <v>807</v>
      </c>
      <c r="AL748" s="1300"/>
      <c r="AM748" s="1300"/>
      <c r="AN748" s="1300"/>
      <c r="AO748" s="1301"/>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421">
        <f t="shared" si="37"/>
        <v>0</v>
      </c>
      <c r="CH748" s="1422"/>
      <c r="CI748" s="1421">
        <f t="shared" si="38"/>
        <v>0</v>
      </c>
      <c r="CJ748" s="1422"/>
      <c r="CK748" s="1421">
        <f t="shared" si="16"/>
        <v>0</v>
      </c>
      <c r="CL748" s="1422"/>
      <c r="CM748" s="1421">
        <f t="shared" si="17"/>
        <v>0</v>
      </c>
      <c r="CN748" s="1422"/>
      <c r="CP748" s="1416">
        <f t="shared" si="18"/>
        <v>0</v>
      </c>
      <c r="CQ748" s="1417"/>
      <c r="CR748" s="1417"/>
      <c r="CS748" s="1417"/>
      <c r="CT748" s="1418"/>
      <c r="CU748" s="1401">
        <f t="shared" si="19"/>
        <v>0</v>
      </c>
      <c r="CV748" s="1401"/>
      <c r="CW748" s="1401"/>
      <c r="CX748" s="1401"/>
      <c r="CY748" s="1401"/>
      <c r="CZ748" s="1401">
        <f t="shared" si="20"/>
        <v>0</v>
      </c>
      <c r="DA748" s="1401"/>
      <c r="DB748" s="1401"/>
      <c r="DC748" s="1401"/>
      <c r="DD748" s="1401"/>
      <c r="DE748" s="1401">
        <f t="shared" si="21"/>
        <v>0</v>
      </c>
      <c r="DF748" s="1401"/>
      <c r="DG748" s="1401"/>
      <c r="DH748" s="1401"/>
      <c r="DI748" s="1401"/>
      <c r="DJ748" s="1401">
        <f t="shared" si="22"/>
        <v>0</v>
      </c>
      <c r="DK748" s="1401"/>
      <c r="DL748" s="1401"/>
      <c r="DM748" s="1401"/>
      <c r="DN748" s="1401"/>
      <c r="DO748" s="1401">
        <f t="shared" si="23"/>
        <v>0</v>
      </c>
      <c r="DP748" s="1401"/>
      <c r="DQ748" s="1401"/>
      <c r="DR748" s="1401"/>
      <c r="DS748" s="1401"/>
      <c r="DT748" s="257"/>
      <c r="DU748" s="1402">
        <f t="shared" si="24"/>
        <v>0</v>
      </c>
      <c r="DV748" s="1402"/>
      <c r="DW748" s="1402"/>
      <c r="DX748" s="1402"/>
      <c r="DY748" s="1402"/>
      <c r="DZ748" s="1402">
        <f t="shared" si="25"/>
        <v>0</v>
      </c>
      <c r="EA748" s="1402"/>
      <c r="EB748" s="1402"/>
      <c r="EC748" s="1402"/>
      <c r="ED748" s="1402"/>
      <c r="EE748" s="1402">
        <f t="shared" si="26"/>
        <v>0</v>
      </c>
      <c r="EF748" s="1402"/>
      <c r="EG748" s="1402"/>
      <c r="EH748" s="1402"/>
      <c r="EI748" s="1402"/>
      <c r="EJ748" s="1402">
        <f t="shared" si="27"/>
        <v>0</v>
      </c>
      <c r="EK748" s="1402"/>
      <c r="EL748" s="1402"/>
      <c r="EM748" s="1402"/>
      <c r="EN748" s="1402"/>
      <c r="EO748" s="1402">
        <f t="shared" si="28"/>
        <v>0</v>
      </c>
      <c r="EP748" s="1402"/>
      <c r="EQ748" s="1402"/>
      <c r="ER748" s="1402"/>
      <c r="ES748" s="1402"/>
      <c r="ET748" s="1402">
        <f t="shared" si="29"/>
        <v>0</v>
      </c>
      <c r="EU748" s="1402"/>
      <c r="EV748" s="1402"/>
      <c r="EW748" s="1402"/>
      <c r="EX748" s="1402"/>
      <c r="EY748"/>
      <c r="EZ748" s="1421" t="str">
        <f t="shared" si="30"/>
        <v/>
      </c>
      <c r="FA748" s="1423"/>
      <c r="FB748" s="1423"/>
      <c r="FC748" s="1423"/>
      <c r="FD748" s="1422"/>
      <c r="FE748" s="1421" t="str">
        <f t="shared" si="31"/>
        <v/>
      </c>
      <c r="FF748" s="1423"/>
      <c r="FG748" s="1423"/>
      <c r="FH748" s="1423"/>
      <c r="FI748" s="1422"/>
      <c r="FJ748" s="1421" t="str">
        <f t="shared" si="32"/>
        <v/>
      </c>
      <c r="FK748" s="1423"/>
      <c r="FL748" s="1423"/>
      <c r="FM748" s="1423"/>
      <c r="FN748" s="1422"/>
      <c r="FO748" s="1421" t="str">
        <f t="shared" si="33"/>
        <v/>
      </c>
      <c r="FP748" s="1423"/>
      <c r="FQ748" s="1423"/>
      <c r="FR748" s="1423"/>
      <c r="FS748" s="1422"/>
      <c r="FT748" s="1421" t="str">
        <f t="shared" si="34"/>
        <v/>
      </c>
      <c r="FU748" s="1423"/>
      <c r="FV748" s="1423"/>
      <c r="FW748" s="1423"/>
      <c r="FX748" s="1422"/>
      <c r="FY748" s="1421" t="str">
        <f t="shared" si="35"/>
        <v/>
      </c>
      <c r="FZ748" s="1423"/>
      <c r="GA748" s="1423"/>
      <c r="GB748" s="1423"/>
      <c r="GC748" s="1422"/>
    </row>
    <row r="749" spans="1:185" s="3" customFormat="1" ht="13.15" customHeight="1">
      <c r="A749"/>
      <c r="B749" s="1299"/>
      <c r="C749" s="1300"/>
      <c r="D749" s="1300"/>
      <c r="E749" s="1300"/>
      <c r="F749" s="1301"/>
      <c r="G749" s="1311"/>
      <c r="H749" s="1312"/>
      <c r="I749" s="1312"/>
      <c r="J749" s="1313"/>
      <c r="K749" s="1305"/>
      <c r="L749" s="1306"/>
      <c r="M749" s="1306"/>
      <c r="N749" s="1307"/>
      <c r="O749" s="1302"/>
      <c r="P749" s="1303"/>
      <c r="Q749" s="1303"/>
      <c r="R749" s="1303"/>
      <c r="S749" s="1304"/>
      <c r="T749" s="1302"/>
      <c r="U749" s="1303"/>
      <c r="V749" s="1303"/>
      <c r="W749" s="1304"/>
      <c r="X749" s="1314">
        <f t="shared" si="39"/>
        <v>0</v>
      </c>
      <c r="Y749" s="1315"/>
      <c r="Z749" s="1315"/>
      <c r="AA749" s="1315"/>
      <c r="AB749" s="1316"/>
      <c r="AC749" s="1321"/>
      <c r="AD749" s="1322"/>
      <c r="AE749" s="1322"/>
      <c r="AF749" s="1322"/>
      <c r="AG749" s="1323"/>
      <c r="AH749" s="1317" t="str">
        <f t="shared" si="36"/>
        <v/>
      </c>
      <c r="AI749" s="1318"/>
      <c r="AJ749" s="1319"/>
      <c r="AK749" s="1299" t="s">
        <v>807</v>
      </c>
      <c r="AL749" s="1300"/>
      <c r="AM749" s="1300"/>
      <c r="AN749" s="1300"/>
      <c r="AO749" s="1301"/>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421">
        <f t="shared" si="37"/>
        <v>0</v>
      </c>
      <c r="CH749" s="1422"/>
      <c r="CI749" s="1421">
        <f t="shared" si="38"/>
        <v>0</v>
      </c>
      <c r="CJ749" s="1422"/>
      <c r="CK749" s="1421">
        <f t="shared" si="16"/>
        <v>0</v>
      </c>
      <c r="CL749" s="1422"/>
      <c r="CM749" s="1421">
        <f t="shared" si="17"/>
        <v>0</v>
      </c>
      <c r="CN749" s="1422"/>
      <c r="CP749" s="1416">
        <f t="shared" si="18"/>
        <v>0</v>
      </c>
      <c r="CQ749" s="1417"/>
      <c r="CR749" s="1417"/>
      <c r="CS749" s="1417"/>
      <c r="CT749" s="1418"/>
      <c r="CU749" s="1401">
        <f t="shared" si="19"/>
        <v>0</v>
      </c>
      <c r="CV749" s="1401"/>
      <c r="CW749" s="1401"/>
      <c r="CX749" s="1401"/>
      <c r="CY749" s="1401"/>
      <c r="CZ749" s="1401">
        <f t="shared" si="20"/>
        <v>0</v>
      </c>
      <c r="DA749" s="1401"/>
      <c r="DB749" s="1401"/>
      <c r="DC749" s="1401"/>
      <c r="DD749" s="1401"/>
      <c r="DE749" s="1401">
        <f t="shared" si="21"/>
        <v>0</v>
      </c>
      <c r="DF749" s="1401"/>
      <c r="DG749" s="1401"/>
      <c r="DH749" s="1401"/>
      <c r="DI749" s="1401"/>
      <c r="DJ749" s="1401">
        <f t="shared" si="22"/>
        <v>0</v>
      </c>
      <c r="DK749" s="1401"/>
      <c r="DL749" s="1401"/>
      <c r="DM749" s="1401"/>
      <c r="DN749" s="1401"/>
      <c r="DO749" s="1401">
        <f t="shared" si="23"/>
        <v>0</v>
      </c>
      <c r="DP749" s="1401"/>
      <c r="DQ749" s="1401"/>
      <c r="DR749" s="1401"/>
      <c r="DS749" s="1401"/>
      <c r="DT749" s="257"/>
      <c r="DU749" s="1402">
        <f t="shared" si="24"/>
        <v>0</v>
      </c>
      <c r="DV749" s="1402"/>
      <c r="DW749" s="1402"/>
      <c r="DX749" s="1402"/>
      <c r="DY749" s="1402"/>
      <c r="DZ749" s="1402">
        <f t="shared" si="25"/>
        <v>0</v>
      </c>
      <c r="EA749" s="1402"/>
      <c r="EB749" s="1402"/>
      <c r="EC749" s="1402"/>
      <c r="ED749" s="1402"/>
      <c r="EE749" s="1402">
        <f t="shared" si="26"/>
        <v>0</v>
      </c>
      <c r="EF749" s="1402"/>
      <c r="EG749" s="1402"/>
      <c r="EH749" s="1402"/>
      <c r="EI749" s="1402"/>
      <c r="EJ749" s="1402">
        <f t="shared" si="27"/>
        <v>0</v>
      </c>
      <c r="EK749" s="1402"/>
      <c r="EL749" s="1402"/>
      <c r="EM749" s="1402"/>
      <c r="EN749" s="1402"/>
      <c r="EO749" s="1402">
        <f t="shared" si="28"/>
        <v>0</v>
      </c>
      <c r="EP749" s="1402"/>
      <c r="EQ749" s="1402"/>
      <c r="ER749" s="1402"/>
      <c r="ES749" s="1402"/>
      <c r="ET749" s="1402">
        <f t="shared" si="29"/>
        <v>0</v>
      </c>
      <c r="EU749" s="1402"/>
      <c r="EV749" s="1402"/>
      <c r="EW749" s="1402"/>
      <c r="EX749" s="1402"/>
      <c r="EY749"/>
      <c r="EZ749" s="1421" t="str">
        <f t="shared" si="30"/>
        <v/>
      </c>
      <c r="FA749" s="1423"/>
      <c r="FB749" s="1423"/>
      <c r="FC749" s="1423"/>
      <c r="FD749" s="1422"/>
      <c r="FE749" s="1421" t="str">
        <f t="shared" si="31"/>
        <v/>
      </c>
      <c r="FF749" s="1423"/>
      <c r="FG749" s="1423"/>
      <c r="FH749" s="1423"/>
      <c r="FI749" s="1422"/>
      <c r="FJ749" s="1421" t="str">
        <f t="shared" si="32"/>
        <v/>
      </c>
      <c r="FK749" s="1423"/>
      <c r="FL749" s="1423"/>
      <c r="FM749" s="1423"/>
      <c r="FN749" s="1422"/>
      <c r="FO749" s="1421" t="str">
        <f t="shared" si="33"/>
        <v/>
      </c>
      <c r="FP749" s="1423"/>
      <c r="FQ749" s="1423"/>
      <c r="FR749" s="1423"/>
      <c r="FS749" s="1422"/>
      <c r="FT749" s="1421" t="str">
        <f t="shared" si="34"/>
        <v/>
      </c>
      <c r="FU749" s="1423"/>
      <c r="FV749" s="1423"/>
      <c r="FW749" s="1423"/>
      <c r="FX749" s="1422"/>
      <c r="FY749" s="1421" t="str">
        <f t="shared" si="35"/>
        <v/>
      </c>
      <c r="FZ749" s="1423"/>
      <c r="GA749" s="1423"/>
      <c r="GB749" s="1423"/>
      <c r="GC749" s="1422"/>
    </row>
    <row r="750" spans="1:185" s="3" customFormat="1" ht="13.15" customHeight="1">
      <c r="A750"/>
      <c r="B750" s="1299"/>
      <c r="C750" s="1300"/>
      <c r="D750" s="1300"/>
      <c r="E750" s="1300"/>
      <c r="F750" s="1301"/>
      <c r="G750" s="1311"/>
      <c r="H750" s="1312"/>
      <c r="I750" s="1312"/>
      <c r="J750" s="1313"/>
      <c r="K750" s="1305"/>
      <c r="L750" s="1306"/>
      <c r="M750" s="1306"/>
      <c r="N750" s="1307"/>
      <c r="O750" s="1302"/>
      <c r="P750" s="1303"/>
      <c r="Q750" s="1303"/>
      <c r="R750" s="1303"/>
      <c r="S750" s="1304"/>
      <c r="T750" s="1302"/>
      <c r="U750" s="1303"/>
      <c r="V750" s="1303"/>
      <c r="W750" s="1304"/>
      <c r="X750" s="1314">
        <f t="shared" si="39"/>
        <v>0</v>
      </c>
      <c r="Y750" s="1315"/>
      <c r="Z750" s="1315"/>
      <c r="AA750" s="1315"/>
      <c r="AB750" s="1316"/>
      <c r="AC750" s="1321"/>
      <c r="AD750" s="1322"/>
      <c r="AE750" s="1322"/>
      <c r="AF750" s="1322"/>
      <c r="AG750" s="1323"/>
      <c r="AH750" s="1317" t="str">
        <f t="shared" si="36"/>
        <v/>
      </c>
      <c r="AI750" s="1318"/>
      <c r="AJ750" s="1319"/>
      <c r="AK750" s="1299" t="s">
        <v>807</v>
      </c>
      <c r="AL750" s="1300"/>
      <c r="AM750" s="1300"/>
      <c r="AN750" s="1300"/>
      <c r="AO750" s="1301"/>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421">
        <f t="shared" si="37"/>
        <v>0</v>
      </c>
      <c r="CH750" s="1422"/>
      <c r="CI750" s="1421">
        <f t="shared" si="38"/>
        <v>0</v>
      </c>
      <c r="CJ750" s="1422"/>
      <c r="CK750" s="1421">
        <f t="shared" si="16"/>
        <v>0</v>
      </c>
      <c r="CL750" s="1422"/>
      <c r="CM750" s="1421">
        <f t="shared" si="17"/>
        <v>0</v>
      </c>
      <c r="CN750" s="1422"/>
      <c r="CP750" s="1416">
        <f t="shared" si="18"/>
        <v>0</v>
      </c>
      <c r="CQ750" s="1417"/>
      <c r="CR750" s="1417"/>
      <c r="CS750" s="1417"/>
      <c r="CT750" s="1418"/>
      <c r="CU750" s="1401">
        <f t="shared" si="19"/>
        <v>0</v>
      </c>
      <c r="CV750" s="1401"/>
      <c r="CW750" s="1401"/>
      <c r="CX750" s="1401"/>
      <c r="CY750" s="1401"/>
      <c r="CZ750" s="1401">
        <f t="shared" si="20"/>
        <v>0</v>
      </c>
      <c r="DA750" s="1401"/>
      <c r="DB750" s="1401"/>
      <c r="DC750" s="1401"/>
      <c r="DD750" s="1401"/>
      <c r="DE750" s="1401">
        <f t="shared" si="21"/>
        <v>0</v>
      </c>
      <c r="DF750" s="1401"/>
      <c r="DG750" s="1401"/>
      <c r="DH750" s="1401"/>
      <c r="DI750" s="1401"/>
      <c r="DJ750" s="1401">
        <f t="shared" si="22"/>
        <v>0</v>
      </c>
      <c r="DK750" s="1401"/>
      <c r="DL750" s="1401"/>
      <c r="DM750" s="1401"/>
      <c r="DN750" s="1401"/>
      <c r="DO750" s="1401">
        <f t="shared" si="23"/>
        <v>0</v>
      </c>
      <c r="DP750" s="1401"/>
      <c r="DQ750" s="1401"/>
      <c r="DR750" s="1401"/>
      <c r="DS750" s="1401"/>
      <c r="DT750" s="257"/>
      <c r="DU750" s="1402">
        <f t="shared" si="24"/>
        <v>0</v>
      </c>
      <c r="DV750" s="1402"/>
      <c r="DW750" s="1402"/>
      <c r="DX750" s="1402"/>
      <c r="DY750" s="1402"/>
      <c r="DZ750" s="1402">
        <f t="shared" si="25"/>
        <v>0</v>
      </c>
      <c r="EA750" s="1402"/>
      <c r="EB750" s="1402"/>
      <c r="EC750" s="1402"/>
      <c r="ED750" s="1402"/>
      <c r="EE750" s="1402">
        <f t="shared" si="26"/>
        <v>0</v>
      </c>
      <c r="EF750" s="1402"/>
      <c r="EG750" s="1402"/>
      <c r="EH750" s="1402"/>
      <c r="EI750" s="1402"/>
      <c r="EJ750" s="1402">
        <f t="shared" si="27"/>
        <v>0</v>
      </c>
      <c r="EK750" s="1402"/>
      <c r="EL750" s="1402"/>
      <c r="EM750" s="1402"/>
      <c r="EN750" s="1402"/>
      <c r="EO750" s="1402">
        <f t="shared" si="28"/>
        <v>0</v>
      </c>
      <c r="EP750" s="1402"/>
      <c r="EQ750" s="1402"/>
      <c r="ER750" s="1402"/>
      <c r="ES750" s="1402"/>
      <c r="ET750" s="1402">
        <f t="shared" si="29"/>
        <v>0</v>
      </c>
      <c r="EU750" s="1402"/>
      <c r="EV750" s="1402"/>
      <c r="EW750" s="1402"/>
      <c r="EX750" s="1402"/>
      <c r="EY750"/>
      <c r="EZ750" s="1421" t="str">
        <f t="shared" si="30"/>
        <v/>
      </c>
      <c r="FA750" s="1423"/>
      <c r="FB750" s="1423"/>
      <c r="FC750" s="1423"/>
      <c r="FD750" s="1422"/>
      <c r="FE750" s="1421" t="str">
        <f t="shared" si="31"/>
        <v/>
      </c>
      <c r="FF750" s="1423"/>
      <c r="FG750" s="1423"/>
      <c r="FH750" s="1423"/>
      <c r="FI750" s="1422"/>
      <c r="FJ750" s="1421" t="str">
        <f t="shared" si="32"/>
        <v/>
      </c>
      <c r="FK750" s="1423"/>
      <c r="FL750" s="1423"/>
      <c r="FM750" s="1423"/>
      <c r="FN750" s="1422"/>
      <c r="FO750" s="1421" t="str">
        <f t="shared" si="33"/>
        <v/>
      </c>
      <c r="FP750" s="1423"/>
      <c r="FQ750" s="1423"/>
      <c r="FR750" s="1423"/>
      <c r="FS750" s="1422"/>
      <c r="FT750" s="1421" t="str">
        <f t="shared" si="34"/>
        <v/>
      </c>
      <c r="FU750" s="1423"/>
      <c r="FV750" s="1423"/>
      <c r="FW750" s="1423"/>
      <c r="FX750" s="1422"/>
      <c r="FY750" s="1421" t="str">
        <f t="shared" si="35"/>
        <v/>
      </c>
      <c r="FZ750" s="1423"/>
      <c r="GA750" s="1423"/>
      <c r="GB750" s="1423"/>
      <c r="GC750" s="1422"/>
    </row>
    <row r="751" spans="1:185" s="3" customFormat="1" ht="13.15" customHeight="1">
      <c r="A751"/>
      <c r="B751" s="1299"/>
      <c r="C751" s="1300"/>
      <c r="D751" s="1300"/>
      <c r="E751" s="1300"/>
      <c r="F751" s="1301"/>
      <c r="G751" s="1311"/>
      <c r="H751" s="1312"/>
      <c r="I751" s="1312"/>
      <c r="J751" s="1313"/>
      <c r="K751" s="1305"/>
      <c r="L751" s="1306"/>
      <c r="M751" s="1306"/>
      <c r="N751" s="1307"/>
      <c r="O751" s="1302"/>
      <c r="P751" s="1303"/>
      <c r="Q751" s="1303"/>
      <c r="R751" s="1303"/>
      <c r="S751" s="1304"/>
      <c r="T751" s="1302"/>
      <c r="U751" s="1303"/>
      <c r="V751" s="1303"/>
      <c r="W751" s="1304"/>
      <c r="X751" s="1314">
        <f t="shared" si="39"/>
        <v>0</v>
      </c>
      <c r="Y751" s="1315"/>
      <c r="Z751" s="1315"/>
      <c r="AA751" s="1315"/>
      <c r="AB751" s="1316"/>
      <c r="AC751" s="1321"/>
      <c r="AD751" s="1322"/>
      <c r="AE751" s="1322"/>
      <c r="AF751" s="1322"/>
      <c r="AG751" s="1323"/>
      <c r="AH751" s="1317" t="str">
        <f t="shared" si="36"/>
        <v/>
      </c>
      <c r="AI751" s="1318"/>
      <c r="AJ751" s="1319"/>
      <c r="AK751" s="1299" t="s">
        <v>807</v>
      </c>
      <c r="AL751" s="1300"/>
      <c r="AM751" s="1300"/>
      <c r="AN751" s="1300"/>
      <c r="AO751" s="1301"/>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421">
        <f t="shared" si="37"/>
        <v>0</v>
      </c>
      <c r="CH751" s="1422"/>
      <c r="CI751" s="1421">
        <f t="shared" si="38"/>
        <v>0</v>
      </c>
      <c r="CJ751" s="1422"/>
      <c r="CK751" s="1421">
        <f t="shared" si="16"/>
        <v>0</v>
      </c>
      <c r="CL751" s="1422"/>
      <c r="CM751" s="1421">
        <f t="shared" si="17"/>
        <v>0</v>
      </c>
      <c r="CN751" s="1422"/>
      <c r="CP751" s="1416">
        <f t="shared" si="18"/>
        <v>0</v>
      </c>
      <c r="CQ751" s="1417"/>
      <c r="CR751" s="1417"/>
      <c r="CS751" s="1417"/>
      <c r="CT751" s="1418"/>
      <c r="CU751" s="1401">
        <f t="shared" si="19"/>
        <v>0</v>
      </c>
      <c r="CV751" s="1401"/>
      <c r="CW751" s="1401"/>
      <c r="CX751" s="1401"/>
      <c r="CY751" s="1401"/>
      <c r="CZ751" s="1401">
        <f t="shared" si="20"/>
        <v>0</v>
      </c>
      <c r="DA751" s="1401"/>
      <c r="DB751" s="1401"/>
      <c r="DC751" s="1401"/>
      <c r="DD751" s="1401"/>
      <c r="DE751" s="1401">
        <f t="shared" si="21"/>
        <v>0</v>
      </c>
      <c r="DF751" s="1401"/>
      <c r="DG751" s="1401"/>
      <c r="DH751" s="1401"/>
      <c r="DI751" s="1401"/>
      <c r="DJ751" s="1401">
        <f t="shared" si="22"/>
        <v>0</v>
      </c>
      <c r="DK751" s="1401"/>
      <c r="DL751" s="1401"/>
      <c r="DM751" s="1401"/>
      <c r="DN751" s="1401"/>
      <c r="DO751" s="1401">
        <f t="shared" si="23"/>
        <v>0</v>
      </c>
      <c r="DP751" s="1401"/>
      <c r="DQ751" s="1401"/>
      <c r="DR751" s="1401"/>
      <c r="DS751" s="1401"/>
      <c r="DT751" s="257"/>
      <c r="DU751" s="1402">
        <f t="shared" si="24"/>
        <v>0</v>
      </c>
      <c r="DV751" s="1402"/>
      <c r="DW751" s="1402"/>
      <c r="DX751" s="1402"/>
      <c r="DY751" s="1402"/>
      <c r="DZ751" s="1402">
        <f t="shared" si="25"/>
        <v>0</v>
      </c>
      <c r="EA751" s="1402"/>
      <c r="EB751" s="1402"/>
      <c r="EC751" s="1402"/>
      <c r="ED751" s="1402"/>
      <c r="EE751" s="1402">
        <f t="shared" si="26"/>
        <v>0</v>
      </c>
      <c r="EF751" s="1402"/>
      <c r="EG751" s="1402"/>
      <c r="EH751" s="1402"/>
      <c r="EI751" s="1402"/>
      <c r="EJ751" s="1402">
        <f t="shared" si="27"/>
        <v>0</v>
      </c>
      <c r="EK751" s="1402"/>
      <c r="EL751" s="1402"/>
      <c r="EM751" s="1402"/>
      <c r="EN751" s="1402"/>
      <c r="EO751" s="1402">
        <f t="shared" si="28"/>
        <v>0</v>
      </c>
      <c r="EP751" s="1402"/>
      <c r="EQ751" s="1402"/>
      <c r="ER751" s="1402"/>
      <c r="ES751" s="1402"/>
      <c r="ET751" s="1402">
        <f t="shared" si="29"/>
        <v>0</v>
      </c>
      <c r="EU751" s="1402"/>
      <c r="EV751" s="1402"/>
      <c r="EW751" s="1402"/>
      <c r="EX751" s="1402"/>
      <c r="EY751"/>
      <c r="EZ751" s="1421" t="str">
        <f t="shared" si="30"/>
        <v/>
      </c>
      <c r="FA751" s="1423"/>
      <c r="FB751" s="1423"/>
      <c r="FC751" s="1423"/>
      <c r="FD751" s="1422"/>
      <c r="FE751" s="1421" t="str">
        <f t="shared" si="31"/>
        <v/>
      </c>
      <c r="FF751" s="1423"/>
      <c r="FG751" s="1423"/>
      <c r="FH751" s="1423"/>
      <c r="FI751" s="1422"/>
      <c r="FJ751" s="1421" t="str">
        <f t="shared" si="32"/>
        <v/>
      </c>
      <c r="FK751" s="1423"/>
      <c r="FL751" s="1423"/>
      <c r="FM751" s="1423"/>
      <c r="FN751" s="1422"/>
      <c r="FO751" s="1421" t="str">
        <f t="shared" si="33"/>
        <v/>
      </c>
      <c r="FP751" s="1423"/>
      <c r="FQ751" s="1423"/>
      <c r="FR751" s="1423"/>
      <c r="FS751" s="1422"/>
      <c r="FT751" s="1421" t="str">
        <f t="shared" si="34"/>
        <v/>
      </c>
      <c r="FU751" s="1423"/>
      <c r="FV751" s="1423"/>
      <c r="FW751" s="1423"/>
      <c r="FX751" s="1422"/>
      <c r="FY751" s="1421" t="str">
        <f t="shared" si="35"/>
        <v/>
      </c>
      <c r="FZ751" s="1423"/>
      <c r="GA751" s="1423"/>
      <c r="GB751" s="1423"/>
      <c r="GC751" s="1422"/>
    </row>
    <row r="752" spans="1:185" s="3" customFormat="1" ht="13.15" customHeight="1">
      <c r="A752"/>
      <c r="B752" s="1299"/>
      <c r="C752" s="1300"/>
      <c r="D752" s="1300"/>
      <c r="E752" s="1300"/>
      <c r="F752" s="1301"/>
      <c r="G752" s="1311"/>
      <c r="H752" s="1312"/>
      <c r="I752" s="1312"/>
      <c r="J752" s="1313"/>
      <c r="K752" s="1305"/>
      <c r="L752" s="1306"/>
      <c r="M752" s="1306"/>
      <c r="N752" s="1307"/>
      <c r="O752" s="1302"/>
      <c r="P752" s="1303"/>
      <c r="Q752" s="1303"/>
      <c r="R752" s="1303"/>
      <c r="S752" s="1304"/>
      <c r="T752" s="1302"/>
      <c r="U752" s="1303"/>
      <c r="V752" s="1303"/>
      <c r="W752" s="1304"/>
      <c r="X752" s="1314">
        <f>O752+T752</f>
        <v>0</v>
      </c>
      <c r="Y752" s="1315"/>
      <c r="Z752" s="1315"/>
      <c r="AA752" s="1315"/>
      <c r="AB752" s="1316"/>
      <c r="AC752" s="1321"/>
      <c r="AD752" s="1322"/>
      <c r="AE752" s="1322"/>
      <c r="AF752" s="1322"/>
      <c r="AG752" s="1323"/>
      <c r="AH752" s="1317" t="str">
        <f t="shared" si="36"/>
        <v/>
      </c>
      <c r="AI752" s="1318"/>
      <c r="AJ752" s="1319"/>
      <c r="AK752" s="1299" t="s">
        <v>807</v>
      </c>
      <c r="AL752" s="1300"/>
      <c r="AM752" s="1300"/>
      <c r="AN752" s="1300"/>
      <c r="AO752" s="1301"/>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421">
        <f t="shared" si="37"/>
        <v>0</v>
      </c>
      <c r="CH752" s="1422"/>
      <c r="CI752" s="1421">
        <f t="shared" si="38"/>
        <v>0</v>
      </c>
      <c r="CJ752" s="1422"/>
      <c r="CK752" s="1421">
        <f t="shared" si="16"/>
        <v>0</v>
      </c>
      <c r="CL752" s="1422"/>
      <c r="CM752" s="1421">
        <f t="shared" si="17"/>
        <v>0</v>
      </c>
      <c r="CN752" s="1422"/>
      <c r="CP752" s="1416">
        <f t="shared" si="18"/>
        <v>0</v>
      </c>
      <c r="CQ752" s="1417"/>
      <c r="CR752" s="1417"/>
      <c r="CS752" s="1417"/>
      <c r="CT752" s="1418"/>
      <c r="CU752" s="1401">
        <f t="shared" si="19"/>
        <v>0</v>
      </c>
      <c r="CV752" s="1401"/>
      <c r="CW752" s="1401"/>
      <c r="CX752" s="1401"/>
      <c r="CY752" s="1401"/>
      <c r="CZ752" s="1401">
        <f t="shared" si="20"/>
        <v>0</v>
      </c>
      <c r="DA752" s="1401"/>
      <c r="DB752" s="1401"/>
      <c r="DC752" s="1401"/>
      <c r="DD752" s="1401"/>
      <c r="DE752" s="1401">
        <f t="shared" si="21"/>
        <v>0</v>
      </c>
      <c r="DF752" s="1401"/>
      <c r="DG752" s="1401"/>
      <c r="DH752" s="1401"/>
      <c r="DI752" s="1401"/>
      <c r="DJ752" s="1401">
        <f t="shared" si="22"/>
        <v>0</v>
      </c>
      <c r="DK752" s="1401"/>
      <c r="DL752" s="1401"/>
      <c r="DM752" s="1401"/>
      <c r="DN752" s="1401"/>
      <c r="DO752" s="1401">
        <f t="shared" si="23"/>
        <v>0</v>
      </c>
      <c r="DP752" s="1401"/>
      <c r="DQ752" s="1401"/>
      <c r="DR752" s="1401"/>
      <c r="DS752" s="1401"/>
      <c r="DT752" s="257"/>
      <c r="DU752" s="1402">
        <f t="shared" si="24"/>
        <v>0</v>
      </c>
      <c r="DV752" s="1402"/>
      <c r="DW752" s="1402"/>
      <c r="DX752" s="1402"/>
      <c r="DY752" s="1402"/>
      <c r="DZ752" s="1402">
        <f t="shared" si="25"/>
        <v>0</v>
      </c>
      <c r="EA752" s="1402"/>
      <c r="EB752" s="1402"/>
      <c r="EC752" s="1402"/>
      <c r="ED752" s="1402"/>
      <c r="EE752" s="1402">
        <f t="shared" si="26"/>
        <v>0</v>
      </c>
      <c r="EF752" s="1402"/>
      <c r="EG752" s="1402"/>
      <c r="EH752" s="1402"/>
      <c r="EI752" s="1402"/>
      <c r="EJ752" s="1402">
        <f t="shared" si="27"/>
        <v>0</v>
      </c>
      <c r="EK752" s="1402"/>
      <c r="EL752" s="1402"/>
      <c r="EM752" s="1402"/>
      <c r="EN752" s="1402"/>
      <c r="EO752" s="1402">
        <f t="shared" si="28"/>
        <v>0</v>
      </c>
      <c r="EP752" s="1402"/>
      <c r="EQ752" s="1402"/>
      <c r="ER752" s="1402"/>
      <c r="ES752" s="1402"/>
      <c r="ET752" s="1402">
        <f t="shared" si="29"/>
        <v>0</v>
      </c>
      <c r="EU752" s="1402"/>
      <c r="EV752" s="1402"/>
      <c r="EW752" s="1402"/>
      <c r="EX752" s="1402"/>
      <c r="EY752"/>
      <c r="EZ752" s="1421" t="str">
        <f t="shared" si="30"/>
        <v/>
      </c>
      <c r="FA752" s="1423"/>
      <c r="FB752" s="1423"/>
      <c r="FC752" s="1423"/>
      <c r="FD752" s="1422"/>
      <c r="FE752" s="1421" t="str">
        <f t="shared" si="31"/>
        <v/>
      </c>
      <c r="FF752" s="1423"/>
      <c r="FG752" s="1423"/>
      <c r="FH752" s="1423"/>
      <c r="FI752" s="1422"/>
      <c r="FJ752" s="1421" t="str">
        <f t="shared" si="32"/>
        <v/>
      </c>
      <c r="FK752" s="1423"/>
      <c r="FL752" s="1423"/>
      <c r="FM752" s="1423"/>
      <c r="FN752" s="1422"/>
      <c r="FO752" s="1421" t="str">
        <f t="shared" si="33"/>
        <v/>
      </c>
      <c r="FP752" s="1423"/>
      <c r="FQ752" s="1423"/>
      <c r="FR752" s="1423"/>
      <c r="FS752" s="1422"/>
      <c r="FT752" s="1421" t="str">
        <f t="shared" si="34"/>
        <v/>
      </c>
      <c r="FU752" s="1423"/>
      <c r="FV752" s="1423"/>
      <c r="FW752" s="1423"/>
      <c r="FX752" s="1422"/>
      <c r="FY752" s="1421" t="str">
        <f t="shared" si="35"/>
        <v/>
      </c>
      <c r="FZ752" s="1423"/>
      <c r="GA752" s="1423"/>
      <c r="GB752" s="1423"/>
      <c r="GC752" s="1422"/>
    </row>
    <row r="753" spans="1:185" s="3" customFormat="1" ht="13.15" customHeight="1">
      <c r="A753"/>
      <c r="B753" s="1407" t="s">
        <v>1477</v>
      </c>
      <c r="C753" s="1408"/>
      <c r="D753" s="1408"/>
      <c r="E753" s="1408"/>
      <c r="F753" s="1409"/>
      <c r="G753" s="1567">
        <f>SUM(G718:G752)</f>
        <v>193</v>
      </c>
      <c r="H753" s="1568"/>
      <c r="I753" s="1568"/>
      <c r="J753" s="1569"/>
      <c r="K753" s="798" t="s">
        <v>1478</v>
      </c>
      <c r="L753" s="5"/>
      <c r="M753" s="5"/>
      <c r="N753" s="38"/>
      <c r="O753" s="1314">
        <f>SUMPRODUCT(G718:G752,O718:O752)</f>
        <v>371501</v>
      </c>
      <c r="P753" s="1315"/>
      <c r="Q753" s="1315"/>
      <c r="R753" s="1315"/>
      <c r="S753" s="1316"/>
      <c r="T753"/>
      <c r="U753"/>
      <c r="V753"/>
      <c r="W753"/>
      <c r="X753" s="800" t="s">
        <v>1479</v>
      </c>
      <c r="Y753" s="799"/>
      <c r="Z753" s="799"/>
      <c r="AA753" s="799"/>
      <c r="AB753" s="801"/>
      <c r="AC753" s="1550">
        <f>BH753</f>
        <v>0.5658031088082901</v>
      </c>
      <c r="AD753" s="1551"/>
      <c r="AE753" s="1551"/>
      <c r="AF753" s="1551"/>
      <c r="AG753" s="1552"/>
      <c r="AH753" s="1550">
        <f>IFERROR(BU753,"")</f>
        <v>0.56576062596964827</v>
      </c>
      <c r="AI753" s="1551"/>
      <c r="AJ753" s="1552"/>
      <c r="AK753"/>
      <c r="AL753"/>
      <c r="AM753"/>
      <c r="AN753"/>
      <c r="AO753"/>
      <c r="AP753" s="137"/>
      <c r="AQ753" s="137"/>
      <c r="AR753" s="137"/>
      <c r="AS753" s="137"/>
      <c r="AT753"/>
      <c r="AU753"/>
      <c r="AV753"/>
      <c r="AW753"/>
      <c r="AX753"/>
      <c r="AY753"/>
      <c r="BE753" s="200" t="s">
        <v>1480</v>
      </c>
      <c r="BF753" s="208">
        <f>SUM(BF718:BF752)</f>
        <v>193</v>
      </c>
      <c r="BG753" s="209">
        <f>SUM(BG718:BG752)</f>
        <v>1</v>
      </c>
      <c r="BH753" s="209">
        <f>SUM(BH718:BH752)</f>
        <v>0.5658031088082901</v>
      </c>
      <c r="BI753"/>
      <c r="BJ753"/>
      <c r="BK753"/>
      <c r="BL753"/>
      <c r="BO753"/>
      <c r="BP753"/>
      <c r="BQ753"/>
      <c r="BR753"/>
      <c r="BS753" s="758">
        <f>SUM(BS718:BS752)</f>
        <v>193</v>
      </c>
      <c r="BT753" s="209">
        <f>SUM(BT718:BT752)</f>
        <v>1</v>
      </c>
      <c r="BU753" s="209">
        <f>SUM(BU718:BU752)</f>
        <v>0.56576062596964827</v>
      </c>
      <c r="CI753" s="1421">
        <f>SUM(CI718:CJ752)</f>
        <v>20</v>
      </c>
      <c r="CJ753" s="1422"/>
      <c r="CM753" s="1421">
        <f>SUM(CM718:CN752)</f>
        <v>35</v>
      </c>
      <c r="CN753" s="1422"/>
      <c r="CP753" s="1421">
        <f>SUM(CP718:CT752)</f>
        <v>0</v>
      </c>
      <c r="CQ753" s="1423"/>
      <c r="CR753" s="1423"/>
      <c r="CS753" s="1423"/>
      <c r="CT753" s="1422"/>
      <c r="CU753" s="1419">
        <f>SUM(CU718:CY752)</f>
        <v>89</v>
      </c>
      <c r="CV753" s="1419"/>
      <c r="CW753" s="1419"/>
      <c r="CX753" s="1419"/>
      <c r="CY753" s="1419"/>
      <c r="CZ753" s="1419">
        <f>SUM(CZ718:DD752)</f>
        <v>49</v>
      </c>
      <c r="DA753" s="1419"/>
      <c r="DB753" s="1419"/>
      <c r="DC753" s="1419"/>
      <c r="DD753" s="1419"/>
      <c r="DE753" s="1419">
        <f>SUM(DE718:DI752)</f>
        <v>55</v>
      </c>
      <c r="DF753" s="1419"/>
      <c r="DG753" s="1419"/>
      <c r="DH753" s="1419"/>
      <c r="DI753" s="1419"/>
      <c r="DJ753" s="1419">
        <f>SUM(DJ718:DN752)</f>
        <v>0</v>
      </c>
      <c r="DK753" s="1419"/>
      <c r="DL753" s="1419"/>
      <c r="DM753" s="1419"/>
      <c r="DN753" s="1419"/>
      <c r="DO753" s="1419">
        <f>SUM(DO718:DS752)</f>
        <v>0</v>
      </c>
      <c r="DP753" s="1419"/>
      <c r="DQ753" s="1419"/>
      <c r="DR753" s="1419"/>
      <c r="DS753" s="1419"/>
      <c r="DT753" s="257"/>
      <c r="DU753" s="1419">
        <f>SUM(DU718:DY752)</f>
        <v>0</v>
      </c>
      <c r="DV753" s="1419"/>
      <c r="DW753" s="1419"/>
      <c r="DX753" s="1419"/>
      <c r="DY753" s="1419"/>
      <c r="DZ753" s="1419">
        <f>SUM(DZ718:ED752)</f>
        <v>20</v>
      </c>
      <c r="EA753" s="1419"/>
      <c r="EB753" s="1419"/>
      <c r="EC753" s="1419"/>
      <c r="ED753" s="1419"/>
      <c r="EE753" s="1419">
        <f>SUM(EE718:EI752)</f>
        <v>7</v>
      </c>
      <c r="EF753" s="1419"/>
      <c r="EG753" s="1419"/>
      <c r="EH753" s="1419"/>
      <c r="EI753" s="1419"/>
      <c r="EJ753" s="1419">
        <f>SUM(EJ718:EN752)</f>
        <v>8</v>
      </c>
      <c r="EK753" s="1419"/>
      <c r="EL753" s="1419"/>
      <c r="EM753" s="1419"/>
      <c r="EN753" s="1419"/>
      <c r="EO753" s="1419">
        <f>SUM(EO718:ES752)</f>
        <v>0</v>
      </c>
      <c r="EP753" s="1419"/>
      <c r="EQ753" s="1419"/>
      <c r="ER753" s="1419"/>
      <c r="ES753" s="1419"/>
      <c r="ET753" s="1419">
        <f>SUM(ET718:EX752)</f>
        <v>0</v>
      </c>
      <c r="EU753" s="1419"/>
      <c r="EV753" s="1419"/>
      <c r="EW753" s="1419"/>
      <c r="EX753" s="1419"/>
      <c r="EY753"/>
      <c r="EZ753" s="1419">
        <f>SUM(EZ718:FD752)</f>
        <v>0</v>
      </c>
      <c r="FA753" s="1419"/>
      <c r="FB753" s="1419"/>
      <c r="FC753" s="1419"/>
      <c r="FD753" s="1419"/>
      <c r="FE753" s="1419">
        <f>SUM(FE718:FI752)</f>
        <v>6101</v>
      </c>
      <c r="FF753" s="1419"/>
      <c r="FG753" s="1419"/>
      <c r="FH753" s="1419"/>
      <c r="FI753" s="1419"/>
      <c r="FJ753" s="1419">
        <f>SUM(FJ718:FN752)</f>
        <v>7337</v>
      </c>
      <c r="FK753" s="1419"/>
      <c r="FL753" s="1419"/>
      <c r="FM753" s="1419"/>
      <c r="FN753" s="1419"/>
      <c r="FO753" s="1419">
        <f>SUM(FO718:FS752)</f>
        <v>8512</v>
      </c>
      <c r="FP753" s="1419"/>
      <c r="FQ753" s="1419"/>
      <c r="FR753" s="1419"/>
      <c r="FS753" s="1419"/>
      <c r="FT753" s="1419">
        <f>SUM(FT718:FX752)</f>
        <v>0</v>
      </c>
      <c r="FU753" s="1419"/>
      <c r="FV753" s="1419"/>
      <c r="FW753" s="1419"/>
      <c r="FX753" s="1419"/>
      <c r="FY753" s="1419">
        <f>SUM(FY718:GC752)</f>
        <v>0</v>
      </c>
      <c r="FZ753" s="1419"/>
      <c r="GA753" s="1419"/>
      <c r="GB753" s="1419"/>
      <c r="GC753" s="1419"/>
    </row>
    <row r="754" spans="1:185" s="3" customFormat="1" ht="13.15" customHeight="1">
      <c r="A754"/>
      <c r="B754" s="1566" t="s">
        <v>1481</v>
      </c>
      <c r="C754" s="1566"/>
      <c r="D754" s="1566"/>
      <c r="E754" s="1566"/>
      <c r="F754" s="1566"/>
      <c r="G754" s="1566"/>
      <c r="H754" s="1566"/>
      <c r="I754" s="1566"/>
      <c r="J754" s="1566"/>
      <c r="K754" s="1566"/>
      <c r="L754" s="1566"/>
      <c r="M754" s="1566"/>
      <c r="N754" s="1566"/>
      <c r="O754" s="1566"/>
      <c r="P754" s="1566"/>
      <c r="Q754" s="1566"/>
      <c r="R754" s="1566"/>
      <c r="S754" s="1566"/>
      <c r="T754" s="1566"/>
      <c r="U754" s="1566"/>
      <c r="V754" s="1566"/>
      <c r="W754" s="1566"/>
      <c r="X754" s="1566"/>
      <c r="Y754" s="1566"/>
      <c r="Z754" s="1566"/>
      <c r="AA754" s="1566"/>
      <c r="AB754" s="1566"/>
      <c r="AC754" s="1566"/>
      <c r="AD754" s="1566"/>
      <c r="AE754" s="1566"/>
      <c r="AF754" s="1566"/>
      <c r="AG754" s="1566"/>
      <c r="AH754" s="1566"/>
      <c r="AI754"/>
      <c r="AJ754"/>
      <c r="AK754"/>
      <c r="AT754"/>
      <c r="AU754"/>
      <c r="AV754"/>
      <c r="AW754"/>
      <c r="AX754"/>
      <c r="AY754"/>
      <c r="CD754"/>
      <c r="DN754" s="48" t="s">
        <v>1482</v>
      </c>
      <c r="DO754" s="1421">
        <f>CP753+CU753+CZ753+DE753+DJ753+DO753</f>
        <v>193</v>
      </c>
      <c r="DP754" s="1423"/>
      <c r="DQ754" s="1423"/>
      <c r="DR754" s="1423"/>
      <c r="DS754" s="1422"/>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15" customHeight="1">
      <c r="B755" s="1566"/>
      <c r="C755" s="1566"/>
      <c r="D755" s="1566"/>
      <c r="E755" s="1566"/>
      <c r="F755" s="1566"/>
      <c r="G755" s="1566"/>
      <c r="H755" s="1566"/>
      <c r="I755" s="1566"/>
      <c r="J755" s="1566"/>
      <c r="K755" s="1566"/>
      <c r="L755" s="1566"/>
      <c r="M755" s="1566"/>
      <c r="N755" s="1566"/>
      <c r="O755" s="1566"/>
      <c r="P755" s="1566"/>
      <c r="Q755" s="1566"/>
      <c r="R755" s="1566"/>
      <c r="S755" s="1566"/>
      <c r="T755" s="1566"/>
      <c r="U755" s="1566"/>
      <c r="V755" s="1566"/>
      <c r="W755" s="1566"/>
      <c r="X755" s="1566"/>
      <c r="Y755" s="1566"/>
      <c r="Z755" s="1566"/>
      <c r="AA755" s="1566"/>
      <c r="AB755" s="1566"/>
      <c r="AC755" s="1566"/>
      <c r="AD755" s="1566"/>
      <c r="AE755" s="1566"/>
      <c r="AF755" s="1566"/>
      <c r="AG755" s="1566"/>
      <c r="AH755" s="156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89</v>
      </c>
      <c r="CZ755" s="3"/>
      <c r="DA755" s="3"/>
      <c r="DB755" s="3"/>
      <c r="DC755" s="3"/>
      <c r="DD755" s="760">
        <f>CZ753*2</f>
        <v>98</v>
      </c>
      <c r="DE755" s="3"/>
      <c r="DF755" s="3"/>
      <c r="DG755" s="3"/>
      <c r="DH755" s="3"/>
      <c r="DI755" s="760">
        <f>DE753*3</f>
        <v>165</v>
      </c>
      <c r="DJ755" s="3"/>
      <c r="DK755" s="3"/>
      <c r="DL755" s="3"/>
      <c r="DM755" s="3"/>
      <c r="DN755" s="760">
        <f>DJ753*4</f>
        <v>0</v>
      </c>
      <c r="DO755" s="3"/>
      <c r="DP755" s="3"/>
      <c r="DQ755" s="3"/>
      <c r="DR755" s="3"/>
      <c r="DS755" s="760">
        <f>DO753*5</f>
        <v>0</v>
      </c>
      <c r="DU755" s="760">
        <f>CT755+CY755+DD755+DI755+DN755+DS755</f>
        <v>352</v>
      </c>
      <c r="DV755" s="49" t="s">
        <v>1483</v>
      </c>
      <c r="DW755" s="3"/>
      <c r="DX755" s="3"/>
      <c r="DY755" s="3"/>
      <c r="DZ755" s="3"/>
      <c r="EA755" s="3"/>
      <c r="EB755" s="3"/>
      <c r="EC755" s="3"/>
      <c r="ED755" s="3"/>
      <c r="EE755" s="3"/>
      <c r="EF755" s="3"/>
      <c r="EG755" s="3"/>
      <c r="EH755" s="3"/>
    </row>
    <row r="756" spans="1:185" ht="13.15" customHeight="1">
      <c r="A756" s="3"/>
      <c r="B756" s="3"/>
      <c r="C756" s="84" t="s">
        <v>1484</v>
      </c>
      <c r="D756" s="923"/>
      <c r="E756" s="923"/>
      <c r="F756" s="923"/>
      <c r="G756" s="924"/>
      <c r="H756" s="924"/>
      <c r="I756" s="924"/>
      <c r="J756" s="924"/>
      <c r="K756" s="923"/>
      <c r="L756" s="923"/>
      <c r="M756" s="923"/>
      <c r="N756" s="923"/>
      <c r="O756" s="1419">
        <f>DU755</f>
        <v>352</v>
      </c>
      <c r="P756" s="1419"/>
      <c r="Q756" s="1419"/>
      <c r="R756" s="1419"/>
      <c r="S756" s="863"/>
      <c r="T756" s="863"/>
      <c r="U756" s="84" t="s">
        <v>1485</v>
      </c>
      <c r="V756" s="923"/>
      <c r="W756" s="923"/>
      <c r="X756" s="923"/>
      <c r="Y756" s="924"/>
      <c r="Z756" s="924"/>
      <c r="AA756" s="924"/>
      <c r="AB756" s="924"/>
      <c r="AC756" s="923"/>
      <c r="AD756" s="923"/>
      <c r="AE756" s="923"/>
      <c r="AF756" s="923"/>
      <c r="AG756" s="1573"/>
      <c r="AH756" s="1573"/>
      <c r="AI756" s="1573"/>
      <c r="AJ756" s="1573"/>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15" customHeight="1">
      <c r="B757" s="49"/>
      <c r="C757" s="1347" t="str">
        <f>IF(G753&lt;&gt;AG440,"! Total Low-Income Units in the Unit Mix Table above does not match the number of Total Low-Income Units on row #"&amp;TEXT(ROW(D440),"#"),"")</f>
        <v/>
      </c>
      <c r="D757" s="1347"/>
      <c r="E757" s="1347"/>
      <c r="F757" s="1347"/>
      <c r="G757" s="1347"/>
      <c r="H757" s="1347"/>
      <c r="I757" s="1347"/>
      <c r="J757" s="1347"/>
      <c r="K757" s="1347"/>
      <c r="L757" s="1347"/>
      <c r="M757" s="1347"/>
      <c r="N757" s="1347"/>
      <c r="O757" s="1347"/>
      <c r="P757" s="1347"/>
      <c r="Q757" s="1347"/>
      <c r="R757" s="1347"/>
      <c r="S757" s="1347"/>
      <c r="T757" s="1347"/>
      <c r="U757" s="1347"/>
      <c r="V757" s="1347"/>
      <c r="W757" s="1347"/>
      <c r="X757" s="1347"/>
      <c r="Y757" s="1347"/>
      <c r="Z757" s="1347"/>
      <c r="AA757" s="1347"/>
      <c r="AB757" s="1347"/>
      <c r="AC757" s="1347"/>
      <c r="AD757" s="1347"/>
      <c r="AE757" s="1347"/>
      <c r="AF757" s="1347"/>
      <c r="AG757" s="1347"/>
      <c r="AH757" s="1347"/>
      <c r="AI757" s="1347"/>
      <c r="AJ757" s="1347"/>
      <c r="AK757" s="1347"/>
      <c r="AL757" s="1347"/>
      <c r="AM757" s="1347"/>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15" customHeight="1">
      <c r="B758" s="49"/>
      <c r="C758" s="1347"/>
      <c r="D758" s="1347"/>
      <c r="E758" s="1347"/>
      <c r="F758" s="1347"/>
      <c r="G758" s="1347"/>
      <c r="H758" s="1347"/>
      <c r="I758" s="1347"/>
      <c r="J758" s="1347"/>
      <c r="K758" s="1347"/>
      <c r="L758" s="1347"/>
      <c r="M758" s="1347"/>
      <c r="N758" s="1347"/>
      <c r="O758" s="1347"/>
      <c r="P758" s="1347"/>
      <c r="Q758" s="1347"/>
      <c r="R758" s="1347"/>
      <c r="S758" s="1347"/>
      <c r="T758" s="1347"/>
      <c r="U758" s="1347"/>
      <c r="V758" s="1347"/>
      <c r="W758" s="1347"/>
      <c r="X758" s="1347"/>
      <c r="Y758" s="1347"/>
      <c r="Z758" s="1347"/>
      <c r="AA758" s="1347"/>
      <c r="AB758" s="1347"/>
      <c r="AC758" s="1347"/>
      <c r="AD758" s="1347"/>
      <c r="AE758" s="1347"/>
      <c r="AF758" s="1347"/>
      <c r="AG758" s="1347"/>
      <c r="AH758" s="1347"/>
      <c r="AI758" s="1347"/>
      <c r="AJ758" s="1347"/>
      <c r="AK758" s="1347"/>
      <c r="AL758" s="1347"/>
      <c r="AM758" s="1347"/>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15" customHeight="1">
      <c r="B759" s="3"/>
      <c r="C759" s="84" t="s">
        <v>1486</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70" t="s">
        <v>807</v>
      </c>
      <c r="AE759" s="1570"/>
      <c r="AF759" s="1570"/>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15" customHeight="1">
      <c r="C760" s="926" t="s">
        <v>1487</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15" customHeight="1">
      <c r="A761" s="2" t="s">
        <v>909</v>
      </c>
      <c r="B761" s="48"/>
      <c r="C761" s="49" t="s">
        <v>1488</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15" customHeight="1">
      <c r="A762" s="3"/>
      <c r="B762" s="923"/>
      <c r="C762" s="84" t="s">
        <v>1489</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15" customHeight="1">
      <c r="A763" s="3"/>
      <c r="B763" s="923"/>
      <c r="C763" s="1229" t="s">
        <v>1490</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15"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15"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15" customHeight="1">
      <c r="A766" s="3"/>
      <c r="B766" s="923"/>
      <c r="C766" s="1229" t="s">
        <v>1491</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15"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15"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15" customHeight="1">
      <c r="J769" s="1324" t="s">
        <v>1457</v>
      </c>
      <c r="K769" s="1325"/>
      <c r="L769" s="1325"/>
      <c r="M769" s="1325"/>
      <c r="N769" s="1326"/>
      <c r="O769" s="1565" t="s">
        <v>1458</v>
      </c>
      <c r="P769" s="1565"/>
      <c r="Q769" s="1565"/>
      <c r="R769" s="1565"/>
      <c r="S769" s="1565"/>
      <c r="T769" s="1663" t="s">
        <v>1459</v>
      </c>
      <c r="U769" s="1664"/>
      <c r="V769" s="1664"/>
      <c r="W769" s="1665"/>
      <c r="X769" s="1324" t="s">
        <v>1460</v>
      </c>
      <c r="Y769" s="1325"/>
      <c r="Z769" s="1325"/>
      <c r="AA769" s="1325"/>
      <c r="AB769" s="1326"/>
      <c r="AC769" s="1324" t="s">
        <v>1492</v>
      </c>
      <c r="AD769" s="1325"/>
      <c r="AE769" s="1325"/>
      <c r="AF769" s="1325"/>
      <c r="AG769" s="1326"/>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15" customHeight="1">
      <c r="J770" s="1327"/>
      <c r="K770" s="1328"/>
      <c r="L770" s="1328"/>
      <c r="M770" s="1328"/>
      <c r="N770" s="1329"/>
      <c r="O770" s="1565"/>
      <c r="P770" s="1565"/>
      <c r="Q770" s="1565"/>
      <c r="R770" s="1565"/>
      <c r="S770" s="1565"/>
      <c r="T770" s="1666"/>
      <c r="U770" s="1667"/>
      <c r="V770" s="1667"/>
      <c r="W770" s="1668"/>
      <c r="X770" s="1327"/>
      <c r="Y770" s="1328"/>
      <c r="Z770" s="1328"/>
      <c r="AA770" s="1328"/>
      <c r="AB770" s="1329"/>
      <c r="AC770" s="1327"/>
      <c r="AD770" s="1328"/>
      <c r="AE770" s="1328"/>
      <c r="AF770" s="1328"/>
      <c r="AG770" s="1329"/>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15" customHeight="1">
      <c r="J771" s="1327"/>
      <c r="K771" s="1328"/>
      <c r="L771" s="1328"/>
      <c r="M771" s="1328"/>
      <c r="N771" s="1329"/>
      <c r="O771" s="1565"/>
      <c r="P771" s="1565"/>
      <c r="Q771" s="1565"/>
      <c r="R771" s="1565"/>
      <c r="S771" s="1565"/>
      <c r="T771" s="1666"/>
      <c r="U771" s="1667"/>
      <c r="V771" s="1667"/>
      <c r="W771" s="1668"/>
      <c r="X771" s="1327"/>
      <c r="Y771" s="1328"/>
      <c r="Z771" s="1328"/>
      <c r="AA771" s="1328"/>
      <c r="AB771" s="1329"/>
      <c r="AC771" s="1327"/>
      <c r="AD771" s="1328"/>
      <c r="AE771" s="1328"/>
      <c r="AF771" s="1328"/>
      <c r="AG771" s="1329"/>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15" customHeight="1">
      <c r="J772" s="1330"/>
      <c r="K772" s="1331"/>
      <c r="L772" s="1331"/>
      <c r="M772" s="1331"/>
      <c r="N772" s="1332"/>
      <c r="O772" s="1565"/>
      <c r="P772" s="1565"/>
      <c r="Q772" s="1565"/>
      <c r="R772" s="1565"/>
      <c r="S772" s="1565"/>
      <c r="T772" s="1669"/>
      <c r="U772" s="1670"/>
      <c r="V772" s="1670"/>
      <c r="W772" s="1671"/>
      <c r="X772" s="1330"/>
      <c r="Y772" s="1331"/>
      <c r="Z772" s="1331"/>
      <c r="AA772" s="1331"/>
      <c r="AB772" s="1332"/>
      <c r="AC772" s="1330"/>
      <c r="AD772" s="1331"/>
      <c r="AE772" s="1331"/>
      <c r="AF772" s="1331"/>
      <c r="AG772" s="1332"/>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1493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15" customHeight="1">
      <c r="J773" s="1299" t="s">
        <v>828</v>
      </c>
      <c r="K773" s="1300"/>
      <c r="L773" s="1300"/>
      <c r="M773" s="1300"/>
      <c r="N773" s="1301"/>
      <c r="O773" s="1559">
        <v>2</v>
      </c>
      <c r="P773" s="1559"/>
      <c r="Q773" s="1559"/>
      <c r="R773" s="1559"/>
      <c r="S773" s="1559"/>
      <c r="T773" s="1305">
        <v>607</v>
      </c>
      <c r="U773" s="1306"/>
      <c r="V773" s="1306"/>
      <c r="W773" s="1307"/>
      <c r="X773" s="1302">
        <v>0</v>
      </c>
      <c r="Y773" s="1303"/>
      <c r="Z773" s="1303"/>
      <c r="AA773" s="1303"/>
      <c r="AB773" s="1304"/>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6">
        <f>IF(J773="SRO/Studio",O773,0)</f>
        <v>0</v>
      </c>
      <c r="CQ773" s="1417"/>
      <c r="CR773" s="1417"/>
      <c r="CS773" s="1417"/>
      <c r="CT773" s="1418"/>
      <c r="CU773" s="1401">
        <f>IF(J773="1 Bedroom",O773,0)</f>
        <v>2</v>
      </c>
      <c r="CV773" s="1401"/>
      <c r="CW773" s="1401"/>
      <c r="CX773" s="1401"/>
      <c r="CY773" s="1401"/>
      <c r="CZ773" s="1401">
        <f>IF(J773="2 Bedrooms",O773,0)</f>
        <v>0</v>
      </c>
      <c r="DA773" s="1401"/>
      <c r="DB773" s="1401"/>
      <c r="DC773" s="1401"/>
      <c r="DD773" s="1401"/>
      <c r="DE773" s="1401">
        <f>IF(J773="3 Bedrooms",O773,0)</f>
        <v>0</v>
      </c>
      <c r="DF773" s="1401"/>
      <c r="DG773" s="1401"/>
      <c r="DH773" s="1401"/>
      <c r="DI773" s="1401"/>
      <c r="DJ773" s="1401">
        <f>IF(J773="4 Bedrooms",O773,0)</f>
        <v>0</v>
      </c>
      <c r="DK773" s="1401"/>
      <c r="DL773" s="1401"/>
      <c r="DM773" s="1401"/>
      <c r="DN773" s="1401"/>
      <c r="DO773" s="1401">
        <f>IF(J773="5 Bedrooms",O773,0)</f>
        <v>0</v>
      </c>
      <c r="DP773" s="1401"/>
      <c r="DQ773" s="1401"/>
      <c r="DR773" s="1401"/>
      <c r="DS773" s="1401"/>
      <c r="DT773" s="257"/>
      <c r="DU773" s="3"/>
      <c r="DV773" s="3"/>
    </row>
    <row r="774" spans="1:126" ht="13.15" customHeight="1">
      <c r="J774" s="1299"/>
      <c r="K774" s="1300"/>
      <c r="L774" s="1300"/>
      <c r="M774" s="1300"/>
      <c r="N774" s="1301"/>
      <c r="O774" s="1559"/>
      <c r="P774" s="1559"/>
      <c r="Q774" s="1559"/>
      <c r="R774" s="1559"/>
      <c r="S774" s="1559"/>
      <c r="T774" s="1305"/>
      <c r="U774" s="1306"/>
      <c r="V774" s="1306"/>
      <c r="W774" s="1307"/>
      <c r="X774" s="1302"/>
      <c r="Y774" s="1303"/>
      <c r="Z774" s="1303"/>
      <c r="AA774" s="1303"/>
      <c r="AB774" s="1304"/>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6">
        <f>IF(J774="SRO/Studio",O774,0)</f>
        <v>0</v>
      </c>
      <c r="CQ774" s="1417"/>
      <c r="CR774" s="1417"/>
      <c r="CS774" s="1417"/>
      <c r="CT774" s="1418"/>
      <c r="CU774" s="1401">
        <f>IF(J774="1 Bedroom",O774,0)</f>
        <v>0</v>
      </c>
      <c r="CV774" s="1401"/>
      <c r="CW774" s="1401"/>
      <c r="CX774" s="1401"/>
      <c r="CY774" s="1401"/>
      <c r="CZ774" s="1401">
        <f>IF(J774="2 Bedrooms",O774,0)</f>
        <v>0</v>
      </c>
      <c r="DA774" s="1401"/>
      <c r="DB774" s="1401"/>
      <c r="DC774" s="1401"/>
      <c r="DD774" s="1401"/>
      <c r="DE774" s="1401">
        <f>IF(J774="3 Bedrooms",O774,0)</f>
        <v>0</v>
      </c>
      <c r="DF774" s="1401"/>
      <c r="DG774" s="1401"/>
      <c r="DH774" s="1401"/>
      <c r="DI774" s="1401"/>
      <c r="DJ774" s="1401">
        <f>IF(J774="4 Bedrooms",O774,0)</f>
        <v>0</v>
      </c>
      <c r="DK774" s="1401"/>
      <c r="DL774" s="1401"/>
      <c r="DM774" s="1401"/>
      <c r="DN774" s="1401"/>
      <c r="DO774" s="1401">
        <f>IF(J774="5 Bedrooms",O774,0)</f>
        <v>0</v>
      </c>
      <c r="DP774" s="1401"/>
      <c r="DQ774" s="1401"/>
      <c r="DR774" s="1401"/>
      <c r="DS774" s="1401"/>
      <c r="DT774" s="257"/>
      <c r="DU774" s="3"/>
      <c r="DV774" s="3"/>
    </row>
    <row r="775" spans="1:126" ht="13.15" customHeight="1">
      <c r="J775" s="1299"/>
      <c r="K775" s="1300"/>
      <c r="L775" s="1300"/>
      <c r="M775" s="1300"/>
      <c r="N775" s="1301"/>
      <c r="O775" s="1559"/>
      <c r="P775" s="1559"/>
      <c r="Q775" s="1559"/>
      <c r="R775" s="1559"/>
      <c r="S775" s="1559"/>
      <c r="T775" s="1305"/>
      <c r="U775" s="1306"/>
      <c r="V775" s="1306"/>
      <c r="W775" s="1307"/>
      <c r="X775" s="1302"/>
      <c r="Y775" s="1303"/>
      <c r="Z775" s="1303"/>
      <c r="AA775" s="1303"/>
      <c r="AB775" s="1304"/>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6">
        <f>IF(J775="SRO/Studio",O775,0)</f>
        <v>0</v>
      </c>
      <c r="CQ775" s="1417"/>
      <c r="CR775" s="1417"/>
      <c r="CS775" s="1417"/>
      <c r="CT775" s="1418"/>
      <c r="CU775" s="1401">
        <f>IF(J775="1 Bedroom",O775,0)</f>
        <v>0</v>
      </c>
      <c r="CV775" s="1401"/>
      <c r="CW775" s="1401"/>
      <c r="CX775" s="1401"/>
      <c r="CY775" s="1401"/>
      <c r="CZ775" s="1401">
        <f>IF(J775="2 Bedrooms",O775,0)</f>
        <v>0</v>
      </c>
      <c r="DA775" s="1401"/>
      <c r="DB775" s="1401"/>
      <c r="DC775" s="1401"/>
      <c r="DD775" s="1401"/>
      <c r="DE775" s="1401">
        <f>IF(J775="3 Bedrooms",O775,0)</f>
        <v>0</v>
      </c>
      <c r="DF775" s="1401"/>
      <c r="DG775" s="1401"/>
      <c r="DH775" s="1401"/>
      <c r="DI775" s="1401"/>
      <c r="DJ775" s="1401">
        <f>IF(J775="4 Bedrooms",O775,0)</f>
        <v>0</v>
      </c>
      <c r="DK775" s="1401"/>
      <c r="DL775" s="1401"/>
      <c r="DM775" s="1401"/>
      <c r="DN775" s="1401"/>
      <c r="DO775" s="1401">
        <f>IF(J775="5 Bedrooms",O775,0)</f>
        <v>0</v>
      </c>
      <c r="DP775" s="1401"/>
      <c r="DQ775" s="1401"/>
      <c r="DR775" s="1401"/>
      <c r="DS775" s="1401"/>
      <c r="DT775" s="257"/>
    </row>
    <row r="776" spans="1:126" ht="13.15" customHeight="1">
      <c r="J776" s="1299"/>
      <c r="K776" s="1300"/>
      <c r="L776" s="1300"/>
      <c r="M776" s="1300"/>
      <c r="N776" s="1301"/>
      <c r="O776" s="1559"/>
      <c r="P776" s="1559"/>
      <c r="Q776" s="1559"/>
      <c r="R776" s="1559"/>
      <c r="S776" s="1559"/>
      <c r="T776" s="1305"/>
      <c r="U776" s="1306"/>
      <c r="V776" s="1306"/>
      <c r="W776" s="1307"/>
      <c r="X776" s="1302"/>
      <c r="Y776" s="1303"/>
      <c r="Z776" s="1303"/>
      <c r="AA776" s="1303"/>
      <c r="AB776" s="1304"/>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6">
        <f>IF(J776="SRO/Studio",O776,0)</f>
        <v>0</v>
      </c>
      <c r="CQ776" s="1417"/>
      <c r="CR776" s="1417"/>
      <c r="CS776" s="1417"/>
      <c r="CT776" s="1418"/>
      <c r="CU776" s="1401">
        <f>IF(J776="1 Bedroom",O776,0)</f>
        <v>0</v>
      </c>
      <c r="CV776" s="1401"/>
      <c r="CW776" s="1401"/>
      <c r="CX776" s="1401"/>
      <c r="CY776" s="1401"/>
      <c r="CZ776" s="1401">
        <f>IF(J776="2 Bedrooms",O776,0)</f>
        <v>0</v>
      </c>
      <c r="DA776" s="1401"/>
      <c r="DB776" s="1401"/>
      <c r="DC776" s="1401"/>
      <c r="DD776" s="1401"/>
      <c r="DE776" s="1401">
        <f>IF(J776="3 Bedrooms",O776,0)</f>
        <v>0</v>
      </c>
      <c r="DF776" s="1401"/>
      <c r="DG776" s="1401"/>
      <c r="DH776" s="1401"/>
      <c r="DI776" s="1401"/>
      <c r="DJ776" s="1401">
        <f>IF(J776="4 Bedrooms",O776,0)</f>
        <v>0</v>
      </c>
      <c r="DK776" s="1401"/>
      <c r="DL776" s="1401"/>
      <c r="DM776" s="1401"/>
      <c r="DN776" s="1401"/>
      <c r="DO776" s="1401">
        <f>IF(J776="5 Bedrooms",O776,0)</f>
        <v>0</v>
      </c>
      <c r="DP776" s="1401"/>
      <c r="DQ776" s="1401"/>
      <c r="DR776" s="1401"/>
      <c r="DS776" s="1401"/>
    </row>
    <row r="777" spans="1:126" ht="13.15" customHeight="1">
      <c r="J777" s="1407" t="s">
        <v>1477</v>
      </c>
      <c r="K777" s="1408"/>
      <c r="L777" s="1408"/>
      <c r="M777" s="1408"/>
      <c r="N777" s="1409"/>
      <c r="O777" s="1421">
        <f>SUM(O773:S776)</f>
        <v>2</v>
      </c>
      <c r="P777" s="1423"/>
      <c r="Q777" s="1423"/>
      <c r="R777" s="1423"/>
      <c r="S777" s="1422"/>
      <c r="X777" s="1407" t="s">
        <v>1478</v>
      </c>
      <c r="Y777" s="1408"/>
      <c r="Z777" s="1408"/>
      <c r="AA777" s="1408"/>
      <c r="AB777" s="1409"/>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1">
        <f>SUM(CP773:CT776)</f>
        <v>0</v>
      </c>
      <c r="CQ777" s="1423"/>
      <c r="CR777" s="1423"/>
      <c r="CS777" s="1423"/>
      <c r="CT777" s="1422"/>
      <c r="CU777" s="1421">
        <f>SUM(CU773:CY776)</f>
        <v>2</v>
      </c>
      <c r="CV777" s="1423"/>
      <c r="CW777" s="1423"/>
      <c r="CX777" s="1423"/>
      <c r="CY777" s="1422"/>
      <c r="CZ777" s="1421">
        <f>SUM(CZ773:DD776)</f>
        <v>0</v>
      </c>
      <c r="DA777" s="1423"/>
      <c r="DB777" s="1423"/>
      <c r="DC777" s="1423"/>
      <c r="DD777" s="1422"/>
      <c r="DE777" s="1421">
        <f>SUM(DE773:DI776)</f>
        <v>0</v>
      </c>
      <c r="DF777" s="1423"/>
      <c r="DG777" s="1423"/>
      <c r="DH777" s="1423"/>
      <c r="DI777" s="1422"/>
      <c r="DJ777" s="1421">
        <f>SUM(DJ773:DN776)</f>
        <v>0</v>
      </c>
      <c r="DK777" s="1423"/>
      <c r="DL777" s="1423"/>
      <c r="DM777" s="1423"/>
      <c r="DN777" s="1422"/>
      <c r="DO777" s="1421">
        <f>SUM(DO773:DS776)</f>
        <v>0</v>
      </c>
      <c r="DP777" s="1423"/>
      <c r="DQ777" s="1423"/>
      <c r="DR777" s="1423"/>
      <c r="DS777" s="1422"/>
      <c r="DU777" s="760">
        <f>CP777+CU777+CZ777+DE777+DJ777+DO777</f>
        <v>2</v>
      </c>
      <c r="DV777" s="49" t="s">
        <v>1494</v>
      </c>
    </row>
    <row r="778" spans="1:126" ht="13.1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2</v>
      </c>
      <c r="CZ778" s="3"/>
      <c r="DA778" s="3"/>
      <c r="DB778" s="3"/>
      <c r="DC778" s="3"/>
      <c r="DD778" s="760">
        <f>CZ777*2</f>
        <v>0</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2</v>
      </c>
      <c r="DV778" s="49" t="s">
        <v>1495</v>
      </c>
    </row>
    <row r="779" spans="1:126" ht="13.15" customHeight="1">
      <c r="B779" s="48"/>
      <c r="C779" s="48"/>
      <c r="D779" s="48"/>
      <c r="E779" s="48"/>
      <c r="F779" s="48"/>
      <c r="G779" s="257"/>
      <c r="H779" s="257"/>
      <c r="I779" s="257"/>
      <c r="J779" s="1607" t="s">
        <v>692</v>
      </c>
      <c r="K779" s="1607"/>
      <c r="L779" s="48"/>
      <c r="M779" s="84" t="s">
        <v>1496</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15" customHeight="1">
      <c r="B780" s="48"/>
      <c r="C780" s="48"/>
      <c r="D780" s="48"/>
      <c r="E780" s="48"/>
      <c r="F780" s="48"/>
      <c r="G780" s="257"/>
      <c r="H780" s="257"/>
      <c r="I780" s="257"/>
      <c r="J780" s="257"/>
      <c r="K780" s="257"/>
      <c r="L780" s="48"/>
      <c r="M780" s="84" t="s">
        <v>1497</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15" customHeight="1">
      <c r="A781" s="2" t="s">
        <v>987</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1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15" customHeight="1">
      <c r="J783" s="1324" t="s">
        <v>1457</v>
      </c>
      <c r="K783" s="1325"/>
      <c r="L783" s="1325"/>
      <c r="M783" s="1325"/>
      <c r="N783" s="1326"/>
      <c r="O783" s="1565" t="s">
        <v>1458</v>
      </c>
      <c r="P783" s="1565"/>
      <c r="Q783" s="1565"/>
      <c r="R783" s="1565"/>
      <c r="S783" s="1565"/>
      <c r="T783" s="1663" t="s">
        <v>1459</v>
      </c>
      <c r="U783" s="1664"/>
      <c r="V783" s="1664"/>
      <c r="W783" s="1665"/>
      <c r="X783" s="1324" t="s">
        <v>1460</v>
      </c>
      <c r="Y783" s="1325"/>
      <c r="Z783" s="1325"/>
      <c r="AA783" s="1325"/>
      <c r="AB783" s="1326"/>
      <c r="AC783" s="1324" t="s">
        <v>1492</v>
      </c>
      <c r="AD783" s="1325"/>
      <c r="AE783" s="1325"/>
      <c r="AF783" s="1325"/>
      <c r="AG783" s="132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15" customHeight="1">
      <c r="J784" s="1327"/>
      <c r="K784" s="1328"/>
      <c r="L784" s="1328"/>
      <c r="M784" s="1328"/>
      <c r="N784" s="1329"/>
      <c r="O784" s="1565"/>
      <c r="P784" s="1565"/>
      <c r="Q784" s="1565"/>
      <c r="R784" s="1565"/>
      <c r="S784" s="1565"/>
      <c r="T784" s="1666"/>
      <c r="U784" s="1667"/>
      <c r="V784" s="1667"/>
      <c r="W784" s="1668"/>
      <c r="X784" s="1327"/>
      <c r="Y784" s="1328"/>
      <c r="Z784" s="1328"/>
      <c r="AA784" s="1328"/>
      <c r="AB784" s="1329"/>
      <c r="AC784" s="1327"/>
      <c r="AD784" s="1328"/>
      <c r="AE784" s="1328"/>
      <c r="AF784" s="1328"/>
      <c r="AG784" s="132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15" customHeight="1">
      <c r="J785" s="1327"/>
      <c r="K785" s="1328"/>
      <c r="L785" s="1328"/>
      <c r="M785" s="1328"/>
      <c r="N785" s="1329"/>
      <c r="O785" s="1565"/>
      <c r="P785" s="1565"/>
      <c r="Q785" s="1565"/>
      <c r="R785" s="1565"/>
      <c r="S785" s="1565"/>
      <c r="T785" s="1666"/>
      <c r="U785" s="1667"/>
      <c r="V785" s="1667"/>
      <c r="W785" s="1668"/>
      <c r="X785" s="1327"/>
      <c r="Y785" s="1328"/>
      <c r="Z785" s="1328"/>
      <c r="AA785" s="1328"/>
      <c r="AB785" s="1329"/>
      <c r="AC785" s="1327"/>
      <c r="AD785" s="1328"/>
      <c r="AE785" s="1328"/>
      <c r="AF785" s="1328"/>
      <c r="AG785" s="132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15" customHeight="1">
      <c r="J786" s="1330"/>
      <c r="K786" s="1331"/>
      <c r="L786" s="1331"/>
      <c r="M786" s="1331"/>
      <c r="N786" s="1332"/>
      <c r="O786" s="1565"/>
      <c r="P786" s="1565"/>
      <c r="Q786" s="1565"/>
      <c r="R786" s="1565"/>
      <c r="S786" s="1565"/>
      <c r="T786" s="1669"/>
      <c r="U786" s="1670"/>
      <c r="V786" s="1670"/>
      <c r="W786" s="1671"/>
      <c r="X786" s="1330"/>
      <c r="Y786" s="1331"/>
      <c r="Z786" s="1331"/>
      <c r="AA786" s="1331"/>
      <c r="AB786" s="1332"/>
      <c r="AC786" s="1330"/>
      <c r="AD786" s="1331"/>
      <c r="AE786" s="1331"/>
      <c r="AF786" s="1331"/>
      <c r="AG786" s="133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1498</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1499</v>
      </c>
      <c r="DV786" s="3"/>
      <c r="DW786" s="3"/>
      <c r="DX786" s="3"/>
      <c r="DY786" s="3"/>
      <c r="DZ786" s="3"/>
      <c r="EA786" s="3"/>
      <c r="EB786" s="3"/>
      <c r="EC786" s="3"/>
      <c r="ED786" s="3"/>
      <c r="EE786" s="3"/>
      <c r="EF786" s="3"/>
      <c r="EG786" s="3"/>
      <c r="EH786" s="3"/>
    </row>
    <row r="787" spans="1:154" ht="13.15" customHeight="1">
      <c r="J787" s="1299"/>
      <c r="K787" s="1300"/>
      <c r="L787" s="1300"/>
      <c r="M787" s="1300"/>
      <c r="N787" s="1301"/>
      <c r="O787" s="1559"/>
      <c r="P787" s="1559"/>
      <c r="Q787" s="1559"/>
      <c r="R787" s="1559"/>
      <c r="S787" s="1559"/>
      <c r="T787" s="1305"/>
      <c r="U787" s="1306"/>
      <c r="V787" s="1306"/>
      <c r="W787" s="1307"/>
      <c r="X787" s="1302"/>
      <c r="Y787" s="1303"/>
      <c r="Z787" s="1303"/>
      <c r="AA787" s="1303"/>
      <c r="AB787" s="1304"/>
      <c r="AC787" s="1314">
        <f t="shared" ref="AC787:AC796" si="40">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6">
        <f t="shared" ref="CP787:CP796" si="41">IF(J787="SRO/Studio",O787,0)</f>
        <v>0</v>
      </c>
      <c r="CQ787" s="1417"/>
      <c r="CR787" s="1417"/>
      <c r="CS787" s="1417"/>
      <c r="CT787" s="1418"/>
      <c r="CU787" s="1416">
        <f t="shared" ref="CU787:CU796" si="42">IF(J787="1 Bedroom",O787,0)</f>
        <v>0</v>
      </c>
      <c r="CV787" s="1417"/>
      <c r="CW787" s="1417"/>
      <c r="CX787" s="1417"/>
      <c r="CY787" s="1418"/>
      <c r="CZ787" s="1416">
        <f t="shared" ref="CZ787:CZ796" si="43">IF(J787="2 Bedrooms",O787,0)</f>
        <v>0</v>
      </c>
      <c r="DA787" s="1417"/>
      <c r="DB787" s="1417"/>
      <c r="DC787" s="1417"/>
      <c r="DD787" s="1418"/>
      <c r="DE787" s="1416">
        <f t="shared" ref="DE787:DE796" si="44">IF(J787="3 Bedrooms",O787,0)</f>
        <v>0</v>
      </c>
      <c r="DF787" s="1417"/>
      <c r="DG787" s="1417"/>
      <c r="DH787" s="1417"/>
      <c r="DI787" s="1418"/>
      <c r="DJ787" s="1416">
        <f t="shared" ref="DJ787:DJ796" si="45">IF(J787="4 Bedrooms",O787,0)</f>
        <v>0</v>
      </c>
      <c r="DK787" s="1417"/>
      <c r="DL787" s="1417"/>
      <c r="DM787" s="1417"/>
      <c r="DN787" s="1418"/>
      <c r="DO787" s="1416">
        <f t="shared" ref="DO787:DO796" si="46">IF(J787="5 Bedrooms",O787,0)</f>
        <v>0</v>
      </c>
      <c r="DP787" s="1417"/>
      <c r="DQ787" s="1417"/>
      <c r="DR787" s="1417"/>
      <c r="DS787" s="1418"/>
      <c r="DT787" s="257"/>
      <c r="DU787" s="1416">
        <f t="shared" ref="DU787:DU796" si="47">IF(AND(CP787&gt;=1,AH787&gt;=0.1,AH787&lt;=1),O787,0)</f>
        <v>0</v>
      </c>
      <c r="DV787" s="1417"/>
      <c r="DW787" s="1417"/>
      <c r="DX787" s="1417"/>
      <c r="DY787" s="1418"/>
      <c r="DZ787" s="1416">
        <f t="shared" ref="DZ787:DZ796" si="48">IF(AND(CU787&gt;=1,AH787&gt;=0.1,AH787&lt;=1),O787,0)</f>
        <v>0</v>
      </c>
      <c r="EA787" s="1417"/>
      <c r="EB787" s="1417"/>
      <c r="EC787" s="1417"/>
      <c r="ED787" s="1418"/>
      <c r="EE787" s="1416">
        <f t="shared" ref="EE787:EE796" si="49">IF(AND(CZ787&gt;=1,AH787&gt;=0.1,AH787&lt;=1),O787,0)</f>
        <v>0</v>
      </c>
      <c r="EF787" s="1417"/>
      <c r="EG787" s="1417"/>
      <c r="EH787" s="1417"/>
      <c r="EI787" s="1418"/>
      <c r="EJ787" s="1416">
        <f t="shared" ref="EJ787:EJ796" si="50">IF(AND(DE787&gt;=1,AH787&gt;=0.1,AH787&lt;=1),O787,0)</f>
        <v>0</v>
      </c>
      <c r="EK787" s="1417"/>
      <c r="EL787" s="1417"/>
      <c r="EM787" s="1417"/>
      <c r="EN787" s="1418"/>
      <c r="EO787" s="1416">
        <f t="shared" ref="EO787:EO796" si="51">IF(AND(DJ787&gt;=1,AH787&gt;=0.1,AH787&lt;=1),O787,0)</f>
        <v>0</v>
      </c>
      <c r="EP787" s="1417"/>
      <c r="EQ787" s="1417"/>
      <c r="ER787" s="1417"/>
      <c r="ES787" s="1418"/>
      <c r="ET787" s="1416">
        <f t="shared" ref="ET787:ET796" si="52">IF(AND(DO787&gt;=1,AH787&gt;=0.1,AH787&lt;=1),O787,0)</f>
        <v>0</v>
      </c>
      <c r="EU787" s="1417"/>
      <c r="EV787" s="1417"/>
      <c r="EW787" s="1417"/>
      <c r="EX787" s="1418"/>
    </row>
    <row r="788" spans="1:154" s="13" customFormat="1" ht="13.15" customHeight="1">
      <c r="A788"/>
      <c r="B788"/>
      <c r="C788"/>
      <c r="D788"/>
      <c r="E788"/>
      <c r="F788"/>
      <c r="G788"/>
      <c r="H788"/>
      <c r="I788"/>
      <c r="J788" s="1299"/>
      <c r="K788" s="1300"/>
      <c r="L788" s="1300"/>
      <c r="M788" s="1300"/>
      <c r="N788" s="1301"/>
      <c r="O788" s="1559"/>
      <c r="P788" s="1559"/>
      <c r="Q788" s="1559"/>
      <c r="R788" s="1559"/>
      <c r="S788" s="1559"/>
      <c r="T788" s="1305"/>
      <c r="U788" s="1306"/>
      <c r="V788" s="1306"/>
      <c r="W788" s="1307"/>
      <c r="X788" s="1302"/>
      <c r="Y788" s="1303"/>
      <c r="Z788" s="1303"/>
      <c r="AA788" s="1303"/>
      <c r="AB788" s="1304"/>
      <c r="AC788" s="1314">
        <f t="shared" si="40"/>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6">
        <f t="shared" si="41"/>
        <v>0</v>
      </c>
      <c r="CQ788" s="1417"/>
      <c r="CR788" s="1417"/>
      <c r="CS788" s="1417"/>
      <c r="CT788" s="1418"/>
      <c r="CU788" s="1416">
        <f t="shared" si="42"/>
        <v>0</v>
      </c>
      <c r="CV788" s="1417"/>
      <c r="CW788" s="1417"/>
      <c r="CX788" s="1417"/>
      <c r="CY788" s="1418"/>
      <c r="CZ788" s="1416">
        <f t="shared" si="43"/>
        <v>0</v>
      </c>
      <c r="DA788" s="1417"/>
      <c r="DB788" s="1417"/>
      <c r="DC788" s="1417"/>
      <c r="DD788" s="1418"/>
      <c r="DE788" s="1416">
        <f t="shared" si="44"/>
        <v>0</v>
      </c>
      <c r="DF788" s="1417"/>
      <c r="DG788" s="1417"/>
      <c r="DH788" s="1417"/>
      <c r="DI788" s="1418"/>
      <c r="DJ788" s="1416">
        <f t="shared" si="45"/>
        <v>0</v>
      </c>
      <c r="DK788" s="1417"/>
      <c r="DL788" s="1417"/>
      <c r="DM788" s="1417"/>
      <c r="DN788" s="1418"/>
      <c r="DO788" s="1416">
        <f t="shared" si="46"/>
        <v>0</v>
      </c>
      <c r="DP788" s="1417"/>
      <c r="DQ788" s="1417"/>
      <c r="DR788" s="1417"/>
      <c r="DS788" s="1418"/>
      <c r="DT788" s="257"/>
      <c r="DU788" s="1416">
        <f t="shared" si="47"/>
        <v>0</v>
      </c>
      <c r="DV788" s="1417"/>
      <c r="DW788" s="1417"/>
      <c r="DX788" s="1417"/>
      <c r="DY788" s="1418"/>
      <c r="DZ788" s="1416">
        <f t="shared" si="48"/>
        <v>0</v>
      </c>
      <c r="EA788" s="1417"/>
      <c r="EB788" s="1417"/>
      <c r="EC788" s="1417"/>
      <c r="ED788" s="1418"/>
      <c r="EE788" s="1416">
        <f t="shared" si="49"/>
        <v>0</v>
      </c>
      <c r="EF788" s="1417"/>
      <c r="EG788" s="1417"/>
      <c r="EH788" s="1417"/>
      <c r="EI788" s="1418"/>
      <c r="EJ788" s="1416">
        <f t="shared" si="50"/>
        <v>0</v>
      </c>
      <c r="EK788" s="1417"/>
      <c r="EL788" s="1417"/>
      <c r="EM788" s="1417"/>
      <c r="EN788" s="1418"/>
      <c r="EO788" s="1416">
        <f t="shared" si="51"/>
        <v>0</v>
      </c>
      <c r="EP788" s="1417"/>
      <c r="EQ788" s="1417"/>
      <c r="ER788" s="1417"/>
      <c r="ES788" s="1418"/>
      <c r="ET788" s="1416">
        <f t="shared" si="52"/>
        <v>0</v>
      </c>
      <c r="EU788" s="1417"/>
      <c r="EV788" s="1417"/>
      <c r="EW788" s="1417"/>
      <c r="EX788" s="1418"/>
    </row>
    <row r="789" spans="1:154" s="13" customFormat="1" ht="13.15" customHeight="1">
      <c r="A789"/>
      <c r="B789"/>
      <c r="C789"/>
      <c r="D789"/>
      <c r="E789"/>
      <c r="F789"/>
      <c r="G789"/>
      <c r="H789"/>
      <c r="I789"/>
      <c r="J789" s="1299"/>
      <c r="K789" s="1300"/>
      <c r="L789" s="1300"/>
      <c r="M789" s="1300"/>
      <c r="N789" s="1301"/>
      <c r="O789" s="1559"/>
      <c r="P789" s="1559"/>
      <c r="Q789" s="1559"/>
      <c r="R789" s="1559"/>
      <c r="S789" s="1559"/>
      <c r="T789" s="1305"/>
      <c r="U789" s="1306"/>
      <c r="V789" s="1306"/>
      <c r="W789" s="1307"/>
      <c r="X789" s="1302"/>
      <c r="Y789" s="1303"/>
      <c r="Z789" s="1303"/>
      <c r="AA789" s="1303"/>
      <c r="AB789" s="1304"/>
      <c r="AC789" s="1314">
        <f t="shared" si="40"/>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6">
        <f t="shared" si="41"/>
        <v>0</v>
      </c>
      <c r="CQ789" s="1417"/>
      <c r="CR789" s="1417"/>
      <c r="CS789" s="1417"/>
      <c r="CT789" s="1418"/>
      <c r="CU789" s="1416">
        <f t="shared" si="42"/>
        <v>0</v>
      </c>
      <c r="CV789" s="1417"/>
      <c r="CW789" s="1417"/>
      <c r="CX789" s="1417"/>
      <c r="CY789" s="1418"/>
      <c r="CZ789" s="1416">
        <f t="shared" si="43"/>
        <v>0</v>
      </c>
      <c r="DA789" s="1417"/>
      <c r="DB789" s="1417"/>
      <c r="DC789" s="1417"/>
      <c r="DD789" s="1418"/>
      <c r="DE789" s="1416">
        <f t="shared" si="44"/>
        <v>0</v>
      </c>
      <c r="DF789" s="1417"/>
      <c r="DG789" s="1417"/>
      <c r="DH789" s="1417"/>
      <c r="DI789" s="1418"/>
      <c r="DJ789" s="1416">
        <f t="shared" si="45"/>
        <v>0</v>
      </c>
      <c r="DK789" s="1417"/>
      <c r="DL789" s="1417"/>
      <c r="DM789" s="1417"/>
      <c r="DN789" s="1418"/>
      <c r="DO789" s="1416">
        <f t="shared" si="46"/>
        <v>0</v>
      </c>
      <c r="DP789" s="1417"/>
      <c r="DQ789" s="1417"/>
      <c r="DR789" s="1417"/>
      <c r="DS789" s="1418"/>
      <c r="DT789" s="257"/>
      <c r="DU789" s="1416">
        <f t="shared" si="47"/>
        <v>0</v>
      </c>
      <c r="DV789" s="1417"/>
      <c r="DW789" s="1417"/>
      <c r="DX789" s="1417"/>
      <c r="DY789" s="1418"/>
      <c r="DZ789" s="1416">
        <f t="shared" si="48"/>
        <v>0</v>
      </c>
      <c r="EA789" s="1417"/>
      <c r="EB789" s="1417"/>
      <c r="EC789" s="1417"/>
      <c r="ED789" s="1418"/>
      <c r="EE789" s="1416">
        <f t="shared" si="49"/>
        <v>0</v>
      </c>
      <c r="EF789" s="1417"/>
      <c r="EG789" s="1417"/>
      <c r="EH789" s="1417"/>
      <c r="EI789" s="1418"/>
      <c r="EJ789" s="1416">
        <f t="shared" si="50"/>
        <v>0</v>
      </c>
      <c r="EK789" s="1417"/>
      <c r="EL789" s="1417"/>
      <c r="EM789" s="1417"/>
      <c r="EN789" s="1418"/>
      <c r="EO789" s="1416">
        <f t="shared" si="51"/>
        <v>0</v>
      </c>
      <c r="EP789" s="1417"/>
      <c r="EQ789" s="1417"/>
      <c r="ER789" s="1417"/>
      <c r="ES789" s="1418"/>
      <c r="ET789" s="1416">
        <f t="shared" si="52"/>
        <v>0</v>
      </c>
      <c r="EU789" s="1417"/>
      <c r="EV789" s="1417"/>
      <c r="EW789" s="1417"/>
      <c r="EX789" s="1418"/>
    </row>
    <row r="790" spans="1:154" s="13" customFormat="1" ht="13.15" customHeight="1">
      <c r="A790"/>
      <c r="B790"/>
      <c r="C790"/>
      <c r="D790"/>
      <c r="E790"/>
      <c r="F790"/>
      <c r="G790"/>
      <c r="H790"/>
      <c r="I790"/>
      <c r="J790" s="1299"/>
      <c r="K790" s="1300"/>
      <c r="L790" s="1300"/>
      <c r="M790" s="1300"/>
      <c r="N790" s="1301"/>
      <c r="O790" s="1559"/>
      <c r="P790" s="1559"/>
      <c r="Q790" s="1559"/>
      <c r="R790" s="1559"/>
      <c r="S790" s="1559"/>
      <c r="T790" s="1305"/>
      <c r="U790" s="1306"/>
      <c r="V790" s="1306"/>
      <c r="W790" s="1307"/>
      <c r="X790" s="1302"/>
      <c r="Y790" s="1303"/>
      <c r="Z790" s="1303"/>
      <c r="AA790" s="1303"/>
      <c r="AB790" s="1304"/>
      <c r="AC790" s="1314">
        <f t="shared" si="40"/>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6">
        <f t="shared" si="41"/>
        <v>0</v>
      </c>
      <c r="CQ790" s="1417"/>
      <c r="CR790" s="1417"/>
      <c r="CS790" s="1417"/>
      <c r="CT790" s="1418"/>
      <c r="CU790" s="1416">
        <f t="shared" si="42"/>
        <v>0</v>
      </c>
      <c r="CV790" s="1417"/>
      <c r="CW790" s="1417"/>
      <c r="CX790" s="1417"/>
      <c r="CY790" s="1418"/>
      <c r="CZ790" s="1416">
        <f t="shared" si="43"/>
        <v>0</v>
      </c>
      <c r="DA790" s="1417"/>
      <c r="DB790" s="1417"/>
      <c r="DC790" s="1417"/>
      <c r="DD790" s="1418"/>
      <c r="DE790" s="1416">
        <f t="shared" si="44"/>
        <v>0</v>
      </c>
      <c r="DF790" s="1417"/>
      <c r="DG790" s="1417"/>
      <c r="DH790" s="1417"/>
      <c r="DI790" s="1418"/>
      <c r="DJ790" s="1416">
        <f t="shared" si="45"/>
        <v>0</v>
      </c>
      <c r="DK790" s="1417"/>
      <c r="DL790" s="1417"/>
      <c r="DM790" s="1417"/>
      <c r="DN790" s="1418"/>
      <c r="DO790" s="1416">
        <f t="shared" si="46"/>
        <v>0</v>
      </c>
      <c r="DP790" s="1417"/>
      <c r="DQ790" s="1417"/>
      <c r="DR790" s="1417"/>
      <c r="DS790" s="1418"/>
      <c r="DT790" s="257"/>
      <c r="DU790" s="1416">
        <f t="shared" si="47"/>
        <v>0</v>
      </c>
      <c r="DV790" s="1417"/>
      <c r="DW790" s="1417"/>
      <c r="DX790" s="1417"/>
      <c r="DY790" s="1418"/>
      <c r="DZ790" s="1416">
        <f t="shared" si="48"/>
        <v>0</v>
      </c>
      <c r="EA790" s="1417"/>
      <c r="EB790" s="1417"/>
      <c r="EC790" s="1417"/>
      <c r="ED790" s="1418"/>
      <c r="EE790" s="1416">
        <f t="shared" si="49"/>
        <v>0</v>
      </c>
      <c r="EF790" s="1417"/>
      <c r="EG790" s="1417"/>
      <c r="EH790" s="1417"/>
      <c r="EI790" s="1418"/>
      <c r="EJ790" s="1416">
        <f t="shared" si="50"/>
        <v>0</v>
      </c>
      <c r="EK790" s="1417"/>
      <c r="EL790" s="1417"/>
      <c r="EM790" s="1417"/>
      <c r="EN790" s="1418"/>
      <c r="EO790" s="1416">
        <f t="shared" si="51"/>
        <v>0</v>
      </c>
      <c r="EP790" s="1417"/>
      <c r="EQ790" s="1417"/>
      <c r="ER790" s="1417"/>
      <c r="ES790" s="1418"/>
      <c r="ET790" s="1416">
        <f t="shared" si="52"/>
        <v>0</v>
      </c>
      <c r="EU790" s="1417"/>
      <c r="EV790" s="1417"/>
      <c r="EW790" s="1417"/>
      <c r="EX790" s="1418"/>
    </row>
    <row r="791" spans="1:154" s="13" customFormat="1" ht="13.15" customHeight="1">
      <c r="A791"/>
      <c r="B791"/>
      <c r="C791"/>
      <c r="D791"/>
      <c r="E791"/>
      <c r="F791"/>
      <c r="G791"/>
      <c r="H791"/>
      <c r="I791"/>
      <c r="J791" s="1299"/>
      <c r="K791" s="1300"/>
      <c r="L791" s="1300"/>
      <c r="M791" s="1300"/>
      <c r="N791" s="1301"/>
      <c r="O791" s="1559"/>
      <c r="P791" s="1559"/>
      <c r="Q791" s="1559"/>
      <c r="R791" s="1559"/>
      <c r="S791" s="1559"/>
      <c r="T791" s="1305"/>
      <c r="U791" s="1306"/>
      <c r="V791" s="1306"/>
      <c r="W791" s="1307"/>
      <c r="X791" s="1302"/>
      <c r="Y791" s="1303"/>
      <c r="Z791" s="1303"/>
      <c r="AA791" s="1303"/>
      <c r="AB791" s="1304"/>
      <c r="AC791" s="1314">
        <f t="shared" si="40"/>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6">
        <f t="shared" si="41"/>
        <v>0</v>
      </c>
      <c r="CQ791" s="1417"/>
      <c r="CR791" s="1417"/>
      <c r="CS791" s="1417"/>
      <c r="CT791" s="1418"/>
      <c r="CU791" s="1416">
        <f t="shared" si="42"/>
        <v>0</v>
      </c>
      <c r="CV791" s="1417"/>
      <c r="CW791" s="1417"/>
      <c r="CX791" s="1417"/>
      <c r="CY791" s="1418"/>
      <c r="CZ791" s="1416">
        <f t="shared" si="43"/>
        <v>0</v>
      </c>
      <c r="DA791" s="1417"/>
      <c r="DB791" s="1417"/>
      <c r="DC791" s="1417"/>
      <c r="DD791" s="1418"/>
      <c r="DE791" s="1416">
        <f t="shared" si="44"/>
        <v>0</v>
      </c>
      <c r="DF791" s="1417"/>
      <c r="DG791" s="1417"/>
      <c r="DH791" s="1417"/>
      <c r="DI791" s="1418"/>
      <c r="DJ791" s="1416">
        <f t="shared" si="45"/>
        <v>0</v>
      </c>
      <c r="DK791" s="1417"/>
      <c r="DL791" s="1417"/>
      <c r="DM791" s="1417"/>
      <c r="DN791" s="1418"/>
      <c r="DO791" s="1416">
        <f t="shared" si="46"/>
        <v>0</v>
      </c>
      <c r="DP791" s="1417"/>
      <c r="DQ791" s="1417"/>
      <c r="DR791" s="1417"/>
      <c r="DS791" s="1418"/>
      <c r="DT791" s="257"/>
      <c r="DU791" s="1416">
        <f t="shared" si="47"/>
        <v>0</v>
      </c>
      <c r="DV791" s="1417"/>
      <c r="DW791" s="1417"/>
      <c r="DX791" s="1417"/>
      <c r="DY791" s="1418"/>
      <c r="DZ791" s="1416">
        <f t="shared" si="48"/>
        <v>0</v>
      </c>
      <c r="EA791" s="1417"/>
      <c r="EB791" s="1417"/>
      <c r="EC791" s="1417"/>
      <c r="ED791" s="1418"/>
      <c r="EE791" s="1416">
        <f t="shared" si="49"/>
        <v>0</v>
      </c>
      <c r="EF791" s="1417"/>
      <c r="EG791" s="1417"/>
      <c r="EH791" s="1417"/>
      <c r="EI791" s="1418"/>
      <c r="EJ791" s="1416">
        <f t="shared" si="50"/>
        <v>0</v>
      </c>
      <c r="EK791" s="1417"/>
      <c r="EL791" s="1417"/>
      <c r="EM791" s="1417"/>
      <c r="EN791" s="1418"/>
      <c r="EO791" s="1416">
        <f t="shared" si="51"/>
        <v>0</v>
      </c>
      <c r="EP791" s="1417"/>
      <c r="EQ791" s="1417"/>
      <c r="ER791" s="1417"/>
      <c r="ES791" s="1418"/>
      <c r="ET791" s="1416">
        <f t="shared" si="52"/>
        <v>0</v>
      </c>
      <c r="EU791" s="1417"/>
      <c r="EV791" s="1417"/>
      <c r="EW791" s="1417"/>
      <c r="EX791" s="1418"/>
    </row>
    <row r="792" spans="1:154" s="13" customFormat="1" ht="13.15" customHeight="1">
      <c r="A792"/>
      <c r="B792"/>
      <c r="C792"/>
      <c r="D792"/>
      <c r="E792"/>
      <c r="F792"/>
      <c r="G792"/>
      <c r="H792"/>
      <c r="I792"/>
      <c r="J792" s="1299"/>
      <c r="K792" s="1300"/>
      <c r="L792" s="1300"/>
      <c r="M792" s="1300"/>
      <c r="N792" s="1301"/>
      <c r="O792" s="1559"/>
      <c r="P792" s="1559"/>
      <c r="Q792" s="1559"/>
      <c r="R792" s="1559"/>
      <c r="S792" s="1559"/>
      <c r="T792" s="1305"/>
      <c r="U792" s="1306"/>
      <c r="V792" s="1306"/>
      <c r="W792" s="1307"/>
      <c r="X792" s="1302"/>
      <c r="Y792" s="1303"/>
      <c r="Z792" s="1303"/>
      <c r="AA792" s="1303"/>
      <c r="AB792" s="1304"/>
      <c r="AC792" s="1314">
        <f t="shared" si="40"/>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6">
        <f t="shared" si="41"/>
        <v>0</v>
      </c>
      <c r="CQ792" s="1417"/>
      <c r="CR792" s="1417"/>
      <c r="CS792" s="1417"/>
      <c r="CT792" s="1418"/>
      <c r="CU792" s="1416">
        <f t="shared" si="42"/>
        <v>0</v>
      </c>
      <c r="CV792" s="1417"/>
      <c r="CW792" s="1417"/>
      <c r="CX792" s="1417"/>
      <c r="CY792" s="1418"/>
      <c r="CZ792" s="1416">
        <f t="shared" si="43"/>
        <v>0</v>
      </c>
      <c r="DA792" s="1417"/>
      <c r="DB792" s="1417"/>
      <c r="DC792" s="1417"/>
      <c r="DD792" s="1418"/>
      <c r="DE792" s="1416">
        <f t="shared" si="44"/>
        <v>0</v>
      </c>
      <c r="DF792" s="1417"/>
      <c r="DG792" s="1417"/>
      <c r="DH792" s="1417"/>
      <c r="DI792" s="1418"/>
      <c r="DJ792" s="1416">
        <f t="shared" si="45"/>
        <v>0</v>
      </c>
      <c r="DK792" s="1417"/>
      <c r="DL792" s="1417"/>
      <c r="DM792" s="1417"/>
      <c r="DN792" s="1418"/>
      <c r="DO792" s="1416">
        <f t="shared" si="46"/>
        <v>0</v>
      </c>
      <c r="DP792" s="1417"/>
      <c r="DQ792" s="1417"/>
      <c r="DR792" s="1417"/>
      <c r="DS792" s="1418"/>
      <c r="DT792" s="257"/>
      <c r="DU792" s="1416">
        <f t="shared" si="47"/>
        <v>0</v>
      </c>
      <c r="DV792" s="1417"/>
      <c r="DW792" s="1417"/>
      <c r="DX792" s="1417"/>
      <c r="DY792" s="1418"/>
      <c r="DZ792" s="1416">
        <f t="shared" si="48"/>
        <v>0</v>
      </c>
      <c r="EA792" s="1417"/>
      <c r="EB792" s="1417"/>
      <c r="EC792" s="1417"/>
      <c r="ED792" s="1418"/>
      <c r="EE792" s="1416">
        <f t="shared" si="49"/>
        <v>0</v>
      </c>
      <c r="EF792" s="1417"/>
      <c r="EG792" s="1417"/>
      <c r="EH792" s="1417"/>
      <c r="EI792" s="1418"/>
      <c r="EJ792" s="1416">
        <f t="shared" si="50"/>
        <v>0</v>
      </c>
      <c r="EK792" s="1417"/>
      <c r="EL792" s="1417"/>
      <c r="EM792" s="1417"/>
      <c r="EN792" s="1418"/>
      <c r="EO792" s="1416">
        <f t="shared" si="51"/>
        <v>0</v>
      </c>
      <c r="EP792" s="1417"/>
      <c r="EQ792" s="1417"/>
      <c r="ER792" s="1417"/>
      <c r="ES792" s="1418"/>
      <c r="ET792" s="1416">
        <f t="shared" si="52"/>
        <v>0</v>
      </c>
      <c r="EU792" s="1417"/>
      <c r="EV792" s="1417"/>
      <c r="EW792" s="1417"/>
      <c r="EX792" s="1418"/>
    </row>
    <row r="793" spans="1:154" s="13" customFormat="1" ht="13.15" customHeight="1">
      <c r="A793"/>
      <c r="B793"/>
      <c r="C793"/>
      <c r="D793"/>
      <c r="E793"/>
      <c r="F793"/>
      <c r="G793"/>
      <c r="H793"/>
      <c r="I793"/>
      <c r="J793" s="1299"/>
      <c r="K793" s="1300"/>
      <c r="L793" s="1300"/>
      <c r="M793" s="1300"/>
      <c r="N793" s="1301"/>
      <c r="O793" s="1559"/>
      <c r="P793" s="1559"/>
      <c r="Q793" s="1559"/>
      <c r="R793" s="1559"/>
      <c r="S793" s="1559"/>
      <c r="T793" s="1305"/>
      <c r="U793" s="1306"/>
      <c r="V793" s="1306"/>
      <c r="W793" s="1307"/>
      <c r="X793" s="1302"/>
      <c r="Y793" s="1303"/>
      <c r="Z793" s="1303"/>
      <c r="AA793" s="1303"/>
      <c r="AB793" s="1304"/>
      <c r="AC793" s="1314">
        <f t="shared" si="40"/>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6">
        <f t="shared" si="41"/>
        <v>0</v>
      </c>
      <c r="CQ793" s="1417"/>
      <c r="CR793" s="1417"/>
      <c r="CS793" s="1417"/>
      <c r="CT793" s="1418"/>
      <c r="CU793" s="1416">
        <f t="shared" si="42"/>
        <v>0</v>
      </c>
      <c r="CV793" s="1417"/>
      <c r="CW793" s="1417"/>
      <c r="CX793" s="1417"/>
      <c r="CY793" s="1418"/>
      <c r="CZ793" s="1416">
        <f t="shared" si="43"/>
        <v>0</v>
      </c>
      <c r="DA793" s="1417"/>
      <c r="DB793" s="1417"/>
      <c r="DC793" s="1417"/>
      <c r="DD793" s="1418"/>
      <c r="DE793" s="1416">
        <f t="shared" si="44"/>
        <v>0</v>
      </c>
      <c r="DF793" s="1417"/>
      <c r="DG793" s="1417"/>
      <c r="DH793" s="1417"/>
      <c r="DI793" s="1418"/>
      <c r="DJ793" s="1416">
        <f t="shared" si="45"/>
        <v>0</v>
      </c>
      <c r="DK793" s="1417"/>
      <c r="DL793" s="1417"/>
      <c r="DM793" s="1417"/>
      <c r="DN793" s="1418"/>
      <c r="DO793" s="1416">
        <f t="shared" si="46"/>
        <v>0</v>
      </c>
      <c r="DP793" s="1417"/>
      <c r="DQ793" s="1417"/>
      <c r="DR793" s="1417"/>
      <c r="DS793" s="1418"/>
      <c r="DT793" s="257"/>
      <c r="DU793" s="1416">
        <f t="shared" si="47"/>
        <v>0</v>
      </c>
      <c r="DV793" s="1417"/>
      <c r="DW793" s="1417"/>
      <c r="DX793" s="1417"/>
      <c r="DY793" s="1418"/>
      <c r="DZ793" s="1416">
        <f t="shared" si="48"/>
        <v>0</v>
      </c>
      <c r="EA793" s="1417"/>
      <c r="EB793" s="1417"/>
      <c r="EC793" s="1417"/>
      <c r="ED793" s="1418"/>
      <c r="EE793" s="1416">
        <f t="shared" si="49"/>
        <v>0</v>
      </c>
      <c r="EF793" s="1417"/>
      <c r="EG793" s="1417"/>
      <c r="EH793" s="1417"/>
      <c r="EI793" s="1418"/>
      <c r="EJ793" s="1416">
        <f t="shared" si="50"/>
        <v>0</v>
      </c>
      <c r="EK793" s="1417"/>
      <c r="EL793" s="1417"/>
      <c r="EM793" s="1417"/>
      <c r="EN793" s="1418"/>
      <c r="EO793" s="1416">
        <f t="shared" si="51"/>
        <v>0</v>
      </c>
      <c r="EP793" s="1417"/>
      <c r="EQ793" s="1417"/>
      <c r="ER793" s="1417"/>
      <c r="ES793" s="1418"/>
      <c r="ET793" s="1416">
        <f t="shared" si="52"/>
        <v>0</v>
      </c>
      <c r="EU793" s="1417"/>
      <c r="EV793" s="1417"/>
      <c r="EW793" s="1417"/>
      <c r="EX793" s="1418"/>
    </row>
    <row r="794" spans="1:154" s="13" customFormat="1" ht="13.15" customHeight="1">
      <c r="A794"/>
      <c r="B794"/>
      <c r="C794"/>
      <c r="D794"/>
      <c r="E794"/>
      <c r="F794"/>
      <c r="G794"/>
      <c r="H794"/>
      <c r="I794"/>
      <c r="J794" s="1299"/>
      <c r="K794" s="1300"/>
      <c r="L794" s="1300"/>
      <c r="M794" s="1300"/>
      <c r="N794" s="1301"/>
      <c r="O794" s="1559"/>
      <c r="P794" s="1559"/>
      <c r="Q794" s="1559"/>
      <c r="R794" s="1559"/>
      <c r="S794" s="1559"/>
      <c r="T794" s="1305"/>
      <c r="U794" s="1306"/>
      <c r="V794" s="1306"/>
      <c r="W794" s="1307"/>
      <c r="X794" s="1302"/>
      <c r="Y794" s="1303"/>
      <c r="Z794" s="1303"/>
      <c r="AA794" s="1303"/>
      <c r="AB794" s="1304"/>
      <c r="AC794" s="1314">
        <f t="shared" si="40"/>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6">
        <f t="shared" si="41"/>
        <v>0</v>
      </c>
      <c r="CQ794" s="1417"/>
      <c r="CR794" s="1417"/>
      <c r="CS794" s="1417"/>
      <c r="CT794" s="1418"/>
      <c r="CU794" s="1416">
        <f t="shared" si="42"/>
        <v>0</v>
      </c>
      <c r="CV794" s="1417"/>
      <c r="CW794" s="1417"/>
      <c r="CX794" s="1417"/>
      <c r="CY794" s="1418"/>
      <c r="CZ794" s="1416">
        <f t="shared" si="43"/>
        <v>0</v>
      </c>
      <c r="DA794" s="1417"/>
      <c r="DB794" s="1417"/>
      <c r="DC794" s="1417"/>
      <c r="DD794" s="1418"/>
      <c r="DE794" s="1416">
        <f t="shared" si="44"/>
        <v>0</v>
      </c>
      <c r="DF794" s="1417"/>
      <c r="DG794" s="1417"/>
      <c r="DH794" s="1417"/>
      <c r="DI794" s="1418"/>
      <c r="DJ794" s="1416">
        <f t="shared" si="45"/>
        <v>0</v>
      </c>
      <c r="DK794" s="1417"/>
      <c r="DL794" s="1417"/>
      <c r="DM794" s="1417"/>
      <c r="DN794" s="1418"/>
      <c r="DO794" s="1416">
        <f t="shared" si="46"/>
        <v>0</v>
      </c>
      <c r="DP794" s="1417"/>
      <c r="DQ794" s="1417"/>
      <c r="DR794" s="1417"/>
      <c r="DS794" s="1418"/>
      <c r="DT794" s="257"/>
      <c r="DU794" s="1416">
        <f t="shared" si="47"/>
        <v>0</v>
      </c>
      <c r="DV794" s="1417"/>
      <c r="DW794" s="1417"/>
      <c r="DX794" s="1417"/>
      <c r="DY794" s="1418"/>
      <c r="DZ794" s="1416">
        <f t="shared" si="48"/>
        <v>0</v>
      </c>
      <c r="EA794" s="1417"/>
      <c r="EB794" s="1417"/>
      <c r="EC794" s="1417"/>
      <c r="ED794" s="1418"/>
      <c r="EE794" s="1416">
        <f t="shared" si="49"/>
        <v>0</v>
      </c>
      <c r="EF794" s="1417"/>
      <c r="EG794" s="1417"/>
      <c r="EH794" s="1417"/>
      <c r="EI794" s="1418"/>
      <c r="EJ794" s="1416">
        <f t="shared" si="50"/>
        <v>0</v>
      </c>
      <c r="EK794" s="1417"/>
      <c r="EL794" s="1417"/>
      <c r="EM794" s="1417"/>
      <c r="EN794" s="1418"/>
      <c r="EO794" s="1416">
        <f t="shared" si="51"/>
        <v>0</v>
      </c>
      <c r="EP794" s="1417"/>
      <c r="EQ794" s="1417"/>
      <c r="ER794" s="1417"/>
      <c r="ES794" s="1418"/>
      <c r="ET794" s="1416">
        <f t="shared" si="52"/>
        <v>0</v>
      </c>
      <c r="EU794" s="1417"/>
      <c r="EV794" s="1417"/>
      <c r="EW794" s="1417"/>
      <c r="EX794" s="1418"/>
    </row>
    <row r="795" spans="1:154" s="13" customFormat="1" ht="13.15" customHeight="1">
      <c r="A795"/>
      <c r="B795"/>
      <c r="C795"/>
      <c r="D795"/>
      <c r="E795"/>
      <c r="F795"/>
      <c r="G795"/>
      <c r="H795"/>
      <c r="I795"/>
      <c r="J795" s="1299"/>
      <c r="K795" s="1300"/>
      <c r="L795" s="1300"/>
      <c r="M795" s="1300"/>
      <c r="N795" s="1301"/>
      <c r="O795" s="1559"/>
      <c r="P795" s="1559"/>
      <c r="Q795" s="1559"/>
      <c r="R795" s="1559"/>
      <c r="S795" s="1559"/>
      <c r="T795" s="1305"/>
      <c r="U795" s="1306"/>
      <c r="V795" s="1306"/>
      <c r="W795" s="1307"/>
      <c r="X795" s="1302"/>
      <c r="Y795" s="1303"/>
      <c r="Z795" s="1303"/>
      <c r="AA795" s="1303"/>
      <c r="AB795" s="1304"/>
      <c r="AC795" s="1314">
        <f t="shared" si="40"/>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6">
        <f t="shared" si="41"/>
        <v>0</v>
      </c>
      <c r="CQ795" s="1417"/>
      <c r="CR795" s="1417"/>
      <c r="CS795" s="1417"/>
      <c r="CT795" s="1418"/>
      <c r="CU795" s="1416">
        <f t="shared" si="42"/>
        <v>0</v>
      </c>
      <c r="CV795" s="1417"/>
      <c r="CW795" s="1417"/>
      <c r="CX795" s="1417"/>
      <c r="CY795" s="1418"/>
      <c r="CZ795" s="1416">
        <f t="shared" si="43"/>
        <v>0</v>
      </c>
      <c r="DA795" s="1417"/>
      <c r="DB795" s="1417"/>
      <c r="DC795" s="1417"/>
      <c r="DD795" s="1418"/>
      <c r="DE795" s="1416">
        <f t="shared" si="44"/>
        <v>0</v>
      </c>
      <c r="DF795" s="1417"/>
      <c r="DG795" s="1417"/>
      <c r="DH795" s="1417"/>
      <c r="DI795" s="1418"/>
      <c r="DJ795" s="1416">
        <f t="shared" si="45"/>
        <v>0</v>
      </c>
      <c r="DK795" s="1417"/>
      <c r="DL795" s="1417"/>
      <c r="DM795" s="1417"/>
      <c r="DN795" s="1418"/>
      <c r="DO795" s="1416">
        <f t="shared" si="46"/>
        <v>0</v>
      </c>
      <c r="DP795" s="1417"/>
      <c r="DQ795" s="1417"/>
      <c r="DR795" s="1417"/>
      <c r="DS795" s="1418"/>
      <c r="DT795" s="257"/>
      <c r="DU795" s="1416">
        <f t="shared" si="47"/>
        <v>0</v>
      </c>
      <c r="DV795" s="1417"/>
      <c r="DW795" s="1417"/>
      <c r="DX795" s="1417"/>
      <c r="DY795" s="1418"/>
      <c r="DZ795" s="1416">
        <f t="shared" si="48"/>
        <v>0</v>
      </c>
      <c r="EA795" s="1417"/>
      <c r="EB795" s="1417"/>
      <c r="EC795" s="1417"/>
      <c r="ED795" s="1418"/>
      <c r="EE795" s="1416">
        <f t="shared" si="49"/>
        <v>0</v>
      </c>
      <c r="EF795" s="1417"/>
      <c r="EG795" s="1417"/>
      <c r="EH795" s="1417"/>
      <c r="EI795" s="1418"/>
      <c r="EJ795" s="1416">
        <f t="shared" si="50"/>
        <v>0</v>
      </c>
      <c r="EK795" s="1417"/>
      <c r="EL795" s="1417"/>
      <c r="EM795" s="1417"/>
      <c r="EN795" s="1418"/>
      <c r="EO795" s="1416">
        <f t="shared" si="51"/>
        <v>0</v>
      </c>
      <c r="EP795" s="1417"/>
      <c r="EQ795" s="1417"/>
      <c r="ER795" s="1417"/>
      <c r="ES795" s="1418"/>
      <c r="ET795" s="1416">
        <f t="shared" si="52"/>
        <v>0</v>
      </c>
      <c r="EU795" s="1417"/>
      <c r="EV795" s="1417"/>
      <c r="EW795" s="1417"/>
      <c r="EX795" s="1418"/>
    </row>
    <row r="796" spans="1:154" s="4" customFormat="1" ht="13.15" customHeight="1">
      <c r="A796"/>
      <c r="B796"/>
      <c r="C796"/>
      <c r="D796"/>
      <c r="E796"/>
      <c r="F796"/>
      <c r="G796"/>
      <c r="H796"/>
      <c r="I796"/>
      <c r="J796" s="1299"/>
      <c r="K796" s="1300"/>
      <c r="L796" s="1300"/>
      <c r="M796" s="1300"/>
      <c r="N796" s="1301"/>
      <c r="O796" s="1559"/>
      <c r="P796" s="1559"/>
      <c r="Q796" s="1559"/>
      <c r="R796" s="1559"/>
      <c r="S796" s="1559"/>
      <c r="T796" s="1305"/>
      <c r="U796" s="1306"/>
      <c r="V796" s="1306"/>
      <c r="W796" s="1307"/>
      <c r="X796" s="1302"/>
      <c r="Y796" s="1303"/>
      <c r="Z796" s="1303"/>
      <c r="AA796" s="1303"/>
      <c r="AB796" s="1304"/>
      <c r="AC796" s="1314">
        <f t="shared" si="40"/>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6">
        <f t="shared" si="41"/>
        <v>0</v>
      </c>
      <c r="CQ796" s="1417"/>
      <c r="CR796" s="1417"/>
      <c r="CS796" s="1417"/>
      <c r="CT796" s="1418"/>
      <c r="CU796" s="1416">
        <f t="shared" si="42"/>
        <v>0</v>
      </c>
      <c r="CV796" s="1417"/>
      <c r="CW796" s="1417"/>
      <c r="CX796" s="1417"/>
      <c r="CY796" s="1418"/>
      <c r="CZ796" s="1416">
        <f t="shared" si="43"/>
        <v>0</v>
      </c>
      <c r="DA796" s="1417"/>
      <c r="DB796" s="1417"/>
      <c r="DC796" s="1417"/>
      <c r="DD796" s="1418"/>
      <c r="DE796" s="1416">
        <f t="shared" si="44"/>
        <v>0</v>
      </c>
      <c r="DF796" s="1417"/>
      <c r="DG796" s="1417"/>
      <c r="DH796" s="1417"/>
      <c r="DI796" s="1418"/>
      <c r="DJ796" s="1416">
        <f t="shared" si="45"/>
        <v>0</v>
      </c>
      <c r="DK796" s="1417"/>
      <c r="DL796" s="1417"/>
      <c r="DM796" s="1417"/>
      <c r="DN796" s="1418"/>
      <c r="DO796" s="1416">
        <f t="shared" si="46"/>
        <v>0</v>
      </c>
      <c r="DP796" s="1417"/>
      <c r="DQ796" s="1417"/>
      <c r="DR796" s="1417"/>
      <c r="DS796" s="1418"/>
      <c r="DT796" s="257"/>
      <c r="DU796" s="1416">
        <f t="shared" si="47"/>
        <v>0</v>
      </c>
      <c r="DV796" s="1417"/>
      <c r="DW796" s="1417"/>
      <c r="DX796" s="1417"/>
      <c r="DY796" s="1418"/>
      <c r="DZ796" s="1416">
        <f t="shared" si="48"/>
        <v>0</v>
      </c>
      <c r="EA796" s="1417"/>
      <c r="EB796" s="1417"/>
      <c r="EC796" s="1417"/>
      <c r="ED796" s="1418"/>
      <c r="EE796" s="1416">
        <f t="shared" si="49"/>
        <v>0</v>
      </c>
      <c r="EF796" s="1417"/>
      <c r="EG796" s="1417"/>
      <c r="EH796" s="1417"/>
      <c r="EI796" s="1418"/>
      <c r="EJ796" s="1416">
        <f t="shared" si="50"/>
        <v>0</v>
      </c>
      <c r="EK796" s="1417"/>
      <c r="EL796" s="1417"/>
      <c r="EM796" s="1417"/>
      <c r="EN796" s="1418"/>
      <c r="EO796" s="1416">
        <f t="shared" si="51"/>
        <v>0</v>
      </c>
      <c r="EP796" s="1417"/>
      <c r="EQ796" s="1417"/>
      <c r="ER796" s="1417"/>
      <c r="ES796" s="1418"/>
      <c r="ET796" s="1416">
        <f t="shared" si="52"/>
        <v>0</v>
      </c>
      <c r="EU796" s="1417"/>
      <c r="EV796" s="1417"/>
      <c r="EW796" s="1417"/>
      <c r="EX796" s="1418"/>
    </row>
    <row r="797" spans="1:154" s="4" customFormat="1" ht="13.15" customHeight="1">
      <c r="A797"/>
      <c r="B797"/>
      <c r="C797"/>
      <c r="D797"/>
      <c r="E797"/>
      <c r="F797"/>
      <c r="G797"/>
      <c r="H797"/>
      <c r="I797"/>
      <c r="J797" s="1407" t="s">
        <v>1477</v>
      </c>
      <c r="K797" s="1408"/>
      <c r="L797" s="1408"/>
      <c r="M797" s="1408"/>
      <c r="N797" s="1409"/>
      <c r="O797" s="1419">
        <f>SUM(O787:S796)</f>
        <v>0</v>
      </c>
      <c r="P797" s="1419"/>
      <c r="Q797" s="1419"/>
      <c r="R797" s="1419"/>
      <c r="S797" s="1419"/>
      <c r="T797"/>
      <c r="U797"/>
      <c r="V797"/>
      <c r="W797"/>
      <c r="X797" s="798" t="s">
        <v>1478</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1">
        <f>SUM(CP787:CT796)</f>
        <v>0</v>
      </c>
      <c r="CQ797" s="1423"/>
      <c r="CR797" s="1423"/>
      <c r="CS797" s="1423"/>
      <c r="CT797" s="1422"/>
      <c r="CU797" s="1421">
        <f>SUM(CU787:CY796)</f>
        <v>0</v>
      </c>
      <c r="CV797" s="1423"/>
      <c r="CW797" s="1423"/>
      <c r="CX797" s="1423"/>
      <c r="CY797" s="1422"/>
      <c r="CZ797" s="1421">
        <f>SUM(CZ787:DD796)</f>
        <v>0</v>
      </c>
      <c r="DA797" s="1423"/>
      <c r="DB797" s="1423"/>
      <c r="DC797" s="1423"/>
      <c r="DD797" s="1422"/>
      <c r="DE797" s="1421">
        <f>SUM(DE787:DI796)</f>
        <v>0</v>
      </c>
      <c r="DF797" s="1423"/>
      <c r="DG797" s="1423"/>
      <c r="DH797" s="1423"/>
      <c r="DI797" s="1422"/>
      <c r="DJ797" s="1421">
        <f>SUM(DJ787:DN796)</f>
        <v>0</v>
      </c>
      <c r="DK797" s="1423"/>
      <c r="DL797" s="1423"/>
      <c r="DM797" s="1423"/>
      <c r="DN797" s="1422"/>
      <c r="DO797" s="1421">
        <f>SUM(DO787:DS796)</f>
        <v>0</v>
      </c>
      <c r="DP797" s="1423"/>
      <c r="DQ797" s="1423"/>
      <c r="DR797" s="1423"/>
      <c r="DS797" s="1422"/>
      <c r="DT797" s="257"/>
      <c r="DU797" s="1421">
        <f>SUM(DU787:DY796)</f>
        <v>0</v>
      </c>
      <c r="DV797" s="1423"/>
      <c r="DW797" s="1423"/>
      <c r="DX797" s="1423"/>
      <c r="DY797" s="1422"/>
      <c r="DZ797" s="1421">
        <f>SUM(DZ787:ED796)</f>
        <v>0</v>
      </c>
      <c r="EA797" s="1423"/>
      <c r="EB797" s="1423"/>
      <c r="EC797" s="1423"/>
      <c r="ED797" s="1422"/>
      <c r="EE797" s="1421">
        <f>SUM(EE787:EI796)</f>
        <v>0</v>
      </c>
      <c r="EF797" s="1423"/>
      <c r="EG797" s="1423"/>
      <c r="EH797" s="1423"/>
      <c r="EI797" s="1422"/>
      <c r="EJ797" s="1421">
        <f>SUM(EJ787:EN796)</f>
        <v>0</v>
      </c>
      <c r="EK797" s="1423"/>
      <c r="EL797" s="1423"/>
      <c r="EM797" s="1423"/>
      <c r="EN797" s="1422"/>
      <c r="EO797" s="1421">
        <f>SUM(EO787:ES796)</f>
        <v>0</v>
      </c>
      <c r="EP797" s="1423"/>
      <c r="EQ797" s="1423"/>
      <c r="ER797" s="1423"/>
      <c r="ES797" s="1422"/>
      <c r="ET797" s="1421">
        <f>SUM(ET787:EX796)</f>
        <v>0</v>
      </c>
      <c r="EU797" s="1423"/>
      <c r="EV797" s="1423"/>
      <c r="EW797" s="1423"/>
      <c r="EX797" s="1422"/>
    </row>
    <row r="798" spans="1:154" s="4" customFormat="1" ht="13.15" customHeight="1">
      <c r="A798"/>
      <c r="B798"/>
      <c r="C798" s="1675" t="str">
        <f>IF(O797&lt;&gt;AG438,"! Total market rate units in the Unit Mix Table above does not match the number of  market rate units on row #"&amp;TEXT(ROW(D438),"#"),"")</f>
        <v/>
      </c>
      <c r="D798" s="1675"/>
      <c r="E798" s="1675"/>
      <c r="F798" s="1675"/>
      <c r="G798" s="1675"/>
      <c r="H798" s="1675"/>
      <c r="I798" s="1675"/>
      <c r="J798" s="1675"/>
      <c r="K798" s="1675"/>
      <c r="L798" s="1675"/>
      <c r="M798" s="1675"/>
      <c r="N798" s="1675"/>
      <c r="O798" s="1675"/>
      <c r="P798" s="1675"/>
      <c r="Q798" s="1675"/>
      <c r="R798" s="1675"/>
      <c r="S798" s="1675"/>
      <c r="T798" s="1675"/>
      <c r="U798" s="1675"/>
      <c r="V798" s="1675"/>
      <c r="W798" s="1675"/>
      <c r="X798" s="1675"/>
      <c r="Y798" s="1675"/>
      <c r="Z798" s="1675"/>
      <c r="AA798" s="1675"/>
      <c r="AB798" s="1675"/>
      <c r="AC798" s="1675"/>
      <c r="AD798" s="1675"/>
      <c r="AE798" s="1675"/>
      <c r="AF798" s="1675"/>
      <c r="AG798" s="1675"/>
      <c r="AH798" s="1675"/>
      <c r="AI798" s="1675"/>
      <c r="AJ798" s="1675"/>
      <c r="AK798" s="1675"/>
      <c r="AL798" s="1675"/>
      <c r="AM798" s="1675"/>
      <c r="AN798" s="1675"/>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15" customHeight="1">
      <c r="A799"/>
      <c r="B799"/>
      <c r="C799" s="1675"/>
      <c r="D799" s="1675"/>
      <c r="E799" s="1675"/>
      <c r="F799" s="1675"/>
      <c r="G799" s="1675"/>
      <c r="H799" s="1675"/>
      <c r="I799" s="1675"/>
      <c r="J799" s="1675"/>
      <c r="K799" s="1675"/>
      <c r="L799" s="1675"/>
      <c r="M799" s="1675"/>
      <c r="N799" s="1675"/>
      <c r="O799" s="1675"/>
      <c r="P799" s="1675"/>
      <c r="Q799" s="1675"/>
      <c r="R799" s="1675"/>
      <c r="S799" s="1675"/>
      <c r="T799" s="1675"/>
      <c r="U799" s="1675"/>
      <c r="V799" s="1675"/>
      <c r="W799" s="1675"/>
      <c r="X799" s="1675"/>
      <c r="Y799" s="1675"/>
      <c r="Z799" s="1675"/>
      <c r="AA799" s="1675"/>
      <c r="AB799" s="1675"/>
      <c r="AC799" s="1675"/>
      <c r="AD799" s="1675"/>
      <c r="AE799" s="1675"/>
      <c r="AF799" s="1675"/>
      <c r="AG799" s="1675"/>
      <c r="AH799" s="1675"/>
      <c r="AI799" s="1675"/>
      <c r="AJ799" s="1675"/>
      <c r="AK799" s="1675"/>
      <c r="AL799" s="1675"/>
      <c r="AM799" s="1675"/>
      <c r="AN799" s="1675"/>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1500</v>
      </c>
      <c r="DW799" s="3"/>
      <c r="DX799" s="3"/>
      <c r="DY799" s="3"/>
      <c r="DZ799" s="3"/>
      <c r="EA799" s="3"/>
      <c r="EB799" s="3"/>
      <c r="EC799" s="3"/>
      <c r="ED799" s="3"/>
      <c r="EE799" s="3"/>
      <c r="EF799" s="3"/>
      <c r="EG799" s="3"/>
      <c r="EH799" s="3"/>
      <c r="EI799"/>
      <c r="EJ799"/>
      <c r="EK799"/>
      <c r="EL799"/>
      <c r="EM799"/>
      <c r="EN799"/>
      <c r="EO799"/>
      <c r="EP799"/>
      <c r="EQ799"/>
      <c r="ER799"/>
      <c r="ES799" s="48" t="s">
        <v>1501</v>
      </c>
      <c r="ET799" s="1788">
        <f>SUM(DU797:EX797)</f>
        <v>0</v>
      </c>
      <c r="EU799" s="1789"/>
      <c r="EV799" s="1789"/>
      <c r="EW799" s="1789"/>
      <c r="EX799" s="1790"/>
    </row>
    <row r="800" spans="1:154" s="4" customFormat="1" ht="13.15" customHeight="1">
      <c r="A800"/>
      <c r="B800"/>
      <c r="C800"/>
      <c r="D800"/>
      <c r="E800"/>
      <c r="F800"/>
      <c r="G800"/>
      <c r="H800"/>
      <c r="I800"/>
      <c r="J800" s="37"/>
      <c r="K800" s="5"/>
      <c r="L800" s="5"/>
      <c r="M800" s="5"/>
      <c r="N800" s="5"/>
      <c r="O800" s="5"/>
      <c r="P800" s="5"/>
      <c r="Q800" s="5"/>
      <c r="R800" s="5"/>
      <c r="S800" s="5"/>
      <c r="T800" s="5"/>
      <c r="U800" s="5"/>
      <c r="V800" s="5"/>
      <c r="W800" s="5"/>
      <c r="X800" s="46" t="s">
        <v>1502</v>
      </c>
      <c r="Y800" s="1647">
        <f>O753+AC777+AC797</f>
        <v>371501</v>
      </c>
      <c r="Z800" s="1647"/>
      <c r="AA800" s="1647"/>
      <c r="AB800" s="1647"/>
      <c r="AC800" s="1647"/>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1503</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15" customHeight="1">
      <c r="A801"/>
      <c r="B801"/>
      <c r="C801"/>
      <c r="D801"/>
      <c r="E801"/>
      <c r="F801"/>
      <c r="G801"/>
      <c r="H801"/>
      <c r="I801"/>
      <c r="J801" s="39"/>
      <c r="K801" s="40"/>
      <c r="L801" s="40"/>
      <c r="M801" s="40"/>
      <c r="N801" s="40"/>
      <c r="O801" s="40"/>
      <c r="P801" s="40"/>
      <c r="Q801" s="40"/>
      <c r="R801" s="40"/>
      <c r="S801" s="40"/>
      <c r="T801" s="40"/>
      <c r="U801" s="40"/>
      <c r="V801" s="40"/>
      <c r="W801" s="40"/>
      <c r="X801" s="69" t="s">
        <v>1504</v>
      </c>
      <c r="Y801" s="1647">
        <f>(O753+AC777+AC797)*12</f>
        <v>4458012</v>
      </c>
      <c r="Z801" s="1647"/>
      <c r="AA801" s="1647"/>
      <c r="AB801" s="1647"/>
      <c r="AC801" s="1647"/>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1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1">
        <f>CP753+CP777+CP797</f>
        <v>0</v>
      </c>
      <c r="CQ802" s="1423"/>
      <c r="CR802" s="1423"/>
      <c r="CS802" s="1423"/>
      <c r="CT802" s="1422"/>
      <c r="CU802" s="1421">
        <f>CU753+CU777+CU797</f>
        <v>91</v>
      </c>
      <c r="CV802" s="1423"/>
      <c r="CW802" s="1423"/>
      <c r="CX802" s="1423"/>
      <c r="CY802" s="1422"/>
      <c r="CZ802" s="1421">
        <f>CZ753+CZ777+CZ797</f>
        <v>49</v>
      </c>
      <c r="DA802" s="1423"/>
      <c r="DB802" s="1423"/>
      <c r="DC802" s="1423"/>
      <c r="DD802" s="1422"/>
      <c r="DE802" s="1421">
        <f>DE753+DE777+DE797</f>
        <v>55</v>
      </c>
      <c r="DF802" s="1423"/>
      <c r="DG802" s="1423"/>
      <c r="DH802" s="1423"/>
      <c r="DI802" s="1422"/>
      <c r="DJ802" s="1421">
        <f>DJ753+DJ777+DJ797</f>
        <v>0</v>
      </c>
      <c r="DK802" s="1423"/>
      <c r="DL802" s="1423"/>
      <c r="DM802" s="1423"/>
      <c r="DN802" s="1422"/>
      <c r="DO802" s="1421">
        <f>DO797+DO777+DO753</f>
        <v>0</v>
      </c>
      <c r="DP802" s="1423"/>
      <c r="DQ802" s="1423"/>
      <c r="DR802" s="1423"/>
      <c r="DS802" s="1422"/>
      <c r="DT802" s="3"/>
      <c r="DU802" s="760">
        <f>DU755+DU800</f>
        <v>352</v>
      </c>
      <c r="DV802" s="49" t="s">
        <v>1506</v>
      </c>
    </row>
    <row r="803" spans="1:126" s="4" customFormat="1" ht="13.15" customHeight="1">
      <c r="A803" s="2" t="s">
        <v>1005</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15" customHeight="1">
      <c r="A804" s="2"/>
      <c r="B804" s="2"/>
      <c r="C804" s="2" t="s">
        <v>1507</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1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15" customHeight="1">
      <c r="A806"/>
      <c r="B806"/>
      <c r="C806"/>
      <c r="D806"/>
      <c r="E806"/>
      <c r="F806"/>
      <c r="G806"/>
      <c r="H806" s="37" t="s">
        <v>1508</v>
      </c>
      <c r="I806" s="5"/>
      <c r="J806" s="5"/>
      <c r="K806" s="5"/>
      <c r="L806" s="5"/>
      <c r="M806" s="5"/>
      <c r="N806" s="5"/>
      <c r="O806" s="5"/>
      <c r="P806" s="5"/>
      <c r="Q806" s="5"/>
      <c r="R806" s="5"/>
      <c r="S806" s="5"/>
      <c r="T806" s="5"/>
      <c r="U806" s="5"/>
      <c r="V806" s="5"/>
      <c r="W806" s="5"/>
      <c r="X806" s="5"/>
      <c r="Y806" s="5"/>
      <c r="Z806" s="1511"/>
      <c r="AA806" s="1512"/>
      <c r="AB806" s="1512"/>
      <c r="AC806" s="1512"/>
      <c r="AD806" s="1512"/>
      <c r="AE806" s="1513"/>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15" customHeight="1">
      <c r="A807"/>
      <c r="B807"/>
      <c r="C807"/>
      <c r="D807"/>
      <c r="E807"/>
      <c r="F807"/>
      <c r="G807"/>
      <c r="H807" s="37" t="s">
        <v>1509</v>
      </c>
      <c r="I807" s="5"/>
      <c r="J807" s="5"/>
      <c r="K807" s="5"/>
      <c r="L807" s="5"/>
      <c r="M807" s="5"/>
      <c r="N807" s="5"/>
      <c r="O807" s="5"/>
      <c r="P807" s="5"/>
      <c r="Q807" s="5"/>
      <c r="R807" s="5"/>
      <c r="S807" s="5"/>
      <c r="T807" s="5"/>
      <c r="U807" s="5"/>
      <c r="V807" s="5"/>
      <c r="W807" s="5"/>
      <c r="X807" s="5"/>
      <c r="Y807" s="5"/>
      <c r="Z807" s="1674"/>
      <c r="AA807" s="1512"/>
      <c r="AB807" s="1512"/>
      <c r="AC807" s="1512"/>
      <c r="AD807" s="1512"/>
      <c r="AE807" s="1513"/>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15" customHeight="1">
      <c r="A808"/>
      <c r="B808"/>
      <c r="C808"/>
      <c r="D808"/>
      <c r="E808"/>
      <c r="F808"/>
      <c r="G808"/>
      <c r="H808" s="37" t="s">
        <v>1510</v>
      </c>
      <c r="I808" s="5"/>
      <c r="J808" s="5"/>
      <c r="K808" s="5"/>
      <c r="L808" s="5"/>
      <c r="M808" s="5"/>
      <c r="N808" s="5"/>
      <c r="O808" s="5"/>
      <c r="P808" s="5"/>
      <c r="Q808" s="5"/>
      <c r="R808" s="5"/>
      <c r="S808" s="5"/>
      <c r="T808" s="5"/>
      <c r="U808" s="5"/>
      <c r="V808" s="5"/>
      <c r="W808" s="5"/>
      <c r="X808" s="5"/>
      <c r="Y808" s="5"/>
      <c r="Z808" s="1672">
        <v>0</v>
      </c>
      <c r="AA808" s="1486"/>
      <c r="AB808" s="1486"/>
      <c r="AC808" s="1486"/>
      <c r="AD808" s="1486"/>
      <c r="AE808" s="1487"/>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15" customHeight="1">
      <c r="A809"/>
      <c r="B809"/>
      <c r="C809"/>
      <c r="D809"/>
      <c r="E809"/>
      <c r="F809"/>
      <c r="G809"/>
      <c r="H809" s="37"/>
      <c r="I809" s="5"/>
      <c r="J809" s="5"/>
      <c r="K809" s="5"/>
      <c r="L809" s="5"/>
      <c r="M809" s="5"/>
      <c r="N809" s="5"/>
      <c r="O809" s="5"/>
      <c r="P809" s="5"/>
      <c r="Q809" s="5"/>
      <c r="R809" s="5"/>
      <c r="S809" s="5"/>
      <c r="T809" s="5"/>
      <c r="U809" s="5"/>
      <c r="V809" s="5"/>
      <c r="W809" s="5"/>
      <c r="X809" s="5"/>
      <c r="Y809" s="45" t="s">
        <v>1511</v>
      </c>
      <c r="Z809" s="1561">
        <f>'Subsidy Contract Calculation'!J40</f>
        <v>0</v>
      </c>
      <c r="AA809" s="1562"/>
      <c r="AB809" s="1562"/>
      <c r="AC809" s="1562"/>
      <c r="AD809" s="1562"/>
      <c r="AE809" s="1563"/>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1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15" customHeight="1">
      <c r="A811" s="2" t="s">
        <v>1017</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1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15" customHeight="1">
      <c r="A813"/>
      <c r="B813"/>
      <c r="C813"/>
      <c r="D813"/>
      <c r="E813"/>
      <c r="F813"/>
      <c r="G813"/>
      <c r="H813" s="37" t="s">
        <v>1512</v>
      </c>
      <c r="I813" s="5"/>
      <c r="J813" s="5"/>
      <c r="K813" s="5"/>
      <c r="L813" s="5"/>
      <c r="M813" s="5"/>
      <c r="N813" s="5"/>
      <c r="O813" s="5"/>
      <c r="P813" s="5"/>
      <c r="Q813" s="5"/>
      <c r="R813" s="5"/>
      <c r="S813" s="5"/>
      <c r="T813" s="5"/>
      <c r="U813" s="5"/>
      <c r="V813" s="5"/>
      <c r="W813" s="5"/>
      <c r="X813" s="5"/>
      <c r="Y813" s="5"/>
      <c r="Z813" s="1424"/>
      <c r="AA813" s="1425"/>
      <c r="AB813" s="1425"/>
      <c r="AC813" s="1425"/>
      <c r="AD813" s="1425"/>
      <c r="AE813" s="1426"/>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15" customHeight="1">
      <c r="A814"/>
      <c r="B814"/>
      <c r="C814"/>
      <c r="D814"/>
      <c r="E814"/>
      <c r="F814"/>
      <c r="G814"/>
      <c r="H814" s="37" t="s">
        <v>1513</v>
      </c>
      <c r="I814" s="5"/>
      <c r="J814" s="5"/>
      <c r="K814" s="5"/>
      <c r="L814" s="5"/>
      <c r="M814" s="5"/>
      <c r="N814" s="5"/>
      <c r="O814" s="5"/>
      <c r="P814" s="5"/>
      <c r="Q814" s="5"/>
      <c r="R814" s="5"/>
      <c r="S814" s="5"/>
      <c r="T814" s="5"/>
      <c r="U814" s="5"/>
      <c r="V814" s="5"/>
      <c r="W814" s="5"/>
      <c r="X814" s="5"/>
      <c r="Y814" s="5"/>
      <c r="Z814" s="1424"/>
      <c r="AA814" s="1425"/>
      <c r="AB814" s="1425"/>
      <c r="AC814" s="1425"/>
      <c r="AD814" s="1425"/>
      <c r="AE814" s="1426"/>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15" customHeight="1">
      <c r="A815"/>
      <c r="B815"/>
      <c r="C815"/>
      <c r="D815"/>
      <c r="E815"/>
      <c r="F815"/>
      <c r="G815"/>
      <c r="H815" s="37" t="s">
        <v>1514</v>
      </c>
      <c r="I815" s="5"/>
      <c r="J815" s="5"/>
      <c r="K815" s="5"/>
      <c r="L815" s="5"/>
      <c r="M815" s="5"/>
      <c r="N815" s="5"/>
      <c r="O815" s="5"/>
      <c r="P815" s="5"/>
      <c r="Q815" s="5"/>
      <c r="R815" s="5"/>
      <c r="S815" s="5"/>
      <c r="T815" s="5"/>
      <c r="U815" s="5"/>
      <c r="V815" s="5"/>
      <c r="W815" s="5"/>
      <c r="X815" s="5"/>
      <c r="Y815" s="5"/>
      <c r="Z815" s="1424"/>
      <c r="AA815" s="1425"/>
      <c r="AB815" s="1425"/>
      <c r="AC815" s="1425"/>
      <c r="AD815" s="1425"/>
      <c r="AE815" s="1426"/>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15" customHeight="1">
      <c r="A816"/>
      <c r="B816"/>
      <c r="C816"/>
      <c r="D816"/>
      <c r="E816"/>
      <c r="F816"/>
      <c r="G816"/>
      <c r="H816" s="37" t="s">
        <v>1515</v>
      </c>
      <c r="I816" s="5"/>
      <c r="J816" s="5"/>
      <c r="K816" s="5"/>
      <c r="L816" s="5"/>
      <c r="M816" s="5"/>
      <c r="N816" s="5"/>
      <c r="O816" s="5"/>
      <c r="P816" s="1488" t="s">
        <v>1516</v>
      </c>
      <c r="Q816" s="1489"/>
      <c r="R816" s="1489"/>
      <c r="S816" s="1489"/>
      <c r="T816" s="1489"/>
      <c r="U816" s="1489"/>
      <c r="V816" s="1489"/>
      <c r="W816" s="1489"/>
      <c r="X816" s="1489"/>
      <c r="Y816" s="1490"/>
      <c r="Z816" s="1424">
        <v>95000</v>
      </c>
      <c r="AA816" s="1425"/>
      <c r="AB816" s="1425"/>
      <c r="AC816" s="1425"/>
      <c r="AD816" s="1425"/>
      <c r="AE816" s="1426"/>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15" customHeight="1">
      <c r="A817"/>
      <c r="B817"/>
      <c r="C817"/>
      <c r="D817"/>
      <c r="E817"/>
      <c r="F817"/>
      <c r="G817"/>
      <c r="H817" s="37"/>
      <c r="I817" s="5"/>
      <c r="J817" s="5"/>
      <c r="K817" s="5"/>
      <c r="L817" s="5"/>
      <c r="M817" s="5"/>
      <c r="N817" s="5"/>
      <c r="O817" s="5"/>
      <c r="P817" s="5"/>
      <c r="Q817" s="5"/>
      <c r="R817" s="5"/>
      <c r="S817" s="5"/>
      <c r="T817" s="5"/>
      <c r="U817" s="5"/>
      <c r="V817" s="5"/>
      <c r="W817" s="5"/>
      <c r="X817" s="5"/>
      <c r="Y817" s="45" t="s">
        <v>1517</v>
      </c>
      <c r="Z817" s="1561">
        <f>SUM(Z813:AE816)</f>
        <v>95000</v>
      </c>
      <c r="AA817" s="1562"/>
      <c r="AB817" s="1562"/>
      <c r="AC817" s="1562"/>
      <c r="AD817" s="1562"/>
      <c r="AE817" s="1563"/>
      <c r="AF817"/>
      <c r="AG817"/>
      <c r="AH817"/>
      <c r="AI817"/>
      <c r="AJ817"/>
      <c r="AK817"/>
      <c r="AL817"/>
      <c r="AM817"/>
      <c r="AN817"/>
      <c r="AO817"/>
      <c r="AP817"/>
      <c r="AQ817"/>
      <c r="AR817"/>
      <c r="AS817"/>
      <c r="AT817"/>
      <c r="AU817" s="3"/>
      <c r="AV817"/>
      <c r="AW817"/>
      <c r="AX817"/>
      <c r="AY817"/>
      <c r="AZ817" s="25"/>
      <c r="BA817" s="25"/>
      <c r="BB817" s="13"/>
      <c r="BC817" s="13"/>
    </row>
    <row r="818" spans="1:55" s="4" customFormat="1" ht="13.15" customHeight="1">
      <c r="A818"/>
      <c r="B818"/>
      <c r="C818"/>
      <c r="D818"/>
      <c r="E818"/>
      <c r="F818"/>
      <c r="G818"/>
      <c r="H818" s="37"/>
      <c r="I818" s="5"/>
      <c r="J818" s="5"/>
      <c r="K818" s="5"/>
      <c r="L818" s="5"/>
      <c r="M818" s="5"/>
      <c r="N818" s="5"/>
      <c r="O818" s="5"/>
      <c r="P818" s="5"/>
      <c r="Q818" s="5"/>
      <c r="R818" s="5"/>
      <c r="S818" s="5"/>
      <c r="T818" s="5"/>
      <c r="U818" s="5"/>
      <c r="V818" s="5"/>
      <c r="W818" s="5"/>
      <c r="X818" s="5"/>
      <c r="Y818" s="45" t="s">
        <v>1518</v>
      </c>
      <c r="Z818" s="1561">
        <f>Z817+Y801+Z809</f>
        <v>4553012</v>
      </c>
      <c r="AA818" s="1562"/>
      <c r="AB818" s="1562"/>
      <c r="AC818" s="1562"/>
      <c r="AD818" s="1562"/>
      <c r="AE818" s="1563"/>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1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15" customHeight="1">
      <c r="A820" s="2" t="s">
        <v>1044</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15" customHeight="1">
      <c r="A821"/>
      <c r="B821"/>
      <c r="C821" s="19" t="s">
        <v>1519</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1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15" customHeight="1">
      <c r="A823"/>
      <c r="B823"/>
      <c r="C823" s="33"/>
      <c r="D823" s="34"/>
      <c r="E823" s="34"/>
      <c r="F823" s="34"/>
      <c r="G823" s="34"/>
      <c r="H823" s="34"/>
      <c r="I823" s="34"/>
      <c r="J823" s="34"/>
      <c r="K823" s="34"/>
      <c r="L823" s="50"/>
      <c r="M823" s="1534" t="s">
        <v>1520</v>
      </c>
      <c r="N823" s="1534"/>
      <c r="O823" s="1534"/>
      <c r="P823" s="1598"/>
      <c r="Q823" s="1560" t="s">
        <v>1521</v>
      </c>
      <c r="R823" s="1560"/>
      <c r="S823" s="1560"/>
      <c r="T823" s="1560"/>
      <c r="U823" s="1560" t="s">
        <v>1522</v>
      </c>
      <c r="V823" s="1560"/>
      <c r="W823" s="1560"/>
      <c r="X823" s="1560"/>
      <c r="Y823" s="1560" t="s">
        <v>1523</v>
      </c>
      <c r="Z823" s="1560"/>
      <c r="AA823" s="1560"/>
      <c r="AB823" s="1560"/>
      <c r="AC823" s="1560" t="s">
        <v>1524</v>
      </c>
      <c r="AD823" s="1560"/>
      <c r="AE823" s="1560"/>
      <c r="AF823" s="1560"/>
      <c r="AG823" s="1673" t="s">
        <v>1525</v>
      </c>
      <c r="AH823" s="1673"/>
      <c r="AI823" s="1673"/>
      <c r="AJ823" s="1673"/>
      <c r="AK823"/>
      <c r="AL823" s="3"/>
      <c r="AM823" s="3"/>
      <c r="AN823" s="3"/>
      <c r="AO823" s="3"/>
      <c r="AP823" s="3"/>
      <c r="AQ823" s="3"/>
      <c r="AR823" s="3"/>
      <c r="AS823" s="3"/>
      <c r="AT823" s="3"/>
      <c r="AU823" s="3"/>
      <c r="AV823" s="3"/>
      <c r="AW823" s="3"/>
      <c r="AX823" s="3"/>
      <c r="AY823" s="3"/>
      <c r="AZ823" s="25"/>
      <c r="BA823" s="25"/>
      <c r="BB823" s="13"/>
      <c r="BC823" s="13"/>
    </row>
    <row r="824" spans="1:55" s="13" customFormat="1" ht="13.15" customHeight="1">
      <c r="A824"/>
      <c r="B824"/>
      <c r="C824" s="39"/>
      <c r="D824" s="40"/>
      <c r="E824" s="40"/>
      <c r="F824" s="40"/>
      <c r="G824" s="40"/>
      <c r="H824" s="40"/>
      <c r="I824" s="40"/>
      <c r="J824" s="40"/>
      <c r="K824" s="40"/>
      <c r="L824" s="41"/>
      <c r="M824" s="1538"/>
      <c r="N824" s="1538"/>
      <c r="O824" s="1538"/>
      <c r="P824" s="1546"/>
      <c r="Q824" s="1560"/>
      <c r="R824" s="1560"/>
      <c r="S824" s="1560"/>
      <c r="T824" s="1560"/>
      <c r="U824" s="1560"/>
      <c r="V824" s="1560"/>
      <c r="W824" s="1560"/>
      <c r="X824" s="1560"/>
      <c r="Y824" s="1560"/>
      <c r="Z824" s="1560"/>
      <c r="AA824" s="1560"/>
      <c r="AB824" s="1560"/>
      <c r="AC824" s="1560"/>
      <c r="AD824" s="1560"/>
      <c r="AE824" s="1560"/>
      <c r="AF824" s="1560"/>
      <c r="AG824" s="1673"/>
      <c r="AH824" s="1673"/>
      <c r="AI824" s="1673"/>
      <c r="AJ824" s="1673"/>
      <c r="AK824"/>
      <c r="AL824" s="3"/>
      <c r="AM824" s="3"/>
      <c r="AN824" s="3"/>
      <c r="AO824" s="3"/>
      <c r="AP824" s="3"/>
      <c r="AQ824" s="3"/>
      <c r="AR824" s="3"/>
      <c r="AS824" s="3"/>
      <c r="AT824" s="3"/>
      <c r="AU824"/>
      <c r="AV824" s="3"/>
      <c r="AW824" s="3"/>
      <c r="AX824" s="3"/>
      <c r="AY824" s="3"/>
      <c r="AZ824" s="25"/>
      <c r="BA824" s="25"/>
    </row>
    <row r="825" spans="1:55" s="13" customFormat="1" ht="13.15" customHeight="1">
      <c r="A825"/>
      <c r="B825"/>
      <c r="C825" s="1499" t="s">
        <v>1526</v>
      </c>
      <c r="D825" s="1320"/>
      <c r="E825" s="1320"/>
      <c r="F825" s="1320"/>
      <c r="G825" s="1320"/>
      <c r="H825" s="1320"/>
      <c r="I825" s="40"/>
      <c r="J825" s="40"/>
      <c r="K825" s="40"/>
      <c r="L825" s="41"/>
      <c r="M825" s="1587"/>
      <c r="N825" s="1587"/>
      <c r="O825" s="1587"/>
      <c r="P825" s="1587"/>
      <c r="Q825" s="1587">
        <v>4</v>
      </c>
      <c r="R825" s="1587"/>
      <c r="S825" s="1587"/>
      <c r="T825" s="1587"/>
      <c r="U825" s="1587">
        <v>5.48</v>
      </c>
      <c r="V825" s="1587"/>
      <c r="W825" s="1587"/>
      <c r="X825" s="1587"/>
      <c r="Y825" s="1587">
        <v>4.93</v>
      </c>
      <c r="Z825" s="1587"/>
      <c r="AA825" s="1587"/>
      <c r="AB825" s="1587"/>
      <c r="AC825" s="1427"/>
      <c r="AD825" s="1428"/>
      <c r="AE825" s="1428"/>
      <c r="AF825" s="1429"/>
      <c r="AG825" s="1427"/>
      <c r="AH825" s="1428"/>
      <c r="AI825" s="1428"/>
      <c r="AJ825" s="1429"/>
      <c r="AK825"/>
      <c r="AL825" s="3"/>
      <c r="AM825" s="3"/>
      <c r="AN825" s="3"/>
      <c r="AO825" s="3"/>
      <c r="AP825" s="3"/>
      <c r="AQ825" s="3"/>
      <c r="AR825" s="3"/>
      <c r="AS825" s="3"/>
      <c r="AT825" s="3"/>
      <c r="AU825"/>
      <c r="AV825" s="3"/>
      <c r="AW825" s="3"/>
      <c r="AX825" s="3"/>
      <c r="AY825" s="3"/>
      <c r="AZ825" s="25"/>
      <c r="BA825" s="25"/>
    </row>
    <row r="826" spans="1:55" s="13" customFormat="1" ht="13.15" customHeight="1">
      <c r="A826"/>
      <c r="B826"/>
      <c r="C826" s="1571" t="s">
        <v>1527</v>
      </c>
      <c r="D826" s="1572"/>
      <c r="E826" s="1572"/>
      <c r="F826" s="1572"/>
      <c r="G826" s="1572"/>
      <c r="H826" s="1572"/>
      <c r="I826" s="5"/>
      <c r="J826" s="5"/>
      <c r="K826" s="5"/>
      <c r="L826" s="38"/>
      <c r="M826" s="1587"/>
      <c r="N826" s="1587"/>
      <c r="O826" s="1587"/>
      <c r="P826" s="1587"/>
      <c r="Q826" s="1587">
        <v>10.4</v>
      </c>
      <c r="R826" s="1587"/>
      <c r="S826" s="1587"/>
      <c r="T826" s="1587"/>
      <c r="U826" s="1587">
        <v>12.4</v>
      </c>
      <c r="V826" s="1587"/>
      <c r="W826" s="1587"/>
      <c r="X826" s="1587"/>
      <c r="Y826" s="1587">
        <v>12.36</v>
      </c>
      <c r="Z826" s="1587"/>
      <c r="AA826" s="1587"/>
      <c r="AB826" s="1587"/>
      <c r="AC826" s="1427"/>
      <c r="AD826" s="1428"/>
      <c r="AE826" s="1428"/>
      <c r="AF826" s="1429"/>
      <c r="AG826" s="1427"/>
      <c r="AH826" s="1428"/>
      <c r="AI826" s="1428"/>
      <c r="AJ826" s="1429"/>
      <c r="AK826"/>
      <c r="AL826" s="3"/>
      <c r="AM826" s="3"/>
      <c r="AN826" s="3"/>
      <c r="AO826" s="3"/>
      <c r="AP826" s="3"/>
      <c r="AQ826" s="3"/>
      <c r="AR826" s="3"/>
      <c r="AS826" s="3"/>
      <c r="AT826" s="3"/>
      <c r="AU826"/>
      <c r="AV826" s="3"/>
      <c r="AW826" s="3"/>
      <c r="AX826" s="3"/>
      <c r="AY826" s="3"/>
      <c r="AZ826" s="25"/>
      <c r="BA826" s="25"/>
    </row>
    <row r="827" spans="1:55" s="13" customFormat="1" ht="13.15" customHeight="1">
      <c r="A827"/>
      <c r="B827"/>
      <c r="C827" s="1571" t="s">
        <v>1528</v>
      </c>
      <c r="D827" s="1572"/>
      <c r="E827" s="1572"/>
      <c r="F827" s="1572"/>
      <c r="G827" s="1572"/>
      <c r="H827" s="1572"/>
      <c r="I827" s="52"/>
      <c r="J827" s="52"/>
      <c r="K827" s="52"/>
      <c r="L827" s="53"/>
      <c r="M827" s="1587"/>
      <c r="N827" s="1587"/>
      <c r="O827" s="1587"/>
      <c r="P827" s="1587"/>
      <c r="Q827" s="1587">
        <v>2.93</v>
      </c>
      <c r="R827" s="1587"/>
      <c r="S827" s="1587"/>
      <c r="T827" s="1587"/>
      <c r="U827" s="1587">
        <v>3.06</v>
      </c>
      <c r="V827" s="1587"/>
      <c r="W827" s="1587"/>
      <c r="X827" s="1587"/>
      <c r="Y827" s="1587">
        <v>2.85</v>
      </c>
      <c r="Z827" s="1587"/>
      <c r="AA827" s="1587"/>
      <c r="AB827" s="1587"/>
      <c r="AC827" s="1427"/>
      <c r="AD827" s="1428"/>
      <c r="AE827" s="1428"/>
      <c r="AF827" s="1429"/>
      <c r="AG827" s="1427"/>
      <c r="AH827" s="1428"/>
      <c r="AI827" s="1428"/>
      <c r="AJ827" s="1429"/>
      <c r="AK827"/>
      <c r="AL827" s="3"/>
      <c r="AM827" s="3"/>
      <c r="AN827" s="3"/>
      <c r="AO827" s="3"/>
      <c r="AP827" s="3"/>
      <c r="AQ827" s="3"/>
      <c r="AR827" s="3"/>
      <c r="AS827" s="3"/>
      <c r="AT827" s="3"/>
      <c r="AU827"/>
      <c r="AV827" s="3"/>
      <c r="AW827" s="3"/>
      <c r="AX827" s="3"/>
      <c r="AY827" s="3"/>
      <c r="AZ827" s="25"/>
      <c r="BA827" s="25"/>
    </row>
    <row r="828" spans="1:55" s="13" customFormat="1" ht="13.15" customHeight="1">
      <c r="A828"/>
      <c r="B828"/>
      <c r="C828" s="1571" t="s">
        <v>1529</v>
      </c>
      <c r="D828" s="1572"/>
      <c r="E828" s="1572"/>
      <c r="F828" s="1572"/>
      <c r="G828" s="1572"/>
      <c r="H828" s="1572"/>
      <c r="I828" s="52"/>
      <c r="J828" s="52"/>
      <c r="K828" s="52"/>
      <c r="L828" s="53"/>
      <c r="M828" s="1587"/>
      <c r="N828" s="1587"/>
      <c r="O828" s="1587"/>
      <c r="P828" s="1587"/>
      <c r="Q828" s="1587">
        <v>2.42</v>
      </c>
      <c r="R828" s="1587"/>
      <c r="S828" s="1587"/>
      <c r="T828" s="1587"/>
      <c r="U828" s="1587">
        <v>2.95</v>
      </c>
      <c r="V828" s="1587"/>
      <c r="W828" s="1587"/>
      <c r="X828" s="1587"/>
      <c r="Y828" s="1587">
        <v>3.15</v>
      </c>
      <c r="Z828" s="1587"/>
      <c r="AA828" s="1587"/>
      <c r="AB828" s="1587"/>
      <c r="AC828" s="1427"/>
      <c r="AD828" s="1428"/>
      <c r="AE828" s="1428"/>
      <c r="AF828" s="1429"/>
      <c r="AG828" s="1427"/>
      <c r="AH828" s="1428"/>
      <c r="AI828" s="1428"/>
      <c r="AJ828" s="1429"/>
      <c r="AK828"/>
      <c r="AL828" s="3"/>
      <c r="AM828" s="3"/>
      <c r="AN828" s="3"/>
      <c r="AO828" s="3"/>
      <c r="AP828" s="3"/>
      <c r="AQ828" s="3"/>
      <c r="AR828" s="3"/>
      <c r="AS828" s="3"/>
      <c r="AT828" s="3"/>
      <c r="AU828"/>
      <c r="AV828" s="3"/>
      <c r="AW828" s="3"/>
      <c r="AX828" s="3"/>
      <c r="AY828" s="3"/>
      <c r="AZ828" s="25"/>
      <c r="BA828" s="25"/>
    </row>
    <row r="829" spans="1:55" s="13" customFormat="1" ht="13.15" customHeight="1">
      <c r="A829"/>
      <c r="B829"/>
      <c r="C829" s="1571" t="s">
        <v>1530</v>
      </c>
      <c r="D829" s="1572"/>
      <c r="E829" s="1572"/>
      <c r="F829" s="1572"/>
      <c r="G829" s="1572"/>
      <c r="H829" s="1572"/>
      <c r="I829" s="52"/>
      <c r="J829" s="52"/>
      <c r="K829" s="52"/>
      <c r="L829" s="53"/>
      <c r="M829" s="1587"/>
      <c r="N829" s="1587"/>
      <c r="O829" s="1587"/>
      <c r="P829" s="1587"/>
      <c r="Q829" s="1587">
        <v>24.26</v>
      </c>
      <c r="R829" s="1587"/>
      <c r="S829" s="1587"/>
      <c r="T829" s="1587"/>
      <c r="U829" s="1587">
        <v>27.79</v>
      </c>
      <c r="V829" s="1587"/>
      <c r="W829" s="1587"/>
      <c r="X829" s="1587"/>
      <c r="Y829" s="1587">
        <v>27.75</v>
      </c>
      <c r="Z829" s="1587"/>
      <c r="AA829" s="1587"/>
      <c r="AB829" s="1587"/>
      <c r="AC829" s="1427"/>
      <c r="AD829" s="1428"/>
      <c r="AE829" s="1428"/>
      <c r="AF829" s="1429"/>
      <c r="AG829" s="1427"/>
      <c r="AH829" s="1428"/>
      <c r="AI829" s="1428"/>
      <c r="AJ829" s="1429"/>
      <c r="AK829"/>
      <c r="AL829" s="3"/>
      <c r="AM829" s="3"/>
      <c r="AN829" s="3"/>
      <c r="AO829" s="3"/>
      <c r="AP829" s="3"/>
      <c r="AQ829" s="3"/>
      <c r="AR829" s="3"/>
      <c r="AS829" s="3"/>
      <c r="AT829" s="3"/>
      <c r="AU829"/>
      <c r="AV829" s="3"/>
      <c r="AW829" s="3"/>
      <c r="AX829" s="3"/>
      <c r="AY829" s="3"/>
      <c r="AZ829" s="25"/>
      <c r="BA829" s="25"/>
    </row>
    <row r="830" spans="1:55" s="13" customFormat="1" ht="13.15" customHeight="1">
      <c r="A830"/>
      <c r="B830"/>
      <c r="C830" s="1597" t="s">
        <v>1531</v>
      </c>
      <c r="D830" s="1572"/>
      <c r="E830" s="1572"/>
      <c r="F830" s="1572"/>
      <c r="G830" s="1572"/>
      <c r="H830" s="1572"/>
      <c r="I830" s="52"/>
      <c r="J830" s="52"/>
      <c r="K830" s="52"/>
      <c r="L830" s="53"/>
      <c r="M830" s="1587"/>
      <c r="N830" s="1587"/>
      <c r="O830" s="1587"/>
      <c r="P830" s="1587"/>
      <c r="Q830" s="1587"/>
      <c r="R830" s="1587"/>
      <c r="S830" s="1587"/>
      <c r="T830" s="1587"/>
      <c r="U830" s="1587"/>
      <c r="V830" s="1587"/>
      <c r="W830" s="1587"/>
      <c r="X830" s="1587"/>
      <c r="Y830" s="1587"/>
      <c r="Z830" s="1587"/>
      <c r="AA830" s="1587"/>
      <c r="AB830" s="1587"/>
      <c r="AC830" s="1427"/>
      <c r="AD830" s="1428"/>
      <c r="AE830" s="1428"/>
      <c r="AF830" s="1429"/>
      <c r="AG830" s="1427"/>
      <c r="AH830" s="1428"/>
      <c r="AI830" s="1428"/>
      <c r="AJ830" s="1429"/>
      <c r="AK830"/>
      <c r="AL830" s="3"/>
      <c r="AM830" s="3"/>
      <c r="AN830" s="3"/>
      <c r="AO830" s="3"/>
      <c r="AP830" s="3"/>
      <c r="AQ830" s="3"/>
      <c r="AR830" s="3"/>
      <c r="AS830" s="3"/>
      <c r="AT830" s="3"/>
      <c r="AU830"/>
      <c r="AV830" s="3"/>
      <c r="AW830" s="3"/>
      <c r="AX830" s="3"/>
      <c r="AY830" s="3"/>
      <c r="AZ830" s="25"/>
      <c r="BA830" s="25"/>
    </row>
    <row r="831" spans="1:55" s="13" customFormat="1" ht="13.15" customHeight="1">
      <c r="A831"/>
      <c r="B831"/>
      <c r="C831" s="51" t="s">
        <v>1532</v>
      </c>
      <c r="D831" s="52"/>
      <c r="E831" s="52"/>
      <c r="F831" s="1488" t="s">
        <v>1533</v>
      </c>
      <c r="G831" s="1489"/>
      <c r="H831" s="1489"/>
      <c r="I831" s="1489"/>
      <c r="J831" s="1489"/>
      <c r="K831" s="1489"/>
      <c r="L831" s="1489"/>
      <c r="M831" s="1587"/>
      <c r="N831" s="1587"/>
      <c r="O831" s="1587"/>
      <c r="P831" s="1587"/>
      <c r="Q831" s="1587">
        <v>2.71</v>
      </c>
      <c r="R831" s="1587"/>
      <c r="S831" s="1587"/>
      <c r="T831" s="1587"/>
      <c r="U831" s="1587">
        <v>1.93</v>
      </c>
      <c r="V831" s="1587"/>
      <c r="W831" s="1587"/>
      <c r="X831" s="1587"/>
      <c r="Y831" s="1587">
        <v>1.8</v>
      </c>
      <c r="Z831" s="1587"/>
      <c r="AA831" s="1587"/>
      <c r="AB831" s="1587"/>
      <c r="AC831" s="1427"/>
      <c r="AD831" s="1428"/>
      <c r="AE831" s="1428"/>
      <c r="AF831" s="1429"/>
      <c r="AG831" s="1427"/>
      <c r="AH831" s="1428"/>
      <c r="AI831" s="1428"/>
      <c r="AJ831" s="1429"/>
      <c r="AK831"/>
      <c r="AL831" s="3"/>
      <c r="AM831" s="3"/>
      <c r="AN831" s="3"/>
      <c r="AO831" s="3"/>
      <c r="AP831" s="3"/>
      <c r="AQ831" s="3"/>
      <c r="AR831" s="3"/>
      <c r="AS831" s="3"/>
      <c r="AT831" s="3"/>
      <c r="AU831"/>
      <c r="AV831" s="3"/>
      <c r="AW831" s="3"/>
      <c r="AX831" s="3"/>
      <c r="AY831" s="3"/>
      <c r="AZ831" s="25"/>
      <c r="BA831" s="25"/>
    </row>
    <row r="832" spans="1:55" s="13" customFormat="1" ht="13.15" customHeight="1">
      <c r="A832"/>
      <c r="B832"/>
      <c r="C832" s="1407" t="s">
        <v>1478</v>
      </c>
      <c r="D832" s="1408"/>
      <c r="E832" s="1408"/>
      <c r="F832" s="1408"/>
      <c r="G832" s="1408"/>
      <c r="H832" s="1408"/>
      <c r="I832" s="1408"/>
      <c r="J832" s="1408"/>
      <c r="K832" s="1408"/>
      <c r="L832" s="1409"/>
      <c r="M832" s="1581">
        <f>SUM(M825:P831)</f>
        <v>0</v>
      </c>
      <c r="N832" s="1581"/>
      <c r="O832" s="1581"/>
      <c r="P832" s="1581"/>
      <c r="Q832" s="1581">
        <f>SUM(Q825:T831)</f>
        <v>46.720000000000006</v>
      </c>
      <c r="R832" s="1581"/>
      <c r="S832" s="1581"/>
      <c r="T832" s="1581"/>
      <c r="U832" s="1581">
        <f>SUM(U825:X831)</f>
        <v>53.61</v>
      </c>
      <c r="V832" s="1581"/>
      <c r="W832" s="1581"/>
      <c r="X832" s="1581"/>
      <c r="Y832" s="1581">
        <f>SUM(Y825:AB831)</f>
        <v>52.839999999999996</v>
      </c>
      <c r="Z832" s="1581"/>
      <c r="AA832" s="1581"/>
      <c r="AB832" s="1581"/>
      <c r="AC832" s="1581">
        <f>SUM(AC825:AF831)</f>
        <v>0</v>
      </c>
      <c r="AD832" s="1581"/>
      <c r="AE832" s="1581"/>
      <c r="AF832" s="1581"/>
      <c r="AG832" s="1581">
        <f>SUM(AG825:AJ831)</f>
        <v>0</v>
      </c>
      <c r="AH832" s="1581"/>
      <c r="AI832" s="1581"/>
      <c r="AJ832" s="1581"/>
      <c r="AK832"/>
      <c r="AL832" s="3"/>
      <c r="AM832" s="3"/>
      <c r="AN832" s="3"/>
      <c r="AO832" s="3"/>
      <c r="AP832" s="3"/>
      <c r="AQ832" s="3"/>
      <c r="AR832" s="3"/>
      <c r="AS832" s="3"/>
      <c r="AT832" s="3"/>
      <c r="AU832"/>
      <c r="AV832" s="3"/>
      <c r="AW832" s="3"/>
      <c r="AX832" s="3"/>
      <c r="AY832" s="3"/>
      <c r="AZ832" s="25"/>
      <c r="BA832" s="25"/>
    </row>
    <row r="833" spans="1:64" s="13" customFormat="1" ht="13.15" customHeight="1">
      <c r="A833"/>
      <c r="B833"/>
      <c r="C833" s="49" t="s">
        <v>1534</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15" customHeight="1">
      <c r="A834"/>
      <c r="B834"/>
      <c r="C834" s="49" t="s">
        <v>1535</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1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15" customHeight="1">
      <c r="A836"/>
      <c r="B836"/>
      <c r="C836" s="2" t="s">
        <v>1536</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15" customHeight="1">
      <c r="A837"/>
      <c r="B837"/>
      <c r="C837" s="1650" t="s">
        <v>1537</v>
      </c>
      <c r="D837" s="1651"/>
      <c r="E837" s="1651"/>
      <c r="F837" s="1651"/>
      <c r="G837" s="1651"/>
      <c r="H837" s="1651"/>
      <c r="I837" s="1651"/>
      <c r="J837" s="1651"/>
      <c r="K837" s="1651"/>
      <c r="L837" s="1651"/>
      <c r="M837" s="1651"/>
      <c r="N837" s="1651"/>
      <c r="O837" s="1651"/>
      <c r="P837" s="1651"/>
      <c r="Q837" s="1651"/>
      <c r="R837" s="1651"/>
      <c r="S837" s="1651"/>
      <c r="T837" s="1651"/>
      <c r="U837" s="1651"/>
      <c r="V837" s="1651"/>
      <c r="W837" s="1651"/>
      <c r="X837" s="1651"/>
      <c r="Y837" s="1651"/>
      <c r="Z837" s="1651"/>
      <c r="AA837" s="1651"/>
      <c r="AB837" s="1651"/>
      <c r="AC837" s="1651"/>
      <c r="AD837" s="1651"/>
      <c r="AE837" s="1651"/>
      <c r="AF837" s="1651"/>
      <c r="AG837" s="1651"/>
      <c r="AH837" s="1651"/>
      <c r="AI837" s="1651"/>
      <c r="AJ837" s="1652"/>
      <c r="AK837"/>
      <c r="AL837" s="3"/>
      <c r="AM837" s="3"/>
      <c r="AN837" s="3"/>
      <c r="AO837" s="3"/>
      <c r="AP837" s="3"/>
      <c r="AQ837" s="3"/>
      <c r="AR837" s="3"/>
      <c r="AS837" s="3"/>
      <c r="AT837" s="3"/>
      <c r="AU837"/>
      <c r="AV837"/>
      <c r="AW837"/>
      <c r="AX837"/>
      <c r="AY837"/>
      <c r="AZ837" s="25"/>
      <c r="BA837" s="25"/>
    </row>
    <row r="838" spans="1:64" s="13" customFormat="1" ht="13.15" customHeight="1">
      <c r="A838"/>
      <c r="B838" s="3"/>
      <c r="C838" s="3" t="s">
        <v>1538</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1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15" customHeight="1">
      <c r="A840" s="2" t="s">
        <v>1106</v>
      </c>
      <c r="B840"/>
      <c r="C840" s="2" t="s">
        <v>1539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1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4"/>
      <c r="BJ841" s="1604"/>
      <c r="BK841" s="1604"/>
      <c r="BL841" s="1604"/>
    </row>
    <row r="842" spans="1:64" s="13" customFormat="1" ht="13.15" customHeight="1">
      <c r="A842"/>
      <c r="B842"/>
      <c r="C842" s="2" t="s">
        <v>1540</v>
      </c>
      <c r="D842"/>
      <c r="E842"/>
      <c r="F842"/>
      <c r="G842"/>
      <c r="H842"/>
      <c r="I842"/>
      <c r="J842" s="37" t="s">
        <v>1541</v>
      </c>
      <c r="K842" s="5"/>
      <c r="L842" s="5"/>
      <c r="M842" s="5"/>
      <c r="N842" s="5"/>
      <c r="O842" s="5"/>
      <c r="P842" s="5"/>
      <c r="Q842" s="5"/>
      <c r="R842" s="5"/>
      <c r="S842" s="5"/>
      <c r="T842" s="5"/>
      <c r="U842" s="5"/>
      <c r="V842" s="38"/>
      <c r="W842" s="1433">
        <v>35000</v>
      </c>
      <c r="X842" s="1433"/>
      <c r="Y842" s="1433"/>
      <c r="Z842" s="1433"/>
      <c r="AA842" s="1433"/>
      <c r="AB842" s="1433"/>
      <c r="AC842" s="1433"/>
      <c r="AD842"/>
      <c r="AE842"/>
      <c r="AF842"/>
      <c r="AG842"/>
      <c r="AH842"/>
      <c r="AI842"/>
      <c r="AJ842"/>
      <c r="AK842"/>
      <c r="AL842"/>
      <c r="AM842"/>
      <c r="AN842"/>
      <c r="AO842"/>
      <c r="AP842"/>
      <c r="AQ842"/>
      <c r="AR842"/>
      <c r="AS842"/>
      <c r="AT842"/>
      <c r="AU842"/>
      <c r="AV842"/>
      <c r="AW842"/>
      <c r="AX842"/>
      <c r="AY842"/>
      <c r="AZ842" s="25"/>
      <c r="BA842" s="25"/>
    </row>
    <row r="843" spans="1:64" s="13" customFormat="1" ht="13.15" customHeight="1">
      <c r="A843"/>
      <c r="B843"/>
      <c r="C843"/>
      <c r="D843"/>
      <c r="E843"/>
      <c r="F843"/>
      <c r="G843"/>
      <c r="H843"/>
      <c r="I843"/>
      <c r="J843" s="37" t="s">
        <v>1542</v>
      </c>
      <c r="K843" s="5"/>
      <c r="L843" s="5"/>
      <c r="M843" s="5"/>
      <c r="N843" s="5"/>
      <c r="O843" s="5"/>
      <c r="P843" s="5"/>
      <c r="Q843" s="5"/>
      <c r="R843" s="5"/>
      <c r="S843" s="5"/>
      <c r="T843" s="5"/>
      <c r="U843" s="5"/>
      <c r="V843" s="38"/>
      <c r="W843" s="1433">
        <v>20000</v>
      </c>
      <c r="X843" s="1433"/>
      <c r="Y843" s="1433"/>
      <c r="Z843" s="1433"/>
      <c r="AA843" s="1433"/>
      <c r="AB843" s="1433"/>
      <c r="AC843" s="1433"/>
      <c r="AD843"/>
      <c r="AE843"/>
      <c r="AF843"/>
      <c r="AG843"/>
      <c r="AH843"/>
      <c r="AI843"/>
      <c r="AJ843"/>
      <c r="AK843"/>
      <c r="AL843"/>
      <c r="AM843"/>
      <c r="AN843"/>
      <c r="AO843"/>
      <c r="AP843"/>
      <c r="AQ843"/>
      <c r="AR843"/>
      <c r="AS843"/>
      <c r="AT843"/>
      <c r="AU843"/>
      <c r="AV843"/>
      <c r="AW843"/>
      <c r="AX843"/>
      <c r="AY843"/>
      <c r="AZ843" s="25"/>
      <c r="BA843" s="25"/>
    </row>
    <row r="844" spans="1:64" ht="13.15" customHeight="1">
      <c r="J844" s="37" t="s">
        <v>1543</v>
      </c>
      <c r="K844" s="5"/>
      <c r="L844" s="5"/>
      <c r="M844" s="5"/>
      <c r="N844" s="5"/>
      <c r="O844" s="5"/>
      <c r="P844" s="5"/>
      <c r="Q844" s="5"/>
      <c r="R844" s="5"/>
      <c r="S844" s="5"/>
      <c r="T844" s="5"/>
      <c r="U844" s="5"/>
      <c r="V844" s="38"/>
      <c r="W844" s="1433">
        <v>15000</v>
      </c>
      <c r="X844" s="1433"/>
      <c r="Y844" s="1433"/>
      <c r="Z844" s="1433"/>
      <c r="AA844" s="1433"/>
      <c r="AB844" s="1433"/>
      <c r="AC844" s="1433"/>
      <c r="AZ844" s="25"/>
      <c r="BA844" s="25"/>
      <c r="BB844" s="13"/>
      <c r="BC844" s="13"/>
      <c r="BD844" s="13"/>
      <c r="BE844" s="13"/>
      <c r="BF844" s="13"/>
      <c r="BG844" s="13"/>
      <c r="BH844" s="13"/>
      <c r="BI844" s="13"/>
      <c r="BJ844" s="13"/>
      <c r="BK844" s="13"/>
      <c r="BL844" s="13"/>
    </row>
    <row r="845" spans="1:64" ht="13.15" customHeight="1">
      <c r="J845" s="37" t="s">
        <v>1544</v>
      </c>
      <c r="K845" s="5"/>
      <c r="L845" s="5"/>
      <c r="M845" s="5"/>
      <c r="N845" s="5"/>
      <c r="O845" s="5"/>
      <c r="P845" s="5"/>
      <c r="Q845" s="5"/>
      <c r="R845" s="5"/>
      <c r="S845" s="5"/>
      <c r="T845" s="5"/>
      <c r="U845" s="5"/>
      <c r="V845" s="38"/>
      <c r="W845" s="1433"/>
      <c r="X845" s="1433"/>
      <c r="Y845" s="1433"/>
      <c r="Z845" s="1433"/>
      <c r="AA845" s="1433"/>
      <c r="AB845" s="1433"/>
      <c r="AC845" s="1433"/>
      <c r="AZ845" s="25"/>
      <c r="BA845" s="25"/>
      <c r="BB845" s="13"/>
      <c r="BC845" s="13"/>
      <c r="BD845" s="13"/>
      <c r="BE845" s="13"/>
      <c r="BF845" s="13"/>
      <c r="BG845" s="13"/>
      <c r="BH845" s="13"/>
      <c r="BI845" s="13"/>
      <c r="BJ845" s="13"/>
      <c r="BK845" s="13"/>
      <c r="BL845" s="13"/>
    </row>
    <row r="846" spans="1:64" ht="13.15" customHeight="1">
      <c r="J846" s="37" t="s">
        <v>233</v>
      </c>
      <c r="K846" s="5"/>
      <c r="L846" s="5"/>
      <c r="M846" s="1488" t="s">
        <v>1545</v>
      </c>
      <c r="N846" s="1489"/>
      <c r="O846" s="1489"/>
      <c r="P846" s="1489"/>
      <c r="Q846" s="1489"/>
      <c r="R846" s="1489"/>
      <c r="S846" s="1489"/>
      <c r="T846" s="1489"/>
      <c r="U846" s="1489"/>
      <c r="V846" s="1490"/>
      <c r="W846" s="1433">
        <f>21980+20170</f>
        <v>42150</v>
      </c>
      <c r="X846" s="1433"/>
      <c r="Y846" s="1433"/>
      <c r="Z846" s="1433"/>
      <c r="AA846" s="1433"/>
      <c r="AB846" s="1433"/>
      <c r="AC846" s="1433"/>
      <c r="AZ846" s="25"/>
      <c r="BA846" s="25"/>
      <c r="BB846" s="13"/>
      <c r="BC846" s="13"/>
      <c r="BD846" s="13"/>
      <c r="BE846" s="13"/>
      <c r="BF846" s="13"/>
      <c r="BG846" s="13"/>
      <c r="BH846" s="13"/>
      <c r="BI846" s="13"/>
      <c r="BJ846" s="13"/>
      <c r="BK846" s="13"/>
      <c r="BL846" s="13"/>
    </row>
    <row r="847" spans="1:64" ht="13.15" customHeight="1">
      <c r="J847" s="37"/>
      <c r="K847" s="5"/>
      <c r="L847" s="5"/>
      <c r="M847" s="5"/>
      <c r="N847" s="5"/>
      <c r="O847" s="5"/>
      <c r="P847" s="5"/>
      <c r="Q847" s="5"/>
      <c r="R847" s="5"/>
      <c r="S847" s="5"/>
      <c r="T847" s="5"/>
      <c r="U847" s="5"/>
      <c r="V847" s="46" t="s">
        <v>1546</v>
      </c>
      <c r="W847" s="1561">
        <f>SUM(W842:W846)</f>
        <v>112150</v>
      </c>
      <c r="X847" s="1562"/>
      <c r="Y847" s="1562"/>
      <c r="Z847" s="1562"/>
      <c r="AA847" s="1562"/>
      <c r="AB847" s="1562"/>
      <c r="AC847" s="1563"/>
      <c r="AZ847" s="25"/>
      <c r="BA847" s="25"/>
      <c r="BB847" s="13"/>
      <c r="BC847" s="13"/>
      <c r="BD847" s="13"/>
      <c r="BE847" s="13"/>
      <c r="BF847" s="13"/>
      <c r="BG847" s="13"/>
      <c r="BH847" s="13"/>
      <c r="BI847" s="13"/>
      <c r="BJ847" s="13"/>
      <c r="BK847" s="13"/>
      <c r="BL847" s="13"/>
    </row>
    <row r="848" spans="1:64" ht="13.15" customHeight="1">
      <c r="AZ848" s="25"/>
      <c r="BA848" s="25"/>
      <c r="BB848" s="13"/>
      <c r="BC848" s="13"/>
      <c r="BD848" s="13"/>
      <c r="BE848" s="13"/>
      <c r="BF848" s="13"/>
      <c r="BG848" s="1295"/>
      <c r="BH848" s="1295"/>
      <c r="BI848" s="1295"/>
      <c r="BJ848" s="1295"/>
      <c r="BK848" s="1295"/>
      <c r="BL848" s="1295"/>
    </row>
    <row r="849" spans="3:55" ht="13.15" customHeight="1">
      <c r="C849" s="2" t="s">
        <v>1547</v>
      </c>
      <c r="J849" s="1407" t="s">
        <v>1548</v>
      </c>
      <c r="K849" s="1408"/>
      <c r="L849" s="1408"/>
      <c r="M849" s="1408"/>
      <c r="N849" s="1408"/>
      <c r="O849" s="1408"/>
      <c r="P849" s="1408"/>
      <c r="Q849" s="1408"/>
      <c r="R849" s="1408"/>
      <c r="S849" s="1408"/>
      <c r="T849" s="1408"/>
      <c r="U849" s="1408"/>
      <c r="V849" s="1409"/>
      <c r="W849" s="1424">
        <v>117639</v>
      </c>
      <c r="X849" s="1425"/>
      <c r="Y849" s="1425"/>
      <c r="Z849" s="1425"/>
      <c r="AA849" s="1425"/>
      <c r="AB849" s="1425"/>
      <c r="AC849" s="1426"/>
      <c r="AD849" s="433"/>
      <c r="AZ849" s="25"/>
      <c r="BA849" s="25"/>
      <c r="BB849" s="13"/>
      <c r="BC849" s="13"/>
    </row>
    <row r="850" spans="3:55" ht="13.15" customHeight="1">
      <c r="AD850" s="433"/>
      <c r="AZ850" s="25"/>
      <c r="BA850" s="25"/>
      <c r="BB850" s="13"/>
      <c r="BC850" s="13"/>
    </row>
    <row r="851" spans="3:55" ht="13.15" customHeight="1">
      <c r="C851" s="2" t="s">
        <v>230</v>
      </c>
      <c r="J851" s="37" t="s">
        <v>1549</v>
      </c>
      <c r="K851" s="5"/>
      <c r="L851" s="5"/>
      <c r="M851" s="5"/>
      <c r="N851" s="5"/>
      <c r="O851" s="5"/>
      <c r="P851" s="5"/>
      <c r="Q851" s="5"/>
      <c r="R851" s="5"/>
      <c r="S851" s="5"/>
      <c r="T851" s="5"/>
      <c r="U851" s="5"/>
      <c r="V851" s="38"/>
      <c r="W851" s="1596">
        <v>0</v>
      </c>
      <c r="X851" s="1596"/>
      <c r="Y851" s="1596"/>
      <c r="Z851" s="1596"/>
      <c r="AA851" s="1596"/>
      <c r="AB851" s="1596"/>
      <c r="AC851" s="1596"/>
      <c r="AZ851" s="1662"/>
      <c r="BA851" s="1662"/>
      <c r="BB851" s="13"/>
      <c r="BC851" s="13"/>
    </row>
    <row r="852" spans="3:55" ht="13.15" customHeight="1">
      <c r="J852" s="37" t="s">
        <v>1550</v>
      </c>
      <c r="K852" s="5"/>
      <c r="L852" s="5"/>
      <c r="M852" s="5"/>
      <c r="N852" s="5"/>
      <c r="O852" s="5"/>
      <c r="P852" s="5"/>
      <c r="Q852" s="5"/>
      <c r="R852" s="5"/>
      <c r="S852" s="5"/>
      <c r="T852" s="5"/>
      <c r="U852" s="5"/>
      <c r="V852" s="38"/>
      <c r="W852" s="1596">
        <v>0</v>
      </c>
      <c r="X852" s="1596"/>
      <c r="Y852" s="1596"/>
      <c r="Z852" s="1596"/>
      <c r="AA852" s="1596"/>
      <c r="AB852" s="1596"/>
      <c r="AC852" s="1596"/>
      <c r="AZ852" s="25"/>
      <c r="BA852" s="25"/>
      <c r="BB852" s="13"/>
      <c r="BC852" s="13"/>
    </row>
    <row r="853" spans="3:55" ht="13.15" customHeight="1">
      <c r="J853" s="37" t="s">
        <v>1530</v>
      </c>
      <c r="K853" s="5"/>
      <c r="L853" s="5"/>
      <c r="M853" s="5"/>
      <c r="N853" s="5"/>
      <c r="O853" s="5"/>
      <c r="P853" s="5"/>
      <c r="Q853" s="5"/>
      <c r="R853" s="5"/>
      <c r="S853" s="5"/>
      <c r="T853" s="5"/>
      <c r="U853" s="5"/>
      <c r="V853" s="38"/>
      <c r="W853" s="1596">
        <v>107250</v>
      </c>
      <c r="X853" s="1596"/>
      <c r="Y853" s="1596"/>
      <c r="Z853" s="1596"/>
      <c r="AA853" s="1596"/>
      <c r="AB853" s="1596"/>
      <c r="AC853" s="1596"/>
      <c r="AZ853" s="25"/>
      <c r="BA853" s="25"/>
      <c r="BB853" s="13"/>
      <c r="BC853" s="13"/>
    </row>
    <row r="854" spans="3:55" ht="13.15" customHeight="1">
      <c r="J854" s="1175" t="s">
        <v>1551</v>
      </c>
      <c r="K854" s="5"/>
      <c r="L854" s="5"/>
      <c r="M854" s="5"/>
      <c r="N854" s="5"/>
      <c r="O854" s="5"/>
      <c r="P854" s="5"/>
      <c r="Q854" s="5"/>
      <c r="R854" s="5"/>
      <c r="S854" s="5"/>
      <c r="T854" s="5"/>
      <c r="U854" s="5"/>
      <c r="V854" s="38"/>
      <c r="W854" s="1596">
        <v>87750</v>
      </c>
      <c r="X854" s="1596"/>
      <c r="Y854" s="1596"/>
      <c r="Z854" s="1596"/>
      <c r="AA854" s="1596"/>
      <c r="AB854" s="1596"/>
      <c r="AC854" s="1596"/>
      <c r="AZ854" s="3"/>
      <c r="BA854" s="3"/>
      <c r="BB854" s="3"/>
      <c r="BC854" s="3"/>
    </row>
    <row r="855" spans="3:55" ht="13.15" customHeight="1">
      <c r="J855" s="54"/>
      <c r="K855" s="40"/>
      <c r="L855" s="40"/>
      <c r="M855" s="40"/>
      <c r="N855" s="40"/>
      <c r="O855" s="40"/>
      <c r="P855" s="40"/>
      <c r="Q855" s="40"/>
      <c r="R855" s="40"/>
      <c r="S855" s="40"/>
      <c r="T855" s="40"/>
      <c r="U855" s="40"/>
      <c r="V855" s="46" t="s">
        <v>1552</v>
      </c>
      <c r="W855" s="1649">
        <f>SUM(W851:W854)</f>
        <v>195000</v>
      </c>
      <c r="X855" s="1649"/>
      <c r="Y855" s="1649"/>
      <c r="Z855" s="1649"/>
      <c r="AA855" s="1649"/>
      <c r="AB855" s="1649"/>
      <c r="AC855" s="1649"/>
      <c r="AZ855" s="3"/>
      <c r="BA855" s="3"/>
      <c r="BB855" s="3"/>
      <c r="BC855" s="3"/>
    </row>
    <row r="856" spans="3:55" ht="13.15" customHeight="1">
      <c r="AZ856" s="3"/>
      <c r="BA856" s="3"/>
      <c r="BB856" s="3"/>
      <c r="BC856" s="3"/>
    </row>
    <row r="857" spans="3:55" ht="13.15" customHeight="1">
      <c r="C857" s="2" t="s">
        <v>1553</v>
      </c>
      <c r="J857" s="37" t="s">
        <v>1554</v>
      </c>
      <c r="K857" s="5"/>
      <c r="L857" s="5"/>
      <c r="M857" s="5"/>
      <c r="N857" s="5"/>
      <c r="O857" s="5"/>
      <c r="P857" s="5"/>
      <c r="Q857" s="5"/>
      <c r="R857" s="5"/>
      <c r="S857" s="5"/>
      <c r="T857" s="5"/>
      <c r="U857" s="5"/>
      <c r="V857" s="38"/>
      <c r="W857" s="1575">
        <v>140000</v>
      </c>
      <c r="X857" s="1576"/>
      <c r="Y857" s="1576"/>
      <c r="Z857" s="1576"/>
      <c r="AA857" s="1576"/>
      <c r="AB857" s="1576"/>
      <c r="AC857" s="1577"/>
      <c r="AD857" s="428"/>
      <c r="AZ857" s="3"/>
      <c r="BA857" s="3"/>
      <c r="BB857" s="3"/>
      <c r="BC857" s="3"/>
    </row>
    <row r="858" spans="3:55" ht="13.15" customHeight="1">
      <c r="C858" s="2" t="s">
        <v>1555</v>
      </c>
      <c r="J858" s="87" t="s">
        <v>1556</v>
      </c>
      <c r="K858" s="5"/>
      <c r="L858" s="5"/>
      <c r="M858" s="5"/>
      <c r="N858" s="5"/>
      <c r="O858" s="5"/>
      <c r="P858" s="5"/>
      <c r="Q858" s="5"/>
      <c r="R858" s="5"/>
      <c r="S858" s="5"/>
      <c r="T858" s="1653"/>
      <c r="U858" s="1640"/>
      <c r="V858" s="1654"/>
      <c r="W858" s="773"/>
      <c r="X858" s="774"/>
      <c r="Y858" s="774"/>
      <c r="Z858" s="774"/>
      <c r="AA858" s="774"/>
      <c r="AB858" s="774"/>
      <c r="AC858" s="775"/>
      <c r="AD858" s="428"/>
      <c r="AZ858" s="3"/>
      <c r="BA858" s="3"/>
      <c r="BB858" s="3"/>
      <c r="BC858" s="3"/>
    </row>
    <row r="859" spans="3:55" ht="13.15" customHeight="1">
      <c r="C859" s="2"/>
      <c r="J859" s="37" t="s">
        <v>1557</v>
      </c>
      <c r="K859" s="5"/>
      <c r="L859" s="5"/>
      <c r="M859" s="5"/>
      <c r="N859" s="5"/>
      <c r="O859" s="5"/>
      <c r="P859" s="5"/>
      <c r="Q859" s="5"/>
      <c r="R859" s="5"/>
      <c r="S859" s="5"/>
      <c r="T859" s="5"/>
      <c r="U859" s="5"/>
      <c r="V859" s="38"/>
      <c r="W859" s="1575">
        <v>140000</v>
      </c>
      <c r="X859" s="1576"/>
      <c r="Y859" s="1576"/>
      <c r="Z859" s="1576"/>
      <c r="AA859" s="1576"/>
      <c r="AB859" s="1576"/>
      <c r="AC859" s="1577"/>
      <c r="AD859" s="433"/>
      <c r="AZ859" s="3"/>
      <c r="BA859" s="3"/>
      <c r="BB859" s="3"/>
      <c r="BC859" s="3"/>
    </row>
    <row r="860" spans="3:55" ht="13.15" customHeight="1">
      <c r="C860" s="2"/>
      <c r="J860" s="87" t="s">
        <v>1558</v>
      </c>
      <c r="K860" s="5"/>
      <c r="L860" s="5"/>
      <c r="M860" s="5"/>
      <c r="N860" s="5"/>
      <c r="O860" s="5"/>
      <c r="P860" s="5"/>
      <c r="Q860" s="5"/>
      <c r="R860" s="5"/>
      <c r="S860" s="5"/>
      <c r="T860" s="1653"/>
      <c r="U860" s="1640"/>
      <c r="V860" s="1654"/>
      <c r="W860" s="773"/>
      <c r="X860" s="774"/>
      <c r="Y860" s="774"/>
      <c r="Z860" s="774"/>
      <c r="AA860" s="774"/>
      <c r="AB860" s="774"/>
      <c r="AC860" s="775"/>
      <c r="AD860" s="433"/>
      <c r="AZ860" s="3"/>
      <c r="BA860" s="3"/>
      <c r="BB860" s="3"/>
      <c r="BC860" s="3"/>
    </row>
    <row r="861" spans="3:55" ht="13.15" customHeight="1">
      <c r="J861" s="37" t="s">
        <v>233</v>
      </c>
      <c r="K861" s="5"/>
      <c r="L861" s="5"/>
      <c r="M861" s="1488" t="s">
        <v>1559</v>
      </c>
      <c r="N861" s="1489"/>
      <c r="O861" s="1489"/>
      <c r="P861" s="1489"/>
      <c r="Q861" s="1489"/>
      <c r="R861" s="1489"/>
      <c r="S861" s="1489"/>
      <c r="T861" s="1489"/>
      <c r="U861" s="1489"/>
      <c r="V861" s="1490"/>
      <c r="W861" s="1575">
        <v>57935</v>
      </c>
      <c r="X861" s="1576"/>
      <c r="Y861" s="1576"/>
      <c r="Z861" s="1576"/>
      <c r="AA861" s="1576"/>
      <c r="AB861" s="1576"/>
      <c r="AC861" s="1577"/>
      <c r="AD861" s="428"/>
      <c r="AU861" s="13"/>
      <c r="AZ861" s="3"/>
      <c r="BA861" s="3"/>
      <c r="BB861" s="3"/>
      <c r="BC861" s="3"/>
    </row>
    <row r="862" spans="3:55" ht="13.15" customHeight="1">
      <c r="J862" s="37"/>
      <c r="K862" s="5"/>
      <c r="L862" s="5"/>
      <c r="M862" s="5"/>
      <c r="N862" s="5"/>
      <c r="O862" s="5"/>
      <c r="P862" s="5"/>
      <c r="Q862" s="5"/>
      <c r="R862" s="5"/>
      <c r="S862" s="5"/>
      <c r="T862" s="5"/>
      <c r="U862" s="5"/>
      <c r="V862" s="46" t="s">
        <v>1560</v>
      </c>
      <c r="W862" s="1655">
        <f>SUM(W857:W861)</f>
        <v>337935</v>
      </c>
      <c r="X862" s="1656"/>
      <c r="Y862" s="1656"/>
      <c r="Z862" s="1656"/>
      <c r="AA862" s="1656"/>
      <c r="AB862" s="1656"/>
      <c r="AC862" s="1657"/>
      <c r="AD862" s="433"/>
      <c r="AU862" s="13"/>
      <c r="AZ862" s="3"/>
      <c r="BA862" s="3"/>
      <c r="BB862" s="3"/>
      <c r="BC862" s="3"/>
    </row>
    <row r="863" spans="3:55" ht="13.15" customHeight="1">
      <c r="J863" s="37"/>
      <c r="K863" s="5"/>
      <c r="L863" s="5"/>
      <c r="M863" s="5"/>
      <c r="N863" s="5"/>
      <c r="O863" s="5"/>
      <c r="P863" s="5"/>
      <c r="Q863" s="5"/>
      <c r="R863" s="5"/>
      <c r="S863" s="5"/>
      <c r="T863" s="5"/>
      <c r="U863" s="5"/>
      <c r="V863" s="46" t="s">
        <v>1561</v>
      </c>
      <c r="W863" s="1575">
        <v>195000</v>
      </c>
      <c r="X863" s="1576"/>
      <c r="Y863" s="1576"/>
      <c r="Z863" s="1576"/>
      <c r="AA863" s="1576"/>
      <c r="AB863" s="1576"/>
      <c r="AC863" s="1577"/>
      <c r="AU863" s="13"/>
      <c r="AZ863" s="3"/>
      <c r="BA863" s="3"/>
      <c r="BB863" s="3"/>
      <c r="BC863" s="3"/>
    </row>
    <row r="864" spans="3:55" ht="13.15" customHeight="1">
      <c r="J864" s="412"/>
      <c r="AU864" s="13"/>
      <c r="AZ864" s="3"/>
      <c r="BA864" s="3"/>
      <c r="BB864" s="3"/>
      <c r="BC864" s="3"/>
    </row>
    <row r="865" spans="3:55" ht="13.15" customHeight="1">
      <c r="C865" s="2" t="s">
        <v>232</v>
      </c>
      <c r="J865" s="37" t="s">
        <v>1562</v>
      </c>
      <c r="K865" s="5"/>
      <c r="L865" s="5"/>
      <c r="M865" s="5"/>
      <c r="N865" s="5"/>
      <c r="O865" s="5"/>
      <c r="P865" s="5"/>
      <c r="Q865" s="5"/>
      <c r="R865" s="5"/>
      <c r="S865" s="5"/>
      <c r="T865" s="5"/>
      <c r="U865" s="5"/>
      <c r="V865" s="38"/>
      <c r="W865" s="1433">
        <v>18750</v>
      </c>
      <c r="X865" s="1433"/>
      <c r="Y865" s="1433"/>
      <c r="Z865" s="1433"/>
      <c r="AA865" s="1433"/>
      <c r="AB865" s="1433"/>
      <c r="AC865" s="1433"/>
      <c r="AU865" s="13"/>
      <c r="AZ865" s="3"/>
      <c r="BA865" s="3"/>
      <c r="BB865" s="3"/>
      <c r="BC865" s="3"/>
    </row>
    <row r="866" spans="3:55" ht="13.15" customHeight="1">
      <c r="J866" s="37" t="s">
        <v>1563</v>
      </c>
      <c r="K866" s="5"/>
      <c r="L866" s="5"/>
      <c r="M866" s="5"/>
      <c r="N866" s="5"/>
      <c r="O866" s="5"/>
      <c r="P866" s="5"/>
      <c r="Q866" s="5"/>
      <c r="R866" s="5"/>
      <c r="S866" s="5"/>
      <c r="T866" s="5"/>
      <c r="U866" s="5"/>
      <c r="V866" s="38"/>
      <c r="W866" s="1433">
        <v>59000</v>
      </c>
      <c r="X866" s="1433"/>
      <c r="Y866" s="1433"/>
      <c r="Z866" s="1433"/>
      <c r="AA866" s="1433"/>
      <c r="AB866" s="1433"/>
      <c r="AC866" s="1433"/>
      <c r="AU866" s="3"/>
      <c r="AZ866" s="3"/>
      <c r="BA866" s="3"/>
      <c r="BB866" s="3"/>
      <c r="BC866" s="3"/>
    </row>
    <row r="867" spans="3:55" ht="13.15" customHeight="1">
      <c r="J867" s="37" t="s">
        <v>1564</v>
      </c>
      <c r="K867" s="5"/>
      <c r="L867" s="5"/>
      <c r="M867" s="5"/>
      <c r="N867" s="5"/>
      <c r="O867" s="5"/>
      <c r="P867" s="5"/>
      <c r="Q867" s="5"/>
      <c r="R867" s="5"/>
      <c r="S867" s="5"/>
      <c r="T867" s="5"/>
      <c r="U867" s="5"/>
      <c r="V867" s="38"/>
      <c r="W867" s="1433">
        <v>80000</v>
      </c>
      <c r="X867" s="1433"/>
      <c r="Y867" s="1433"/>
      <c r="Z867" s="1433"/>
      <c r="AA867" s="1433"/>
      <c r="AB867" s="1433"/>
      <c r="AC867" s="1433"/>
      <c r="AU867" s="3"/>
      <c r="AZ867" s="3"/>
      <c r="BA867" s="3"/>
      <c r="BB867" s="3"/>
      <c r="BC867" s="3"/>
    </row>
    <row r="868" spans="3:55" ht="13.15" customHeight="1">
      <c r="J868" s="37" t="s">
        <v>1565</v>
      </c>
      <c r="K868" s="5"/>
      <c r="L868" s="5"/>
      <c r="M868" s="5"/>
      <c r="N868" s="5"/>
      <c r="O868" s="5"/>
      <c r="P868" s="5"/>
      <c r="Q868" s="5"/>
      <c r="R868" s="5"/>
      <c r="S868" s="5"/>
      <c r="T868" s="5"/>
      <c r="U868" s="5"/>
      <c r="V868" s="38"/>
      <c r="W868" s="1433">
        <v>10000</v>
      </c>
      <c r="X868" s="1433"/>
      <c r="Y868" s="1433"/>
      <c r="Z868" s="1433"/>
      <c r="AA868" s="1433"/>
      <c r="AB868" s="1433"/>
      <c r="AC868" s="1433"/>
      <c r="AU868" s="3"/>
      <c r="AZ868" s="3"/>
      <c r="BA868" s="3"/>
      <c r="BB868" s="3"/>
      <c r="BC868" s="3"/>
    </row>
    <row r="869" spans="3:55" ht="13.15" customHeight="1">
      <c r="J869" s="37" t="s">
        <v>1566</v>
      </c>
      <c r="K869" s="5"/>
      <c r="L869" s="5"/>
      <c r="M869" s="5"/>
      <c r="N869" s="5"/>
      <c r="O869" s="5"/>
      <c r="P869" s="5"/>
      <c r="Q869" s="5"/>
      <c r="R869" s="5"/>
      <c r="S869" s="5"/>
      <c r="T869" s="5"/>
      <c r="U869" s="5"/>
      <c r="V869" s="38"/>
      <c r="W869" s="1433">
        <v>17500</v>
      </c>
      <c r="X869" s="1433"/>
      <c r="Y869" s="1433"/>
      <c r="Z869" s="1433"/>
      <c r="AA869" s="1433"/>
      <c r="AB869" s="1433"/>
      <c r="AC869" s="1433"/>
      <c r="AU869" s="3"/>
      <c r="AZ869" s="3"/>
      <c r="BA869" s="3"/>
      <c r="BB869" s="3"/>
      <c r="BC869" s="3"/>
    </row>
    <row r="870" spans="3:55" ht="13.15" customHeight="1">
      <c r="J870" s="37" t="s">
        <v>1567</v>
      </c>
      <c r="K870" s="5"/>
      <c r="L870" s="5"/>
      <c r="M870" s="5"/>
      <c r="N870" s="5"/>
      <c r="O870" s="5"/>
      <c r="P870" s="5"/>
      <c r="Q870" s="5"/>
      <c r="R870" s="5"/>
      <c r="S870" s="5"/>
      <c r="T870" s="5"/>
      <c r="U870" s="5"/>
      <c r="V870" s="38"/>
      <c r="W870" s="1433">
        <v>0</v>
      </c>
      <c r="X870" s="1433"/>
      <c r="Y870" s="1433"/>
      <c r="Z870" s="1433"/>
      <c r="AA870" s="1433"/>
      <c r="AB870" s="1433"/>
      <c r="AC870" s="1433"/>
      <c r="AU870" s="3"/>
      <c r="AZ870" s="3"/>
      <c r="BA870" s="3"/>
      <c r="BB870" s="3"/>
      <c r="BC870" s="3"/>
    </row>
    <row r="871" spans="3:55" ht="13.15" customHeight="1">
      <c r="J871" s="37" t="s">
        <v>233</v>
      </c>
      <c r="K871" s="5"/>
      <c r="L871" s="5"/>
      <c r="M871" s="1488" t="s">
        <v>1347</v>
      </c>
      <c r="N871" s="1489"/>
      <c r="O871" s="1489"/>
      <c r="P871" s="1489"/>
      <c r="Q871" s="1489"/>
      <c r="R871" s="1489"/>
      <c r="S871" s="1489"/>
      <c r="T871" s="1489"/>
      <c r="U871" s="1489"/>
      <c r="V871" s="1490"/>
      <c r="W871" s="1433"/>
      <c r="X871" s="1433"/>
      <c r="Y871" s="1433"/>
      <c r="Z871" s="1433"/>
      <c r="AA871" s="1433"/>
      <c r="AB871" s="1433"/>
      <c r="AC871" s="1433"/>
      <c r="AD871" s="433"/>
      <c r="AU871" s="3"/>
      <c r="AV871" s="13"/>
      <c r="AW871" s="13"/>
      <c r="AX871" s="13"/>
      <c r="AY871" s="13"/>
      <c r="AZ871" s="3"/>
      <c r="BA871" s="3"/>
      <c r="BB871" s="3"/>
      <c r="BC871" s="3"/>
    </row>
    <row r="872" spans="3:55" ht="13.15" customHeight="1">
      <c r="J872" s="37"/>
      <c r="K872" s="5"/>
      <c r="L872" s="5"/>
      <c r="M872" s="5"/>
      <c r="N872" s="5"/>
      <c r="O872" s="5"/>
      <c r="P872" s="5"/>
      <c r="Q872" s="5"/>
      <c r="R872" s="5"/>
      <c r="S872" s="5"/>
      <c r="T872" s="5"/>
      <c r="U872" s="5"/>
      <c r="V872" s="46" t="s">
        <v>1568</v>
      </c>
      <c r="W872" s="1647">
        <f>SUM(W865:W871)</f>
        <v>185250</v>
      </c>
      <c r="X872" s="1647"/>
      <c r="Y872" s="1647"/>
      <c r="Z872" s="1647"/>
      <c r="AA872" s="1647"/>
      <c r="AB872" s="1647"/>
      <c r="AC872" s="1647"/>
      <c r="AU872" s="3"/>
      <c r="AV872" s="13"/>
      <c r="AW872" s="13"/>
      <c r="AX872" s="13"/>
      <c r="AY872" s="13"/>
      <c r="AZ872" s="3"/>
      <c r="BA872" s="3"/>
      <c r="BB872" s="3"/>
      <c r="BC872" s="3"/>
    </row>
    <row r="873" spans="3:55" ht="13.15" customHeight="1">
      <c r="AU873" s="3"/>
      <c r="AV873" s="13"/>
      <c r="AW873" s="13"/>
      <c r="AX873" s="13"/>
      <c r="AY873" s="13"/>
      <c r="AZ873" s="3"/>
      <c r="BA873" s="3"/>
      <c r="BB873" s="3"/>
      <c r="BC873" s="3"/>
    </row>
    <row r="874" spans="3:55" ht="13.15" customHeight="1">
      <c r="C874" s="2" t="s">
        <v>1569</v>
      </c>
      <c r="J874" s="37" t="s">
        <v>233</v>
      </c>
      <c r="K874" s="5"/>
      <c r="L874" s="5"/>
      <c r="M874" s="1488" t="s">
        <v>1347</v>
      </c>
      <c r="N874" s="1489"/>
      <c r="O874" s="1489"/>
      <c r="P874" s="1489"/>
      <c r="Q874" s="1489"/>
      <c r="R874" s="1489"/>
      <c r="S874" s="1489"/>
      <c r="T874" s="1489"/>
      <c r="U874" s="1489"/>
      <c r="V874" s="1490"/>
      <c r="W874" s="1424"/>
      <c r="X874" s="1425"/>
      <c r="Y874" s="1425"/>
      <c r="Z874" s="1425"/>
      <c r="AA874" s="1425"/>
      <c r="AB874" s="1425"/>
      <c r="AC874" s="1426"/>
      <c r="AD874" s="433"/>
      <c r="AV874" s="13"/>
      <c r="AW874" s="13"/>
      <c r="AX874" s="13"/>
      <c r="AY874" s="13"/>
      <c r="AZ874" s="3"/>
      <c r="BA874" s="3"/>
      <c r="BB874" s="3"/>
      <c r="BC874" s="3"/>
    </row>
    <row r="875" spans="3:55" ht="13.15" customHeight="1">
      <c r="C875" s="2" t="s">
        <v>1570</v>
      </c>
      <c r="J875" s="37" t="s">
        <v>233</v>
      </c>
      <c r="K875" s="5"/>
      <c r="L875" s="5"/>
      <c r="M875" s="1488" t="s">
        <v>1347</v>
      </c>
      <c r="N875" s="1489"/>
      <c r="O875" s="1489"/>
      <c r="P875" s="1489"/>
      <c r="Q875" s="1489"/>
      <c r="R875" s="1489"/>
      <c r="S875" s="1489"/>
      <c r="T875" s="1489"/>
      <c r="U875" s="1489"/>
      <c r="V875" s="1490"/>
      <c r="W875" s="1424"/>
      <c r="X875" s="1425"/>
      <c r="Y875" s="1425"/>
      <c r="Z875" s="1425"/>
      <c r="AA875" s="1425"/>
      <c r="AB875" s="1425"/>
      <c r="AC875" s="1426"/>
      <c r="AD875" s="433"/>
      <c r="AV875" s="13"/>
      <c r="AW875" s="13"/>
      <c r="AX875" s="13"/>
      <c r="AY875" s="13"/>
      <c r="AZ875" s="3"/>
      <c r="BA875" s="3"/>
      <c r="BB875" s="3"/>
      <c r="BC875" s="3"/>
    </row>
    <row r="876" spans="3:55" ht="13.15" customHeight="1">
      <c r="J876" s="37" t="s">
        <v>233</v>
      </c>
      <c r="K876" s="5"/>
      <c r="L876" s="5"/>
      <c r="M876" s="1488" t="s">
        <v>1347</v>
      </c>
      <c r="N876" s="1489"/>
      <c r="O876" s="1489"/>
      <c r="P876" s="1489"/>
      <c r="Q876" s="1489"/>
      <c r="R876" s="1489"/>
      <c r="S876" s="1489"/>
      <c r="T876" s="1489"/>
      <c r="U876" s="1489"/>
      <c r="V876" s="1490"/>
      <c r="W876" s="1424"/>
      <c r="X876" s="1425"/>
      <c r="Y876" s="1425"/>
      <c r="Z876" s="1425"/>
      <c r="AA876" s="1425"/>
      <c r="AB876" s="1425"/>
      <c r="AC876" s="1426"/>
      <c r="AL876" s="13"/>
      <c r="AM876" s="13"/>
      <c r="AN876" s="13"/>
      <c r="AO876" s="13"/>
      <c r="AP876" s="13"/>
      <c r="AQ876" s="13"/>
      <c r="AR876" s="13"/>
      <c r="AS876" s="13"/>
      <c r="AT876" s="13"/>
      <c r="AV876" s="3"/>
      <c r="AW876" s="3"/>
      <c r="AX876" s="3"/>
      <c r="AY876" s="3"/>
      <c r="AZ876" s="3"/>
      <c r="BA876" s="3"/>
      <c r="BB876" s="3"/>
      <c r="BC876" s="3"/>
    </row>
    <row r="877" spans="3:55" ht="13.15" customHeight="1">
      <c r="J877" s="37" t="s">
        <v>233</v>
      </c>
      <c r="K877" s="5"/>
      <c r="L877" s="5"/>
      <c r="M877" s="1488" t="s">
        <v>1347</v>
      </c>
      <c r="N877" s="1489"/>
      <c r="O877" s="1489"/>
      <c r="P877" s="1489"/>
      <c r="Q877" s="1489"/>
      <c r="R877" s="1489"/>
      <c r="S877" s="1489"/>
      <c r="T877" s="1489"/>
      <c r="U877" s="1489"/>
      <c r="V877" s="1490"/>
      <c r="W877" s="1424"/>
      <c r="X877" s="1425"/>
      <c r="Y877" s="1425"/>
      <c r="Z877" s="1425"/>
      <c r="AA877" s="1425"/>
      <c r="AB877" s="1425"/>
      <c r="AC877" s="1426"/>
      <c r="AL877" s="13"/>
      <c r="AM877" s="13"/>
      <c r="AN877" s="13"/>
      <c r="AO877" s="13"/>
      <c r="AP877" s="13"/>
      <c r="AQ877" s="13"/>
      <c r="AR877" s="13"/>
      <c r="AS877" s="13"/>
      <c r="AT877" s="13"/>
      <c r="AV877" s="3"/>
      <c r="AW877" s="3"/>
      <c r="AX877" s="3"/>
      <c r="AY877" s="3"/>
      <c r="AZ877" s="3"/>
      <c r="BA877" s="3"/>
      <c r="BB877" s="3"/>
      <c r="BC877" s="3"/>
    </row>
    <row r="878" spans="3:55" ht="13.15" customHeight="1">
      <c r="J878" s="37" t="s">
        <v>233</v>
      </c>
      <c r="K878" s="5"/>
      <c r="L878" s="5"/>
      <c r="M878" s="1488" t="s">
        <v>1347</v>
      </c>
      <c r="N878" s="1489"/>
      <c r="O878" s="1489"/>
      <c r="P878" s="1489"/>
      <c r="Q878" s="1489"/>
      <c r="R878" s="1489"/>
      <c r="S878" s="1489"/>
      <c r="T878" s="1489"/>
      <c r="U878" s="1489"/>
      <c r="V878" s="1490"/>
      <c r="W878" s="1424"/>
      <c r="X878" s="1425"/>
      <c r="Y878" s="1425"/>
      <c r="Z878" s="1425"/>
      <c r="AA878" s="1425"/>
      <c r="AB878" s="1425"/>
      <c r="AC878" s="1426"/>
      <c r="AL878" s="13"/>
      <c r="AM878" s="13"/>
      <c r="AN878" s="13"/>
      <c r="AO878" s="13"/>
      <c r="AP878" s="13"/>
      <c r="AQ878" s="13"/>
      <c r="AR878" s="13"/>
      <c r="AS878" s="13"/>
      <c r="AT878" s="13"/>
      <c r="AV878" s="3"/>
      <c r="AW878" s="3"/>
      <c r="AX878" s="3"/>
      <c r="AY878" s="3"/>
      <c r="AZ878" s="3"/>
      <c r="BA878" s="3"/>
      <c r="BB878" s="3"/>
      <c r="BC878" s="3"/>
    </row>
    <row r="879" spans="3:55" ht="13.15" customHeight="1">
      <c r="J879" s="37"/>
      <c r="K879" s="5"/>
      <c r="L879" s="5"/>
      <c r="M879" s="5"/>
      <c r="N879" s="5"/>
      <c r="O879" s="5"/>
      <c r="P879" s="5"/>
      <c r="Q879" s="5"/>
      <c r="R879" s="5"/>
      <c r="S879" s="5"/>
      <c r="T879" s="5"/>
      <c r="U879" s="5"/>
      <c r="V879" s="46" t="s">
        <v>1571</v>
      </c>
      <c r="W879" s="1561">
        <f>SUM(W874:W878)</f>
        <v>0</v>
      </c>
      <c r="X879" s="1562"/>
      <c r="Y879" s="1562"/>
      <c r="Z879" s="1562"/>
      <c r="AA879" s="1562"/>
      <c r="AB879" s="1562"/>
      <c r="AC879" s="1563"/>
      <c r="AL879" s="13"/>
      <c r="AM879" s="13"/>
      <c r="AN879" s="13"/>
      <c r="AO879" s="13"/>
      <c r="AP879" s="13"/>
      <c r="AQ879" s="13"/>
      <c r="AR879" s="13"/>
      <c r="AS879" s="13"/>
      <c r="AT879" s="13"/>
      <c r="AV879" s="3"/>
      <c r="AW879" s="3"/>
      <c r="AX879" s="3"/>
      <c r="AY879" s="3"/>
      <c r="AZ879" s="3"/>
      <c r="BA879" s="3"/>
      <c r="BB879" s="3"/>
      <c r="BC879" s="3"/>
    </row>
    <row r="880" spans="3:55" ht="13.1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15" customHeight="1">
      <c r="C881" s="2" t="s">
        <v>1572</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1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1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1573</v>
      </c>
      <c r="AC883" s="1562">
        <f>W847+W855+W862+W863+W872+W879+W849</f>
        <v>1142974</v>
      </c>
      <c r="AD883" s="1562"/>
      <c r="AE883" s="1562"/>
      <c r="AF883" s="1562"/>
      <c r="AG883" s="1562"/>
      <c r="AH883" s="1563"/>
      <c r="AL883" s="3"/>
      <c r="AM883" s="3"/>
      <c r="AN883" s="3"/>
      <c r="AO883" s="3"/>
      <c r="AP883" s="3"/>
      <c r="AQ883" s="3"/>
      <c r="AR883" s="3"/>
      <c r="AS883" s="3"/>
      <c r="AT883" s="3"/>
      <c r="AV883" s="3"/>
      <c r="AW883" s="3"/>
      <c r="AX883" s="3"/>
      <c r="AY883" s="3"/>
      <c r="AZ883" s="3"/>
      <c r="BA883" s="3"/>
      <c r="BB883" s="3"/>
      <c r="BC883" s="3"/>
    </row>
    <row r="884" spans="3:55" ht="13.1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1574</v>
      </c>
      <c r="AC884" s="1658">
        <f>O797+O777+G753</f>
        <v>195</v>
      </c>
      <c r="AD884" s="1658"/>
      <c r="AE884" s="1658"/>
      <c r="AF884" s="1658"/>
      <c r="AG884" s="1658"/>
      <c r="AH884" s="1659"/>
      <c r="AL884" s="3"/>
      <c r="AM884" s="3"/>
      <c r="AN884" s="3"/>
      <c r="AO884" s="3"/>
      <c r="AP884" s="3"/>
      <c r="AQ884" s="3"/>
      <c r="AR884" s="3"/>
      <c r="AS884" s="3"/>
      <c r="AT884" s="3"/>
      <c r="AZ884" s="3"/>
      <c r="BA884" s="3"/>
      <c r="BB884" s="3"/>
      <c r="BC884" s="3"/>
    </row>
    <row r="885" spans="3:55" ht="13.15" customHeight="1">
      <c r="C885" s="33"/>
      <c r="D885" s="34"/>
      <c r="E885" s="1591" t="s">
        <v>1575</v>
      </c>
      <c r="F885" s="1591"/>
      <c r="G885" s="1591"/>
      <c r="H885" s="1591"/>
      <c r="I885" s="1591"/>
      <c r="J885" s="1591"/>
      <c r="K885" s="1591"/>
      <c r="L885" s="1591"/>
      <c r="M885" s="1591"/>
      <c r="N885" s="1591"/>
      <c r="O885" s="1591"/>
      <c r="P885" s="1591"/>
      <c r="Q885" s="1591"/>
      <c r="R885" s="1591"/>
      <c r="S885" s="1591"/>
      <c r="T885" s="1591"/>
      <c r="U885" s="1591"/>
      <c r="V885" s="1591"/>
      <c r="W885" s="1591"/>
      <c r="X885" s="1591"/>
      <c r="Y885" s="1591"/>
      <c r="Z885" s="1591"/>
      <c r="AA885" s="1591"/>
      <c r="AB885" s="1592"/>
      <c r="AC885" s="1647">
        <f>IF(ISERROR((ROUNDDOWN(AC883/AC884,0))),0,(ROUNDDOWN(AC883/AC884,0)))</f>
        <v>5861</v>
      </c>
      <c r="AD885" s="1647"/>
      <c r="AE885" s="1647"/>
      <c r="AF885" s="1647"/>
      <c r="AG885" s="1647"/>
      <c r="AH885" s="1647"/>
      <c r="AL885" s="3"/>
      <c r="AM885" s="3"/>
      <c r="AN885" s="3"/>
      <c r="AO885" s="3"/>
      <c r="AP885" s="3"/>
      <c r="AQ885" s="3"/>
      <c r="AR885" s="3"/>
      <c r="AS885" s="3"/>
      <c r="AT885" s="3"/>
      <c r="AZ885" s="3"/>
      <c r="BA885" s="3"/>
      <c r="BB885" s="3"/>
      <c r="BC885" s="3"/>
    </row>
    <row r="886" spans="3:55" ht="13.1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1576</v>
      </c>
      <c r="AC886" s="1660">
        <v>997510</v>
      </c>
      <c r="AD886" s="1661"/>
      <c r="AE886" s="1661"/>
      <c r="AF886" s="1661"/>
      <c r="AG886" s="1661"/>
      <c r="AH886" s="1661"/>
      <c r="AL886" s="3"/>
      <c r="AM886" s="3"/>
      <c r="AN886" s="3"/>
      <c r="AO886" s="3"/>
      <c r="AP886" s="3"/>
      <c r="AQ886" s="3"/>
      <c r="AR886" s="3"/>
      <c r="AS886" s="3"/>
      <c r="AT886" s="3"/>
      <c r="AZ886" s="3"/>
      <c r="BA886" s="3"/>
      <c r="BB886" s="3"/>
      <c r="BC886" s="3"/>
    </row>
    <row r="887" spans="3:55" ht="13.1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1577</v>
      </c>
      <c r="AC887" s="1426">
        <v>0</v>
      </c>
      <c r="AD887" s="1433"/>
      <c r="AE887" s="1433"/>
      <c r="AF887" s="1433"/>
      <c r="AG887" s="1433"/>
      <c r="AH887" s="1433"/>
      <c r="AL887" s="3"/>
      <c r="AM887" s="3"/>
      <c r="AN887" s="3"/>
      <c r="AO887" s="3"/>
      <c r="AP887" s="3"/>
      <c r="AQ887" s="3"/>
      <c r="AR887" s="3"/>
      <c r="AS887" s="3"/>
      <c r="AT887" s="3"/>
      <c r="AZ887" s="3"/>
      <c r="BA887" s="3"/>
      <c r="BB887" s="3"/>
      <c r="BC887" s="3"/>
    </row>
    <row r="888" spans="3:55" ht="13.1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1578</v>
      </c>
      <c r="AC888" s="1425">
        <v>32000</v>
      </c>
      <c r="AD888" s="1425"/>
      <c r="AE888" s="1425"/>
      <c r="AF888" s="1425"/>
      <c r="AG888" s="1425"/>
      <c r="AH888" s="1426"/>
      <c r="AL888" s="3"/>
      <c r="AM888" s="3"/>
      <c r="AN888" s="3"/>
      <c r="AO888" s="3"/>
      <c r="AP888" s="3"/>
      <c r="AQ888" s="3"/>
      <c r="AR888" s="3"/>
      <c r="AS888" s="3"/>
      <c r="AT888" s="3"/>
      <c r="AZ888" s="3"/>
      <c r="BA888" s="3"/>
      <c r="BB888" s="3"/>
      <c r="BC888" s="3"/>
    </row>
    <row r="889" spans="3:55" ht="13.1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1579</v>
      </c>
      <c r="AC889" s="1425">
        <v>58500</v>
      </c>
      <c r="AD889" s="1425"/>
      <c r="AE889" s="1425"/>
      <c r="AF889" s="1425"/>
      <c r="AG889" s="1425"/>
      <c r="AH889" s="1426"/>
      <c r="AZ889" s="3"/>
      <c r="BA889" s="3"/>
      <c r="BB889" s="3"/>
      <c r="BC889" s="3"/>
    </row>
    <row r="890" spans="3:55" ht="13.1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1580</v>
      </c>
      <c r="AC890" s="1427"/>
      <c r="AD890" s="1428"/>
      <c r="AE890" s="1428"/>
      <c r="AF890" s="1428"/>
      <c r="AG890" s="1428"/>
      <c r="AH890" s="1429"/>
      <c r="AZ890" s="3"/>
      <c r="BA890" s="3"/>
      <c r="BB890" s="3"/>
      <c r="BC890" s="3"/>
    </row>
    <row r="891" spans="3:55" ht="13.1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1581</v>
      </c>
      <c r="AC891" s="1425">
        <v>10000</v>
      </c>
      <c r="AD891" s="1425"/>
      <c r="AE891" s="1425"/>
      <c r="AF891" s="1425"/>
      <c r="AG891" s="1425"/>
      <c r="AH891" s="1426"/>
      <c r="AZ891" s="3"/>
      <c r="BA891" s="3"/>
      <c r="BB891" s="3"/>
      <c r="BC891" s="3"/>
    </row>
    <row r="892" spans="3:55" ht="13.15" hidden="1" customHeight="1">
      <c r="C892" s="1407" t="s">
        <v>1582</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09"/>
      <c r="AC892" s="1425"/>
      <c r="AD892" s="1425"/>
      <c r="AE892" s="1425"/>
      <c r="AF892" s="1425"/>
      <c r="AG892" s="1425"/>
      <c r="AH892" s="1426"/>
      <c r="AZ892" s="3"/>
      <c r="BA892" s="3"/>
      <c r="BB892" s="3"/>
      <c r="BC892" s="3"/>
    </row>
    <row r="893" spans="3:55" ht="13.1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1583</v>
      </c>
      <c r="AC893" s="1425"/>
      <c r="AD893" s="1425"/>
      <c r="AE893" s="1425"/>
      <c r="AF893" s="1425"/>
      <c r="AG893" s="1425"/>
      <c r="AH893" s="1426"/>
      <c r="AZ893" s="3"/>
      <c r="BA893" s="3"/>
      <c r="BB893" s="3"/>
      <c r="BC893" s="3"/>
    </row>
    <row r="894" spans="3:55" ht="13.15" customHeight="1">
      <c r="C894" s="1578" t="s">
        <v>1584</v>
      </c>
      <c r="D894" s="1579"/>
      <c r="E894" s="1579"/>
      <c r="F894" s="1579"/>
      <c r="G894" s="1579"/>
      <c r="H894" s="1579"/>
      <c r="I894" s="1579"/>
      <c r="J894" s="1579"/>
      <c r="K894" s="1579"/>
      <c r="L894" s="1579"/>
      <c r="M894" s="1579"/>
      <c r="N894" s="1579"/>
      <c r="O894" s="1579"/>
      <c r="P894" s="1579"/>
      <c r="Q894" s="1579"/>
      <c r="R894" s="1579"/>
      <c r="S894" s="1579"/>
      <c r="T894" s="1579"/>
      <c r="U894" s="1579"/>
      <c r="V894" s="1579"/>
      <c r="W894" s="1579"/>
      <c r="X894" s="1579"/>
      <c r="Y894" s="1579"/>
      <c r="Z894" s="1579"/>
      <c r="AA894" s="1579"/>
      <c r="AB894" s="1580"/>
      <c r="AC894" s="1433"/>
      <c r="AD894" s="1433"/>
      <c r="AE894" s="1433"/>
      <c r="AF894" s="1433"/>
      <c r="AG894" s="1433"/>
      <c r="AH894" s="1433"/>
      <c r="AZ894" s="3"/>
      <c r="BA894" s="3"/>
      <c r="BB894" s="3"/>
      <c r="BC894" s="3"/>
    </row>
    <row r="895" spans="3:55" ht="13.15" customHeight="1">
      <c r="C895" s="1578" t="s">
        <v>1584</v>
      </c>
      <c r="D895" s="1579"/>
      <c r="E895" s="1579"/>
      <c r="F895" s="1579"/>
      <c r="G895" s="1579"/>
      <c r="H895" s="1579"/>
      <c r="I895" s="1579"/>
      <c r="J895" s="1579"/>
      <c r="K895" s="1579"/>
      <c r="L895" s="1579"/>
      <c r="M895" s="1579"/>
      <c r="N895" s="1579"/>
      <c r="O895" s="1579"/>
      <c r="P895" s="1579"/>
      <c r="Q895" s="1579"/>
      <c r="R895" s="1579"/>
      <c r="S895" s="1579"/>
      <c r="T895" s="1579"/>
      <c r="U895" s="1579"/>
      <c r="V895" s="1579"/>
      <c r="W895" s="1579"/>
      <c r="X895" s="1579"/>
      <c r="Y895" s="1579"/>
      <c r="Z895" s="1579"/>
      <c r="AA895" s="1579"/>
      <c r="AB895" s="1580"/>
      <c r="AC895" s="1433"/>
      <c r="AD895" s="1433"/>
      <c r="AE895" s="1433"/>
      <c r="AF895" s="1433"/>
      <c r="AG895" s="1433"/>
      <c r="AH895" s="1433"/>
      <c r="AU895" s="70"/>
      <c r="AZ895" s="3"/>
      <c r="BA895" s="3"/>
      <c r="BB895" s="3"/>
      <c r="BC895" s="3"/>
    </row>
    <row r="896" spans="3:55" ht="13.15" customHeight="1">
      <c r="E896" s="412"/>
      <c r="AB896" s="48"/>
      <c r="AC896" s="89"/>
      <c r="AD896" s="89"/>
      <c r="AE896" s="89"/>
      <c r="AF896" s="89"/>
      <c r="AG896" s="89"/>
      <c r="AH896" s="89"/>
      <c r="AU896" s="70"/>
      <c r="AZ896" s="3"/>
      <c r="BA896" s="3"/>
      <c r="BB896" s="3"/>
      <c r="BC896" s="3"/>
    </row>
    <row r="897" spans="1:58" ht="13.15" customHeight="1">
      <c r="A897" s="2" t="s">
        <v>1302</v>
      </c>
      <c r="C897" s="2" t="s">
        <v>1585</v>
      </c>
      <c r="X897" s="11"/>
      <c r="Y897" s="11"/>
      <c r="Z897" s="11"/>
      <c r="AA897" s="11"/>
      <c r="AB897" s="11"/>
      <c r="AC897" s="11"/>
      <c r="AD897" s="11"/>
      <c r="AU897" s="70"/>
      <c r="AZ897" s="3"/>
      <c r="BB897" s="25"/>
      <c r="BC897" s="25"/>
    </row>
    <row r="898" spans="1:58" ht="13.15" customHeight="1">
      <c r="X898" s="11"/>
      <c r="Y898" s="11"/>
      <c r="Z898" s="11"/>
      <c r="AA898" s="11"/>
      <c r="AB898" s="11"/>
      <c r="AC898" s="11"/>
      <c r="AD898" s="11"/>
      <c r="AF898" s="433"/>
      <c r="AG898" s="929"/>
      <c r="AH898" s="929"/>
      <c r="AI898" s="929"/>
      <c r="AU898" s="70"/>
      <c r="AZ898" s="3"/>
      <c r="BB898" s="25"/>
      <c r="BC898" s="25"/>
      <c r="BD898" s="13"/>
      <c r="BE898" s="13"/>
      <c r="BF898" s="13"/>
    </row>
    <row r="899" spans="1:58" ht="13.15" customHeight="1">
      <c r="B899" s="2"/>
      <c r="H899" s="87" t="s">
        <v>1586</v>
      </c>
      <c r="I899" s="5"/>
      <c r="J899" s="5"/>
      <c r="K899" s="5"/>
      <c r="L899" s="5"/>
      <c r="M899" s="5"/>
      <c r="N899" s="5"/>
      <c r="O899" s="5"/>
      <c r="P899" s="5"/>
      <c r="Q899" s="5"/>
      <c r="R899" s="5"/>
      <c r="S899" s="5"/>
      <c r="T899" s="5"/>
      <c r="U899" s="5"/>
      <c r="V899" s="5"/>
      <c r="W899" s="5"/>
      <c r="X899" s="5"/>
      <c r="Y899" s="38"/>
      <c r="Z899" s="1424"/>
      <c r="AA899" s="1425"/>
      <c r="AB899" s="1425"/>
      <c r="AC899" s="1425"/>
      <c r="AD899" s="1425"/>
      <c r="AE899" s="1426"/>
      <c r="AF899" s="433"/>
      <c r="AZ899" s="3"/>
      <c r="BB899" s="25"/>
      <c r="BC899" s="716"/>
      <c r="BD899" s="1574"/>
      <c r="BE899" s="1574"/>
      <c r="BF899" s="13"/>
    </row>
    <row r="900" spans="1:58" ht="13.15" customHeight="1">
      <c r="H900" s="87" t="s">
        <v>1587</v>
      </c>
      <c r="I900" s="5"/>
      <c r="J900" s="5"/>
      <c r="K900" s="5"/>
      <c r="L900" s="5"/>
      <c r="M900" s="5"/>
      <c r="N900" s="5"/>
      <c r="O900" s="5"/>
      <c r="P900" s="5"/>
      <c r="Q900" s="5"/>
      <c r="R900" s="5"/>
      <c r="S900" s="5"/>
      <c r="T900" s="5"/>
      <c r="U900" s="5"/>
      <c r="V900" s="5"/>
      <c r="W900" s="5"/>
      <c r="X900" s="5"/>
      <c r="Y900" s="5"/>
      <c r="Z900" s="1424"/>
      <c r="AA900" s="1425"/>
      <c r="AB900" s="1425"/>
      <c r="AC900" s="1425"/>
      <c r="AD900" s="1425"/>
      <c r="AE900" s="1426"/>
      <c r="AZ900" s="3"/>
      <c r="BB900" s="25"/>
      <c r="BC900" s="716"/>
      <c r="BD900" s="1574"/>
      <c r="BE900" s="1574"/>
      <c r="BF900" s="13"/>
    </row>
    <row r="901" spans="1:58" ht="13.15" customHeight="1">
      <c r="H901" s="87" t="s">
        <v>1588</v>
      </c>
      <c r="I901" s="5"/>
      <c r="J901" s="5"/>
      <c r="K901" s="5"/>
      <c r="L901" s="5"/>
      <c r="M901" s="5"/>
      <c r="N901" s="5"/>
      <c r="O901" s="5"/>
      <c r="P901" s="5"/>
      <c r="Q901" s="5"/>
      <c r="R901" s="5"/>
      <c r="S901" s="5"/>
      <c r="T901" s="5"/>
      <c r="U901" s="5"/>
      <c r="V901" s="5"/>
      <c r="W901" s="5"/>
      <c r="X901" s="5"/>
      <c r="Y901" s="5"/>
      <c r="Z901" s="1424"/>
      <c r="AA901" s="1425"/>
      <c r="AB901" s="1425"/>
      <c r="AC901" s="1425"/>
      <c r="AD901" s="1425"/>
      <c r="AE901" s="1426"/>
      <c r="AZ901" s="3"/>
      <c r="BB901" s="25"/>
      <c r="BC901" s="716"/>
      <c r="BD901" s="1295"/>
      <c r="BE901" s="1295"/>
      <c r="BF901" s="13"/>
    </row>
    <row r="902" spans="1:58" ht="13.15" customHeight="1">
      <c r="H902" s="37"/>
      <c r="I902" s="5"/>
      <c r="J902" s="5"/>
      <c r="K902" s="5"/>
      <c r="L902" s="5"/>
      <c r="M902" s="5"/>
      <c r="N902" s="5"/>
      <c r="O902" s="5"/>
      <c r="P902" s="5"/>
      <c r="Q902" s="5"/>
      <c r="R902" s="5"/>
      <c r="S902" s="5"/>
      <c r="T902" s="5"/>
      <c r="U902" s="5"/>
      <c r="V902" s="5"/>
      <c r="W902" s="5"/>
      <c r="X902" s="5"/>
      <c r="Y902" s="125" t="s">
        <v>1589</v>
      </c>
      <c r="Z902" s="1561">
        <f>Z899-(Z900+Z901)</f>
        <v>0</v>
      </c>
      <c r="AA902" s="1562"/>
      <c r="AB902" s="1562"/>
      <c r="AC902" s="1562"/>
      <c r="AD902" s="1562"/>
      <c r="AE902" s="1563"/>
      <c r="AZ902" s="3"/>
      <c r="BB902" s="25"/>
      <c r="BC902" s="716"/>
      <c r="BD902" s="1295"/>
      <c r="BE902" s="1295"/>
      <c r="BF902" s="13"/>
    </row>
    <row r="903" spans="1:58" ht="13.1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5"/>
      <c r="BE903" s="1295"/>
      <c r="BF903" s="13"/>
    </row>
    <row r="904" spans="1:58" ht="13.15" customHeight="1">
      <c r="C904" t="s">
        <v>1590</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4"/>
      <c r="BE904" s="1295"/>
      <c r="BF904" s="13"/>
    </row>
    <row r="905" spans="1:58" ht="13.15" customHeight="1">
      <c r="C905" s="126" t="s">
        <v>1591</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48"/>
      <c r="BE905" s="1648"/>
      <c r="BF905" s="1648"/>
    </row>
    <row r="906" spans="1:58" ht="13.15" customHeight="1">
      <c r="C906" s="126" t="s">
        <v>1592</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4"/>
      <c r="BE906" s="1604"/>
      <c r="BF906" s="1604"/>
    </row>
    <row r="907" spans="1:58" ht="13.15" customHeight="1">
      <c r="C907" s="243" t="s">
        <v>1593</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5"/>
      <c r="BE907" s="1295"/>
      <c r="BF907" s="13"/>
    </row>
    <row r="908" spans="1:58" ht="13.1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4"/>
      <c r="BE908" s="1295"/>
      <c r="BF908" s="13"/>
    </row>
    <row r="909" spans="1:58" ht="13.15" customHeight="1">
      <c r="AZ909" s="3"/>
      <c r="BB909" s="25"/>
      <c r="BC909" s="716"/>
    </row>
    <row r="910" spans="1:58" ht="13.15" customHeight="1">
      <c r="A910" s="1381" t="s">
        <v>1594</v>
      </c>
      <c r="B910" s="1381"/>
      <c r="C910" s="1381"/>
      <c r="D910" s="1381"/>
      <c r="E910" s="1381"/>
      <c r="F910" s="1381"/>
      <c r="G910" s="1381"/>
      <c r="H910" s="1381"/>
      <c r="I910" s="1381"/>
      <c r="J910" s="1381"/>
      <c r="K910" s="1381"/>
      <c r="L910" s="1381"/>
      <c r="M910" s="1381"/>
      <c r="N910" s="1381"/>
      <c r="O910" s="1381"/>
      <c r="P910" s="1381"/>
      <c r="Q910" s="1381"/>
      <c r="R910" s="1381"/>
      <c r="S910" s="1381"/>
      <c r="T910" s="1381"/>
      <c r="U910" s="1381"/>
      <c r="V910" s="1381"/>
      <c r="W910" s="1381"/>
      <c r="X910" s="1381"/>
      <c r="Y910" s="1381"/>
      <c r="Z910" s="1381"/>
      <c r="AA910" s="1381"/>
      <c r="AB910" s="1381"/>
      <c r="AC910" s="1381"/>
      <c r="AD910" s="1381"/>
      <c r="AE910" s="1381"/>
      <c r="AF910" s="1381"/>
      <c r="AG910" s="1381"/>
      <c r="AH910" s="1381"/>
      <c r="AI910" s="1381"/>
      <c r="AJ910" s="1381"/>
      <c r="AK910" s="1381"/>
      <c r="AL910" s="1381"/>
      <c r="AM910" s="1381"/>
      <c r="AN910" s="1381"/>
      <c r="AO910" s="1381"/>
      <c r="AP910" s="1381"/>
      <c r="AQ910" s="1381"/>
      <c r="AR910" s="1381"/>
      <c r="AS910" s="1381"/>
      <c r="AT910" s="1381"/>
      <c r="AZ910" s="3"/>
      <c r="BA910" s="3"/>
      <c r="BB910" s="25"/>
      <c r="BC910" s="25"/>
      <c r="BD910" s="1574"/>
      <c r="BE910" s="1295"/>
      <c r="BF910" s="807"/>
    </row>
    <row r="911" spans="1:58" ht="13.15" customHeight="1">
      <c r="A911" s="1381"/>
      <c r="B911" s="1381"/>
      <c r="C911" s="1381"/>
      <c r="D911" s="1381"/>
      <c r="E911" s="1381"/>
      <c r="F911" s="1381"/>
      <c r="G911" s="1381"/>
      <c r="H911" s="1381"/>
      <c r="I911" s="1381"/>
      <c r="J911" s="1381"/>
      <c r="K911" s="1381"/>
      <c r="L911" s="1381"/>
      <c r="M911" s="1381"/>
      <c r="N911" s="1381"/>
      <c r="O911" s="1381"/>
      <c r="P911" s="1381"/>
      <c r="Q911" s="1381"/>
      <c r="R911" s="1381"/>
      <c r="S911" s="1381"/>
      <c r="T911" s="1381"/>
      <c r="U911" s="1381"/>
      <c r="V911" s="1381"/>
      <c r="W911" s="1381"/>
      <c r="X911" s="1381"/>
      <c r="Y911" s="1381"/>
      <c r="Z911" s="1381"/>
      <c r="AA911" s="1381"/>
      <c r="AB911" s="1381"/>
      <c r="AC911" s="1381"/>
      <c r="AD911" s="1381"/>
      <c r="AE911" s="1381"/>
      <c r="AF911" s="1381"/>
      <c r="AG911" s="1381"/>
      <c r="AH911" s="1381"/>
      <c r="AI911" s="1381"/>
      <c r="AJ911" s="1381"/>
      <c r="AK911" s="1381"/>
      <c r="AL911" s="1381"/>
      <c r="AM911" s="1381"/>
      <c r="AN911" s="1381"/>
      <c r="AO911" s="1381"/>
      <c r="AP911" s="1381"/>
      <c r="AQ911" s="1381"/>
      <c r="AR911" s="1381"/>
      <c r="AS911" s="1381"/>
      <c r="AT911" s="1381"/>
      <c r="AZ911" s="3"/>
      <c r="BA911" s="3"/>
      <c r="BB911" s="3"/>
      <c r="BC911" s="3"/>
      <c r="BD911" s="3"/>
      <c r="BE911" s="3"/>
      <c r="BF911" s="3"/>
    </row>
    <row r="912" spans="1:58" ht="13.1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15" customHeight="1">
      <c r="A913" s="2" t="s">
        <v>868</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15" customHeight="1">
      <c r="AZ914" s="3"/>
      <c r="BA914" s="3"/>
      <c r="BB914" s="3"/>
      <c r="BC914" s="3"/>
    </row>
    <row r="915" spans="1:58" ht="13.15" customHeight="1">
      <c r="F915" s="1593" t="s">
        <v>1595</v>
      </c>
      <c r="G915" s="1594"/>
      <c r="H915" s="1594"/>
      <c r="I915" s="1594"/>
      <c r="J915" s="1594"/>
      <c r="K915" s="1594"/>
      <c r="L915" s="1594"/>
      <c r="M915" s="1594"/>
      <c r="N915" s="1594"/>
      <c r="O915" s="1594"/>
      <c r="P915" s="1594"/>
      <c r="Q915" s="1594"/>
      <c r="R915" s="1594"/>
      <c r="S915" s="1594"/>
      <c r="T915" s="1595"/>
      <c r="U915" s="1533" t="s">
        <v>1596</v>
      </c>
      <c r="V915" s="1534"/>
      <c r="W915" s="1534"/>
      <c r="X915" s="1534"/>
      <c r="Y915" s="1534"/>
      <c r="Z915" s="1534"/>
      <c r="AA915" s="35"/>
      <c r="AB915" s="216"/>
      <c r="AC915" s="216"/>
      <c r="AD915" s="216"/>
      <c r="AE915" s="216"/>
      <c r="AF915" s="1176"/>
      <c r="AZ915" s="3"/>
      <c r="BA915" s="3"/>
      <c r="BB915" s="3"/>
      <c r="BC915" s="3"/>
    </row>
    <row r="916" spans="1:58" ht="13.15" customHeight="1">
      <c r="B916" s="2"/>
      <c r="F916" s="1535" t="s">
        <v>1597</v>
      </c>
      <c r="G916" s="1536"/>
      <c r="H916" s="1536"/>
      <c r="I916" s="1536"/>
      <c r="J916" s="1536"/>
      <c r="K916" s="1536"/>
      <c r="L916" s="1536"/>
      <c r="M916" s="1536"/>
      <c r="N916" s="1536"/>
      <c r="O916" s="1536"/>
      <c r="P916" s="1536"/>
      <c r="Q916" s="1536"/>
      <c r="R916" s="1536"/>
      <c r="S916" s="1536"/>
      <c r="T916" s="1545"/>
      <c r="U916" s="1535"/>
      <c r="V916" s="1536"/>
      <c r="W916" s="1536"/>
      <c r="X916" s="1536"/>
      <c r="Y916" s="1536"/>
      <c r="Z916" s="1536"/>
      <c r="AA916" s="36"/>
      <c r="AB916" s="3"/>
      <c r="AC916" s="3"/>
      <c r="AD916" s="3"/>
      <c r="AE916" s="3"/>
      <c r="AF916" s="1177"/>
      <c r="AZ916" s="3"/>
      <c r="BA916" s="3"/>
      <c r="BB916" s="3"/>
      <c r="BC916" s="3"/>
    </row>
    <row r="917" spans="1:58" ht="13.15" customHeight="1">
      <c r="B917" s="2"/>
      <c r="F917" s="1537"/>
      <c r="G917" s="1538"/>
      <c r="H917" s="1538"/>
      <c r="I917" s="1538"/>
      <c r="J917" s="1538"/>
      <c r="K917" s="1538"/>
      <c r="L917" s="1538"/>
      <c r="M917" s="1538"/>
      <c r="N917" s="1538"/>
      <c r="O917" s="1538"/>
      <c r="P917" s="1538"/>
      <c r="Q917" s="1538"/>
      <c r="R917" s="1538"/>
      <c r="S917" s="1538"/>
      <c r="T917" s="1546"/>
      <c r="U917" s="1537"/>
      <c r="V917" s="1538"/>
      <c r="W917" s="1538"/>
      <c r="X917" s="1538"/>
      <c r="Y917" s="1538"/>
      <c r="Z917" s="1538"/>
      <c r="AA917" s="793"/>
      <c r="AB917" s="1582" t="s">
        <v>1598</v>
      </c>
      <c r="AC917" s="1582"/>
      <c r="AD917" s="1582"/>
      <c r="AE917" s="1582"/>
      <c r="AF917" s="1178"/>
      <c r="AZ917" s="3"/>
      <c r="BA917" s="3"/>
      <c r="BB917" s="3"/>
      <c r="BC917" s="3"/>
    </row>
    <row r="918" spans="1:58" ht="13.15" customHeight="1">
      <c r="B918" s="2"/>
      <c r="F918" s="37" t="s">
        <v>1599</v>
      </c>
      <c r="G918" s="40"/>
      <c r="H918" s="40"/>
      <c r="I918" s="40"/>
      <c r="J918" s="40"/>
      <c r="K918" s="40"/>
      <c r="L918" s="40"/>
      <c r="M918" s="40"/>
      <c r="N918" s="40"/>
      <c r="O918" s="40"/>
      <c r="P918" s="40"/>
      <c r="Q918" s="40"/>
      <c r="R918" s="40"/>
      <c r="S918" s="40"/>
      <c r="T918" s="41"/>
      <c r="U918" s="1363" t="s">
        <v>807</v>
      </c>
      <c r="V918" s="1364"/>
      <c r="W918" s="1364"/>
      <c r="X918" s="1364"/>
      <c r="Y918" s="1364"/>
      <c r="Z918" s="1365"/>
      <c r="AA918" s="1369"/>
      <c r="AB918" s="1370"/>
      <c r="AC918" s="1370"/>
      <c r="AD918" s="1370"/>
      <c r="AE918" s="1370"/>
      <c r="AF918" s="1371"/>
      <c r="AZ918" s="3"/>
      <c r="BA918" s="3"/>
      <c r="BB918" s="3"/>
      <c r="BC918" s="3"/>
    </row>
    <row r="919" spans="1:58" ht="13.15" customHeight="1">
      <c r="B919" s="2"/>
      <c r="F919" s="87" t="s">
        <v>1600</v>
      </c>
      <c r="G919" s="40"/>
      <c r="H919" s="40"/>
      <c r="I919" s="40"/>
      <c r="J919" s="40"/>
      <c r="K919" s="40"/>
      <c r="L919" s="40"/>
      <c r="M919" s="40"/>
      <c r="N919" s="40"/>
      <c r="O919" s="40"/>
      <c r="P919" s="40"/>
      <c r="Q919" s="40"/>
      <c r="R919" s="40"/>
      <c r="S919" s="40"/>
      <c r="T919" s="41"/>
      <c r="U919" s="1363" t="s">
        <v>807</v>
      </c>
      <c r="V919" s="1364"/>
      <c r="W919" s="1364"/>
      <c r="X919" s="1364"/>
      <c r="Y919" s="1364"/>
      <c r="Z919" s="1365"/>
      <c r="AA919" s="1369"/>
      <c r="AB919" s="1370"/>
      <c r="AC919" s="1370"/>
      <c r="AD919" s="1370"/>
      <c r="AE919" s="1370"/>
      <c r="AF919" s="1371"/>
      <c r="AZ919" s="3"/>
      <c r="BA919" s="3"/>
      <c r="BB919" s="3"/>
      <c r="BC919" s="3"/>
    </row>
    <row r="920" spans="1:58" ht="13.15" customHeight="1">
      <c r="F920" s="37" t="s">
        <v>1601</v>
      </c>
      <c r="G920" s="5"/>
      <c r="H920" s="5"/>
      <c r="I920" s="5"/>
      <c r="J920" s="5"/>
      <c r="K920" s="5"/>
      <c r="L920" s="5"/>
      <c r="M920" s="5"/>
      <c r="N920" s="5"/>
      <c r="O920" s="5"/>
      <c r="P920" s="5"/>
      <c r="Q920" s="5"/>
      <c r="R920" s="5"/>
      <c r="S920" s="5"/>
      <c r="T920" s="38"/>
      <c r="U920" s="1363" t="s">
        <v>807</v>
      </c>
      <c r="V920" s="1364"/>
      <c r="W920" s="1364"/>
      <c r="X920" s="1364"/>
      <c r="Y920" s="1364"/>
      <c r="Z920" s="1365"/>
      <c r="AA920" s="1369"/>
      <c r="AB920" s="1370"/>
      <c r="AC920" s="1370"/>
      <c r="AD920" s="1370"/>
      <c r="AE920" s="1370"/>
      <c r="AF920" s="1371"/>
      <c r="AZ920" s="3"/>
      <c r="BA920" s="3"/>
      <c r="BB920" s="3"/>
      <c r="BC920" s="3"/>
    </row>
    <row r="921" spans="1:58" ht="13.15" customHeight="1">
      <c r="F921" s="37" t="s">
        <v>1602</v>
      </c>
      <c r="G921" s="5"/>
      <c r="H921" s="5"/>
      <c r="I921" s="5"/>
      <c r="J921" s="5"/>
      <c r="K921" s="5"/>
      <c r="L921" s="5"/>
      <c r="M921" s="5"/>
      <c r="N921" s="5"/>
      <c r="O921" s="5"/>
      <c r="P921" s="5"/>
      <c r="Q921" s="5"/>
      <c r="R921" s="5"/>
      <c r="S921" s="5"/>
      <c r="T921" s="38"/>
      <c r="U921" s="1363" t="s">
        <v>807</v>
      </c>
      <c r="V921" s="1364"/>
      <c r="W921" s="1364"/>
      <c r="X921" s="1364"/>
      <c r="Y921" s="1364"/>
      <c r="Z921" s="1365"/>
      <c r="AA921" s="1369"/>
      <c r="AB921" s="1370"/>
      <c r="AC921" s="1370"/>
      <c r="AD921" s="1370"/>
      <c r="AE921" s="1370"/>
      <c r="AF921" s="1371"/>
      <c r="AZ921" s="3"/>
      <c r="BA921" s="3"/>
      <c r="BB921" s="3"/>
      <c r="BC921" s="3"/>
    </row>
    <row r="922" spans="1:58" ht="13.15" customHeight="1">
      <c r="F922" s="87" t="s">
        <v>1603</v>
      </c>
      <c r="G922" s="5"/>
      <c r="H922" s="5"/>
      <c r="I922" s="5"/>
      <c r="J922" s="5"/>
      <c r="K922" s="5"/>
      <c r="L922" s="5"/>
      <c r="M922" s="5"/>
      <c r="N922" s="5"/>
      <c r="O922" s="5"/>
      <c r="P922" s="5"/>
      <c r="Q922" s="5"/>
      <c r="R922" s="5"/>
      <c r="S922" s="5"/>
      <c r="T922" s="38"/>
      <c r="U922" s="1363" t="s">
        <v>807</v>
      </c>
      <c r="V922" s="1364"/>
      <c r="W922" s="1364"/>
      <c r="X922" s="1364"/>
      <c r="Y922" s="1364"/>
      <c r="Z922" s="1365"/>
      <c r="AA922" s="1369"/>
      <c r="AB922" s="1370"/>
      <c r="AC922" s="1370"/>
      <c r="AD922" s="1370"/>
      <c r="AE922" s="1370"/>
      <c r="AF922" s="1371"/>
      <c r="AZ922" s="3"/>
      <c r="BA922" s="3"/>
      <c r="BB922" s="3"/>
      <c r="BC922" s="3"/>
    </row>
    <row r="923" spans="1:58" ht="13.15" customHeight="1">
      <c r="F923" s="87" t="s">
        <v>1604</v>
      </c>
      <c r="G923" s="5"/>
      <c r="H923" s="5"/>
      <c r="I923" s="5"/>
      <c r="J923" s="5"/>
      <c r="K923" s="5"/>
      <c r="L923" s="5"/>
      <c r="M923" s="5"/>
      <c r="N923" s="5"/>
      <c r="O923" s="5"/>
      <c r="P923" s="5"/>
      <c r="Q923" s="5"/>
      <c r="R923" s="5"/>
      <c r="S923" s="5"/>
      <c r="T923" s="38"/>
      <c r="U923" s="1363" t="s">
        <v>807</v>
      </c>
      <c r="V923" s="1364"/>
      <c r="W923" s="1364"/>
      <c r="X923" s="1364"/>
      <c r="Y923" s="1364"/>
      <c r="Z923" s="1365"/>
      <c r="AA923" s="1369"/>
      <c r="AB923" s="1370"/>
      <c r="AC923" s="1370"/>
      <c r="AD923" s="1370"/>
      <c r="AE923" s="1370"/>
      <c r="AF923" s="1371"/>
      <c r="AZ923" s="3"/>
      <c r="BA923" s="3"/>
      <c r="BB923" s="3"/>
      <c r="BC923" s="3"/>
    </row>
    <row r="924" spans="1:58" ht="13.15" customHeight="1">
      <c r="F924" s="87" t="s">
        <v>1605</v>
      </c>
      <c r="G924" s="5"/>
      <c r="H924" s="5"/>
      <c r="I924" s="5"/>
      <c r="J924" s="5"/>
      <c r="K924" s="5"/>
      <c r="L924" s="5"/>
      <c r="M924" s="5"/>
      <c r="N924" s="5"/>
      <c r="O924" s="5"/>
      <c r="P924" s="5"/>
      <c r="Q924" s="5"/>
      <c r="R924" s="5"/>
      <c r="S924" s="5"/>
      <c r="T924" s="38"/>
      <c r="U924" s="1363" t="s">
        <v>807</v>
      </c>
      <c r="V924" s="1364"/>
      <c r="W924" s="1364"/>
      <c r="X924" s="1364"/>
      <c r="Y924" s="1364"/>
      <c r="Z924" s="1365"/>
      <c r="AA924" s="1369"/>
      <c r="AB924" s="1370"/>
      <c r="AC924" s="1370"/>
      <c r="AD924" s="1370"/>
      <c r="AE924" s="1370"/>
      <c r="AF924" s="1371"/>
      <c r="AZ924" s="3"/>
      <c r="BA924" s="3"/>
      <c r="BB924" s="3"/>
      <c r="BC924" s="3"/>
    </row>
    <row r="925" spans="1:58" ht="13.15" customHeight="1">
      <c r="F925" s="37" t="s">
        <v>1606</v>
      </c>
      <c r="G925" s="5"/>
      <c r="H925" s="5"/>
      <c r="I925" s="5"/>
      <c r="J925" s="5"/>
      <c r="K925" s="5"/>
      <c r="L925" s="5"/>
      <c r="M925" s="5"/>
      <c r="N925" s="5"/>
      <c r="O925" s="5"/>
      <c r="P925" s="5"/>
      <c r="Q925" s="5"/>
      <c r="R925" s="5"/>
      <c r="S925" s="5"/>
      <c r="T925" s="38"/>
      <c r="U925" s="1363" t="s">
        <v>807</v>
      </c>
      <c r="V925" s="1364"/>
      <c r="W925" s="1364"/>
      <c r="X925" s="1364"/>
      <c r="Y925" s="1364"/>
      <c r="Z925" s="1365"/>
      <c r="AA925" s="1369"/>
      <c r="AB925" s="1370"/>
      <c r="AC925" s="1370"/>
      <c r="AD925" s="1370"/>
      <c r="AE925" s="1370"/>
      <c r="AF925" s="1371"/>
      <c r="AZ925" s="3"/>
      <c r="BA925" s="3"/>
      <c r="BB925" s="3"/>
      <c r="BC925" s="3"/>
    </row>
    <row r="926" spans="1:58" ht="13.15" customHeight="1">
      <c r="F926" s="1547" t="s">
        <v>1607</v>
      </c>
      <c r="G926" s="1548"/>
      <c r="H926" s="1548"/>
      <c r="I926" s="1548"/>
      <c r="J926" s="1548"/>
      <c r="K926" s="1548"/>
      <c r="L926" s="1548"/>
      <c r="M926" s="1548"/>
      <c r="N926" s="1548"/>
      <c r="O926" s="1548"/>
      <c r="P926" s="1548"/>
      <c r="Q926" s="1548"/>
      <c r="R926" s="1548"/>
      <c r="S926" s="1548"/>
      <c r="T926" s="1549"/>
      <c r="U926" s="1363" t="s">
        <v>807</v>
      </c>
      <c r="V926" s="1364"/>
      <c r="W926" s="1364"/>
      <c r="X926" s="1364"/>
      <c r="Y926" s="1364"/>
      <c r="Z926" s="1365"/>
      <c r="AA926" s="1369"/>
      <c r="AB926" s="1370"/>
      <c r="AC926" s="1370"/>
      <c r="AD926" s="1370"/>
      <c r="AE926" s="1370"/>
      <c r="AF926" s="1371"/>
      <c r="AZ926" s="3"/>
      <c r="BA926" s="3"/>
      <c r="BB926" s="3"/>
      <c r="BC926" s="3"/>
    </row>
    <row r="927" spans="1:58" ht="13.15" customHeight="1">
      <c r="F927" s="1547" t="s">
        <v>1608</v>
      </c>
      <c r="G927" s="1548"/>
      <c r="H927" s="1548"/>
      <c r="I927" s="1548"/>
      <c r="J927" s="1548"/>
      <c r="K927" s="1548"/>
      <c r="L927" s="1548"/>
      <c r="M927" s="1548"/>
      <c r="N927" s="1548"/>
      <c r="O927" s="1548"/>
      <c r="P927" s="1548"/>
      <c r="Q927" s="1548"/>
      <c r="R927" s="1548"/>
      <c r="S927" s="1548"/>
      <c r="T927" s="1549"/>
      <c r="U927" s="1363" t="s">
        <v>807</v>
      </c>
      <c r="V927" s="1364"/>
      <c r="W927" s="1364"/>
      <c r="X927" s="1364"/>
      <c r="Y927" s="1364"/>
      <c r="Z927" s="1365"/>
      <c r="AA927" s="1369"/>
      <c r="AB927" s="1370"/>
      <c r="AC927" s="1370"/>
      <c r="AD927" s="1370"/>
      <c r="AE927" s="1370"/>
      <c r="AF927" s="1371"/>
      <c r="AU927" s="2"/>
      <c r="AZ927" s="3"/>
      <c r="BA927" s="3"/>
      <c r="BB927" s="3"/>
      <c r="BC927" s="3"/>
    </row>
    <row r="928" spans="1:58" ht="13.15" customHeight="1">
      <c r="F928" s="1547" t="s">
        <v>1609</v>
      </c>
      <c r="G928" s="1548"/>
      <c r="H928" s="1548"/>
      <c r="I928" s="1548"/>
      <c r="J928" s="1548"/>
      <c r="K928" s="1548"/>
      <c r="L928" s="1548"/>
      <c r="M928" s="1548"/>
      <c r="N928" s="1548"/>
      <c r="O928" s="1548"/>
      <c r="P928" s="1548"/>
      <c r="Q928" s="1548"/>
      <c r="R928" s="1548"/>
      <c r="S928" s="1548"/>
      <c r="T928" s="1549"/>
      <c r="U928" s="1363" t="s">
        <v>807</v>
      </c>
      <c r="V928" s="1364"/>
      <c r="W928" s="1364"/>
      <c r="X928" s="1364"/>
      <c r="Y928" s="1364"/>
      <c r="Z928" s="1365"/>
      <c r="AA928" s="1369"/>
      <c r="AB928" s="1370"/>
      <c r="AC928" s="1370"/>
      <c r="AD928" s="1370"/>
      <c r="AE928" s="1370"/>
      <c r="AF928" s="1371"/>
      <c r="AU928" s="2"/>
      <c r="AZ928" s="3"/>
      <c r="BA928" s="3"/>
      <c r="BB928" s="3"/>
      <c r="BC928" s="3"/>
    </row>
    <row r="929" spans="6:55" ht="13.15" customHeight="1">
      <c r="F929" s="1547" t="s">
        <v>1610</v>
      </c>
      <c r="G929" s="1548"/>
      <c r="H929" s="1548"/>
      <c r="I929" s="1548"/>
      <c r="J929" s="1548"/>
      <c r="K929" s="1548"/>
      <c r="L929" s="1548"/>
      <c r="M929" s="1548"/>
      <c r="N929" s="1548"/>
      <c r="O929" s="1548"/>
      <c r="P929" s="1548"/>
      <c r="Q929" s="1548"/>
      <c r="R929" s="1548"/>
      <c r="S929" s="1548"/>
      <c r="T929" s="1549"/>
      <c r="U929" s="1363" t="s">
        <v>807</v>
      </c>
      <c r="V929" s="1364"/>
      <c r="W929" s="1364"/>
      <c r="X929" s="1364"/>
      <c r="Y929" s="1364"/>
      <c r="Z929" s="1365"/>
      <c r="AA929" s="1369"/>
      <c r="AB929" s="1370"/>
      <c r="AC929" s="1370"/>
      <c r="AD929" s="1370"/>
      <c r="AE929" s="1370"/>
      <c r="AF929" s="1371"/>
      <c r="AU929" s="2"/>
      <c r="AZ929" s="3"/>
      <c r="BA929" s="3"/>
      <c r="BB929" s="3"/>
      <c r="BC929" s="3"/>
    </row>
    <row r="930" spans="6:55" ht="13.15" customHeight="1">
      <c r="F930" s="1547" t="s">
        <v>1611</v>
      </c>
      <c r="G930" s="1548"/>
      <c r="H930" s="1548"/>
      <c r="I930" s="1548"/>
      <c r="J930" s="1548"/>
      <c r="K930" s="1548"/>
      <c r="L930" s="1548"/>
      <c r="M930" s="1548"/>
      <c r="N930" s="1548"/>
      <c r="O930" s="1548"/>
      <c r="P930" s="1548"/>
      <c r="Q930" s="1548"/>
      <c r="R930" s="1548"/>
      <c r="S930" s="1548"/>
      <c r="T930" s="1549"/>
      <c r="U930" s="1363" t="s">
        <v>807</v>
      </c>
      <c r="V930" s="1364"/>
      <c r="W930" s="1364"/>
      <c r="X930" s="1364"/>
      <c r="Y930" s="1364"/>
      <c r="Z930" s="1365"/>
      <c r="AA930" s="1369"/>
      <c r="AB930" s="1370"/>
      <c r="AC930" s="1370"/>
      <c r="AD930" s="1370"/>
      <c r="AE930" s="1370"/>
      <c r="AF930" s="1371"/>
      <c r="AU930" s="2"/>
      <c r="AZ930" s="3"/>
      <c r="BA930" s="3"/>
      <c r="BB930" s="3"/>
      <c r="BC930" s="3"/>
    </row>
    <row r="931" spans="6:55" ht="13.15" customHeight="1">
      <c r="F931" s="1547" t="s">
        <v>1612</v>
      </c>
      <c r="G931" s="1548"/>
      <c r="H931" s="1548"/>
      <c r="I931" s="1548"/>
      <c r="J931" s="1548"/>
      <c r="K931" s="1548"/>
      <c r="L931" s="1548"/>
      <c r="M931" s="1548"/>
      <c r="N931" s="1548"/>
      <c r="O931" s="1548"/>
      <c r="P931" s="1548"/>
      <c r="Q931" s="1548"/>
      <c r="R931" s="1548"/>
      <c r="S931" s="1548"/>
      <c r="T931" s="1549"/>
      <c r="U931" s="1363" t="s">
        <v>807</v>
      </c>
      <c r="V931" s="1364"/>
      <c r="W931" s="1364"/>
      <c r="X931" s="1364"/>
      <c r="Y931" s="1364"/>
      <c r="Z931" s="1365"/>
      <c r="AA931" s="1369"/>
      <c r="AB931" s="1370"/>
      <c r="AC931" s="1370"/>
      <c r="AD931" s="1370"/>
      <c r="AE931" s="1370"/>
      <c r="AF931" s="1371"/>
      <c r="AU931" s="2"/>
      <c r="AZ931" s="3"/>
      <c r="BA931" s="3"/>
      <c r="BB931" s="3"/>
      <c r="BC931" s="3"/>
    </row>
    <row r="932" spans="6:55" ht="13.15" customHeight="1">
      <c r="F932" s="1547" t="s">
        <v>1613</v>
      </c>
      <c r="G932" s="1548"/>
      <c r="H932" s="1548"/>
      <c r="I932" s="1548"/>
      <c r="J932" s="1548"/>
      <c r="K932" s="1548"/>
      <c r="L932" s="1548"/>
      <c r="M932" s="1548"/>
      <c r="N932" s="1548"/>
      <c r="O932" s="1548"/>
      <c r="P932" s="1548"/>
      <c r="Q932" s="1548"/>
      <c r="R932" s="1548"/>
      <c r="S932" s="1548"/>
      <c r="T932" s="1549"/>
      <c r="U932" s="1363" t="s">
        <v>807</v>
      </c>
      <c r="V932" s="1364"/>
      <c r="W932" s="1364"/>
      <c r="X932" s="1364"/>
      <c r="Y932" s="1364"/>
      <c r="Z932" s="1365"/>
      <c r="AA932" s="1369"/>
      <c r="AB932" s="1370"/>
      <c r="AC932" s="1370"/>
      <c r="AD932" s="1370"/>
      <c r="AE932" s="1370"/>
      <c r="AF932" s="1371"/>
      <c r="AZ932" s="25"/>
      <c r="BA932" s="25"/>
    </row>
    <row r="933" spans="6:55" ht="13.15" customHeight="1">
      <c r="F933" s="123" t="s">
        <v>1614</v>
      </c>
      <c r="G933" s="5"/>
      <c r="H933" s="5"/>
      <c r="I933" s="5"/>
      <c r="J933" s="5"/>
      <c r="K933" s="5"/>
      <c r="L933" s="5"/>
      <c r="M933" s="5"/>
      <c r="N933" s="5"/>
      <c r="O933" s="5"/>
      <c r="P933" s="5"/>
      <c r="Q933" s="5"/>
      <c r="R933" s="5"/>
      <c r="S933" s="5"/>
      <c r="T933" s="38"/>
      <c r="U933" s="1363" t="s">
        <v>807</v>
      </c>
      <c r="V933" s="1364"/>
      <c r="W933" s="1364"/>
      <c r="X933" s="1364"/>
      <c r="Y933" s="1364"/>
      <c r="Z933" s="1365"/>
      <c r="AA933" s="1369"/>
      <c r="AB933" s="1370"/>
      <c r="AC933" s="1370"/>
      <c r="AD933" s="1370"/>
      <c r="AE933" s="1370"/>
      <c r="AF933" s="1371"/>
    </row>
    <row r="934" spans="6:55" ht="13.15" customHeight="1">
      <c r="F934" s="87" t="s">
        <v>1615</v>
      </c>
      <c r="G934" s="5"/>
      <c r="H934" s="5"/>
      <c r="I934" s="5"/>
      <c r="J934" s="5"/>
      <c r="K934" s="5"/>
      <c r="L934" s="5"/>
      <c r="M934" s="5"/>
      <c r="N934" s="5"/>
      <c r="O934" s="5"/>
      <c r="P934" s="5"/>
      <c r="Q934" s="5"/>
      <c r="R934" s="5"/>
      <c r="S934" s="5"/>
      <c r="T934" s="38"/>
      <c r="U934" s="1363" t="s">
        <v>807</v>
      </c>
      <c r="V934" s="1364"/>
      <c r="W934" s="1364"/>
      <c r="X934" s="1364"/>
      <c r="Y934" s="1364"/>
      <c r="Z934" s="1365"/>
      <c r="AA934" s="1369"/>
      <c r="AB934" s="1370"/>
      <c r="AC934" s="1370"/>
      <c r="AD934" s="1370"/>
      <c r="AE934" s="1370"/>
      <c r="AF934" s="1371"/>
      <c r="AZ934" s="25"/>
      <c r="BA934" s="13"/>
    </row>
    <row r="935" spans="6:55" ht="13.15" customHeight="1">
      <c r="F935" s="87" t="s">
        <v>1616</v>
      </c>
      <c r="G935" s="5"/>
      <c r="H935" s="5"/>
      <c r="I935" s="5"/>
      <c r="J935" s="5"/>
      <c r="K935" s="5"/>
      <c r="L935" s="5"/>
      <c r="M935" s="5"/>
      <c r="N935" s="5"/>
      <c r="O935" s="5"/>
      <c r="P935" s="5"/>
      <c r="Q935" s="5"/>
      <c r="R935" s="5"/>
      <c r="S935" s="5"/>
      <c r="T935" s="38"/>
      <c r="U935" s="1363" t="s">
        <v>807</v>
      </c>
      <c r="V935" s="1364"/>
      <c r="W935" s="1364"/>
      <c r="X935" s="1364"/>
      <c r="Y935" s="1364"/>
      <c r="Z935" s="1365"/>
      <c r="AA935" s="1369"/>
      <c r="AB935" s="1370"/>
      <c r="AC935" s="1370"/>
      <c r="AD935" s="1370"/>
      <c r="AE935" s="1370"/>
      <c r="AF935" s="1371"/>
      <c r="AZ935" s="25"/>
      <c r="BA935" s="13"/>
    </row>
    <row r="936" spans="6:55" ht="13.15" customHeight="1">
      <c r="F936" s="1584" t="s">
        <v>1617</v>
      </c>
      <c r="G936" s="1585"/>
      <c r="H936" s="1585"/>
      <c r="I936" s="1585"/>
      <c r="J936" s="1585"/>
      <c r="K936" s="1585"/>
      <c r="L936" s="1585"/>
      <c r="M936" s="1585"/>
      <c r="N936" s="1585"/>
      <c r="O936" s="1585"/>
      <c r="P936" s="1585"/>
      <c r="Q936" s="1585"/>
      <c r="R936" s="1585"/>
      <c r="S936" s="1585"/>
      <c r="T936" s="1586"/>
      <c r="U936" s="1363" t="s">
        <v>807</v>
      </c>
      <c r="V936" s="1364"/>
      <c r="W936" s="1364"/>
      <c r="X936" s="1364"/>
      <c r="Y936" s="1364"/>
      <c r="Z936" s="1365"/>
      <c r="AA936" s="1369"/>
      <c r="AB936" s="1370"/>
      <c r="AC936" s="1370"/>
      <c r="AD936" s="1370"/>
      <c r="AE936" s="1370"/>
      <c r="AF936" s="1371"/>
      <c r="AZ936" s="25"/>
      <c r="BA936" s="13"/>
    </row>
    <row r="937" spans="6:55" ht="13.15" customHeight="1">
      <c r="F937" s="1584" t="s">
        <v>1618</v>
      </c>
      <c r="G937" s="1585"/>
      <c r="H937" s="1585"/>
      <c r="I937" s="1585"/>
      <c r="J937" s="1585"/>
      <c r="K937" s="1585"/>
      <c r="L937" s="1585"/>
      <c r="M937" s="1585"/>
      <c r="N937" s="1585"/>
      <c r="O937" s="1585"/>
      <c r="P937" s="1585"/>
      <c r="Q937" s="1585"/>
      <c r="R937" s="1585"/>
      <c r="S937" s="1585"/>
      <c r="T937" s="1586"/>
      <c r="U937" s="1363" t="s">
        <v>807</v>
      </c>
      <c r="V937" s="1364"/>
      <c r="W937" s="1364"/>
      <c r="X937" s="1364"/>
      <c r="Y937" s="1364"/>
      <c r="Z937" s="1365"/>
      <c r="AA937" s="1369"/>
      <c r="AB937" s="1370"/>
      <c r="AC937" s="1370"/>
      <c r="AD937" s="1370"/>
      <c r="AE937" s="1370"/>
      <c r="AF937" s="1371"/>
      <c r="AZ937" s="25"/>
      <c r="BA937" s="25"/>
    </row>
    <row r="938" spans="6:55" ht="13.15" customHeight="1">
      <c r="F938" s="1547" t="s">
        <v>1619</v>
      </c>
      <c r="G938" s="1548"/>
      <c r="H938" s="1548"/>
      <c r="I938" s="1548"/>
      <c r="J938" s="1548"/>
      <c r="K938" s="1548"/>
      <c r="L938" s="1548"/>
      <c r="M938" s="1548"/>
      <c r="N938" s="1548"/>
      <c r="O938" s="1548"/>
      <c r="P938" s="1548"/>
      <c r="Q938" s="1548"/>
      <c r="R938" s="1548"/>
      <c r="S938" s="1548"/>
      <c r="T938" s="1549"/>
      <c r="U938" s="1363" t="s">
        <v>807</v>
      </c>
      <c r="V938" s="1364"/>
      <c r="W938" s="1364"/>
      <c r="X938" s="1364"/>
      <c r="Y938" s="1364"/>
      <c r="Z938" s="1365"/>
      <c r="AA938" s="1369"/>
      <c r="AB938" s="1370"/>
      <c r="AC938" s="1370"/>
      <c r="AD938" s="1370"/>
      <c r="AE938" s="1370"/>
      <c r="AF938" s="1371"/>
      <c r="AZ938" s="25"/>
      <c r="BA938" s="25"/>
    </row>
    <row r="939" spans="6:55" ht="13.15" customHeight="1">
      <c r="F939" s="1547" t="s">
        <v>1620</v>
      </c>
      <c r="G939" s="1548"/>
      <c r="H939" s="1548"/>
      <c r="I939" s="1548"/>
      <c r="J939" s="1548"/>
      <c r="K939" s="1548"/>
      <c r="L939" s="1548"/>
      <c r="M939" s="1548"/>
      <c r="N939" s="1548"/>
      <c r="O939" s="1548"/>
      <c r="P939" s="1548"/>
      <c r="Q939" s="1548"/>
      <c r="R939" s="1548"/>
      <c r="S939" s="1548"/>
      <c r="T939" s="1549"/>
      <c r="U939" s="1363" t="s">
        <v>807</v>
      </c>
      <c r="V939" s="1364"/>
      <c r="W939" s="1364"/>
      <c r="X939" s="1364"/>
      <c r="Y939" s="1364"/>
      <c r="Z939" s="1365"/>
      <c r="AA939" s="1369"/>
      <c r="AB939" s="1370"/>
      <c r="AC939" s="1370"/>
      <c r="AD939" s="1370"/>
      <c r="AE939" s="1370"/>
      <c r="AF939" s="1371"/>
      <c r="AZ939" s="25"/>
      <c r="BA939" s="25"/>
    </row>
    <row r="940" spans="6:55" ht="13.15" customHeight="1">
      <c r="F940" s="1547" t="s">
        <v>1621</v>
      </c>
      <c r="G940" s="1548"/>
      <c r="H940" s="1548"/>
      <c r="I940" s="1548"/>
      <c r="J940" s="1548"/>
      <c r="K940" s="1548"/>
      <c r="L940" s="1548"/>
      <c r="M940" s="1548"/>
      <c r="N940" s="1548"/>
      <c r="O940" s="1548"/>
      <c r="P940" s="1548"/>
      <c r="Q940" s="1548"/>
      <c r="R940" s="1548"/>
      <c r="S940" s="1548"/>
      <c r="T940" s="1549"/>
      <c r="U940" s="1363" t="s">
        <v>807</v>
      </c>
      <c r="V940" s="1364"/>
      <c r="W940" s="1364"/>
      <c r="X940" s="1364"/>
      <c r="Y940" s="1364"/>
      <c r="Z940" s="1365"/>
      <c r="AA940" s="1369"/>
      <c r="AB940" s="1370"/>
      <c r="AC940" s="1370"/>
      <c r="AD940" s="1370"/>
      <c r="AE940" s="1370"/>
      <c r="AF940" s="1371"/>
      <c r="AZ940" s="3"/>
      <c r="BA940" s="3"/>
      <c r="BB940" s="13"/>
      <c r="BC940" s="13"/>
    </row>
    <row r="941" spans="6:55" ht="13.15" customHeight="1">
      <c r="F941" s="87" t="s">
        <v>1622</v>
      </c>
      <c r="G941" s="5"/>
      <c r="H941" s="5"/>
      <c r="I941" s="5"/>
      <c r="J941" s="5"/>
      <c r="K941" s="5"/>
      <c r="L941" s="5"/>
      <c r="M941" s="5"/>
      <c r="N941" s="5"/>
      <c r="O941" s="5"/>
      <c r="P941" s="5"/>
      <c r="Q941" s="5"/>
      <c r="R941" s="5"/>
      <c r="S941" s="5"/>
      <c r="T941" s="38"/>
      <c r="U941" s="1363" t="s">
        <v>807</v>
      </c>
      <c r="V941" s="1364"/>
      <c r="W941" s="1364"/>
      <c r="X941" s="1364"/>
      <c r="Y941" s="1364"/>
      <c r="Z941" s="1365"/>
      <c r="AA941" s="1369"/>
      <c r="AB941" s="1370"/>
      <c r="AC941" s="1370"/>
      <c r="AD941" s="1370"/>
      <c r="AE941" s="1370"/>
      <c r="AF941" s="1371"/>
      <c r="AZ941" s="3"/>
      <c r="BA941" s="3"/>
      <c r="BB941" s="13"/>
      <c r="BC941" s="13"/>
    </row>
    <row r="942" spans="6:55" ht="13.15" customHeight="1">
      <c r="F942" s="1584" t="s">
        <v>1623</v>
      </c>
      <c r="G942" s="1585"/>
      <c r="H942" s="1585"/>
      <c r="I942" s="1585"/>
      <c r="J942" s="1585"/>
      <c r="K942" s="1585"/>
      <c r="L942" s="1585"/>
      <c r="M942" s="1585"/>
      <c r="N942" s="1585"/>
      <c r="O942" s="1585"/>
      <c r="P942" s="1585"/>
      <c r="Q942" s="1585"/>
      <c r="R942" s="1585"/>
      <c r="S942" s="1585"/>
      <c r="T942" s="1586"/>
      <c r="U942" s="1363" t="s">
        <v>807</v>
      </c>
      <c r="V942" s="1364"/>
      <c r="W942" s="1364"/>
      <c r="X942" s="1364"/>
      <c r="Y942" s="1364"/>
      <c r="Z942" s="1365"/>
      <c r="AA942" s="1369"/>
      <c r="AB942" s="1370"/>
      <c r="AC942" s="1370"/>
      <c r="AD942" s="1370"/>
      <c r="AE942" s="1370"/>
      <c r="AF942" s="1371"/>
      <c r="AZ942" s="3"/>
      <c r="BA942" s="3"/>
      <c r="BB942" s="3"/>
      <c r="BC942" s="3"/>
    </row>
    <row r="943" spans="6:55" ht="13.15" customHeight="1">
      <c r="F943" s="87" t="s">
        <v>1624</v>
      </c>
      <c r="G943" s="5"/>
      <c r="H943" s="5"/>
      <c r="I943" s="5"/>
      <c r="J943" s="5"/>
      <c r="K943" s="5"/>
      <c r="L943" s="5"/>
      <c r="M943" s="5"/>
      <c r="N943" s="5"/>
      <c r="O943" s="5"/>
      <c r="P943" s="5"/>
      <c r="Q943" s="5"/>
      <c r="R943" s="5"/>
      <c r="S943" s="5"/>
      <c r="T943" s="38"/>
      <c r="U943" s="1363" t="s">
        <v>807</v>
      </c>
      <c r="V943" s="1364"/>
      <c r="W943" s="1364"/>
      <c r="X943" s="1364"/>
      <c r="Y943" s="1364"/>
      <c r="Z943" s="1365"/>
      <c r="AA943" s="1369"/>
      <c r="AB943" s="1370"/>
      <c r="AC943" s="1370"/>
      <c r="AD943" s="1370"/>
      <c r="AE943" s="1370"/>
      <c r="AF943" s="1371"/>
      <c r="AZ943" s="3"/>
      <c r="BA943" s="3"/>
      <c r="BB943" s="3"/>
      <c r="BC943" s="3"/>
    </row>
    <row r="944" spans="6:55" ht="13.15" customHeight="1">
      <c r="F944" s="1584" t="s">
        <v>1625</v>
      </c>
      <c r="G944" s="1585"/>
      <c r="H944" s="1585"/>
      <c r="I944" s="1585"/>
      <c r="J944" s="1585"/>
      <c r="K944" s="1585"/>
      <c r="L944" s="1585"/>
      <c r="M944" s="1585"/>
      <c r="N944" s="1585"/>
      <c r="O944" s="1585"/>
      <c r="P944" s="1585"/>
      <c r="Q944" s="1585"/>
      <c r="R944" s="1585"/>
      <c r="S944" s="1585"/>
      <c r="T944" s="1586"/>
      <c r="U944" s="1363" t="s">
        <v>807</v>
      </c>
      <c r="V944" s="1364"/>
      <c r="W944" s="1364"/>
      <c r="X944" s="1364"/>
      <c r="Y944" s="1364"/>
      <c r="Z944" s="1365"/>
      <c r="AA944" s="1369"/>
      <c r="AB944" s="1370"/>
      <c r="AC944" s="1370"/>
      <c r="AD944" s="1370"/>
      <c r="AE944" s="1370"/>
      <c r="AF944" s="1371"/>
      <c r="AZ944" s="3"/>
      <c r="BA944" s="3"/>
      <c r="BB944" s="3"/>
      <c r="BC944" s="3"/>
    </row>
    <row r="945" spans="1:55" ht="13.15" customHeight="1">
      <c r="F945" s="37" t="s">
        <v>1626</v>
      </c>
      <c r="G945" s="5"/>
      <c r="H945" s="5"/>
      <c r="I945" s="5"/>
      <c r="J945" s="5"/>
      <c r="K945" s="5"/>
      <c r="L945" s="5"/>
      <c r="M945" s="5"/>
      <c r="N945" s="5"/>
      <c r="O945" s="5"/>
      <c r="P945" s="1363" t="s">
        <v>692</v>
      </c>
      <c r="Q945" s="1364"/>
      <c r="R945" s="1364"/>
      <c r="S945" s="1364"/>
      <c r="T945" s="1365"/>
      <c r="U945" s="1363" t="s">
        <v>807</v>
      </c>
      <c r="V945" s="1364"/>
      <c r="W945" s="1364"/>
      <c r="X945" s="1364"/>
      <c r="Y945" s="1364"/>
      <c r="Z945" s="1365"/>
      <c r="AA945" s="1369"/>
      <c r="AB945" s="1370"/>
      <c r="AC945" s="1370"/>
      <c r="AD945" s="1370"/>
      <c r="AE945" s="1370"/>
      <c r="AF945" s="1371"/>
      <c r="AZ945" s="3"/>
      <c r="BA945" s="3"/>
      <c r="BB945" s="3"/>
      <c r="BC945" s="3"/>
    </row>
    <row r="946" spans="1:55" ht="13.15" customHeight="1">
      <c r="F946" s="1547" t="s">
        <v>1627</v>
      </c>
      <c r="G946" s="1548"/>
      <c r="H946" s="1549"/>
      <c r="I946" s="1488" t="s">
        <v>1347</v>
      </c>
      <c r="J946" s="1489"/>
      <c r="K946" s="1489"/>
      <c r="L946" s="1489"/>
      <c r="M946" s="1489"/>
      <c r="N946" s="1489"/>
      <c r="O946" s="1489"/>
      <c r="P946" s="1489"/>
      <c r="Q946" s="1489"/>
      <c r="R946" s="1489"/>
      <c r="S946" s="1489"/>
      <c r="T946" s="1490"/>
      <c r="U946" s="1363" t="s">
        <v>807</v>
      </c>
      <c r="V946" s="1364"/>
      <c r="W946" s="1364"/>
      <c r="X946" s="1364"/>
      <c r="Y946" s="1364"/>
      <c r="Z946" s="1365"/>
      <c r="AA946" s="1369"/>
      <c r="AB946" s="1370"/>
      <c r="AC946" s="1370"/>
      <c r="AD946" s="1370"/>
      <c r="AE946" s="1370"/>
      <c r="AF946" s="1371"/>
      <c r="AZ946" s="3"/>
      <c r="BA946" s="3"/>
      <c r="BB946" s="3"/>
      <c r="BC946" s="3"/>
    </row>
    <row r="947" spans="1:55" ht="13.15" customHeight="1">
      <c r="F947" s="37" t="s">
        <v>1063</v>
      </c>
      <c r="G947" s="40"/>
      <c r="H947" s="40"/>
      <c r="I947" s="1488" t="s">
        <v>1347</v>
      </c>
      <c r="J947" s="1489"/>
      <c r="K947" s="1489"/>
      <c r="L947" s="1489"/>
      <c r="M947" s="1489"/>
      <c r="N947" s="1489"/>
      <c r="O947" s="1489"/>
      <c r="P947" s="1489"/>
      <c r="Q947" s="1489"/>
      <c r="R947" s="1489"/>
      <c r="S947" s="1489"/>
      <c r="T947" s="1490"/>
      <c r="U947" s="1363" t="s">
        <v>807</v>
      </c>
      <c r="V947" s="1364"/>
      <c r="W947" s="1364"/>
      <c r="X947" s="1364"/>
      <c r="Y947" s="1364"/>
      <c r="Z947" s="1365"/>
      <c r="AA947" s="1369"/>
      <c r="AB947" s="1370"/>
      <c r="AC947" s="1370"/>
      <c r="AD947" s="1370"/>
      <c r="AE947" s="1370"/>
      <c r="AF947" s="1371"/>
      <c r="AZ947" s="3"/>
      <c r="BA947" s="3"/>
      <c r="BB947" s="3"/>
      <c r="BC947" s="3"/>
    </row>
    <row r="948" spans="1:55" ht="13.15" customHeight="1">
      <c r="F948" s="37" t="s">
        <v>1628</v>
      </c>
      <c r="G948" s="40"/>
      <c r="H948" s="40"/>
      <c r="I948" s="1488" t="s">
        <v>1347</v>
      </c>
      <c r="J948" s="1489"/>
      <c r="K948" s="1489"/>
      <c r="L948" s="1489"/>
      <c r="M948" s="1489"/>
      <c r="N948" s="1489"/>
      <c r="O948" s="1489"/>
      <c r="P948" s="1489"/>
      <c r="Q948" s="1489"/>
      <c r="R948" s="1489"/>
      <c r="S948" s="1489"/>
      <c r="T948" s="1490"/>
      <c r="U948" s="1363" t="s">
        <v>807</v>
      </c>
      <c r="V948" s="1364"/>
      <c r="W948" s="1364"/>
      <c r="X948" s="1364"/>
      <c r="Y948" s="1364"/>
      <c r="Z948" s="1365"/>
      <c r="AA948" s="1369"/>
      <c r="AB948" s="1370"/>
      <c r="AC948" s="1370"/>
      <c r="AD948" s="1370"/>
      <c r="AE948" s="1370"/>
      <c r="AF948" s="1371"/>
      <c r="AV948" s="2"/>
      <c r="AW948" s="2"/>
      <c r="AX948" s="2"/>
      <c r="AY948" s="2"/>
      <c r="AZ948" s="3"/>
      <c r="BA948" s="3"/>
      <c r="BB948" s="3"/>
      <c r="BC948" s="3"/>
    </row>
    <row r="949" spans="1:55" ht="13.15" customHeight="1">
      <c r="F949" s="39" t="s">
        <v>233</v>
      </c>
      <c r="G949" s="40"/>
      <c r="H949" s="40"/>
      <c r="I949" s="1488" t="s">
        <v>1347</v>
      </c>
      <c r="J949" s="1489"/>
      <c r="K949" s="1489"/>
      <c r="L949" s="1489"/>
      <c r="M949" s="1489"/>
      <c r="N949" s="1489"/>
      <c r="O949" s="1489"/>
      <c r="P949" s="1489"/>
      <c r="Q949" s="1489"/>
      <c r="R949" s="1489"/>
      <c r="S949" s="1489"/>
      <c r="T949" s="1490"/>
      <c r="U949" s="1363" t="s">
        <v>807</v>
      </c>
      <c r="V949" s="1364"/>
      <c r="W949" s="1364"/>
      <c r="X949" s="1364"/>
      <c r="Y949" s="1364"/>
      <c r="Z949" s="1365"/>
      <c r="AA949" s="1369"/>
      <c r="AB949" s="1370"/>
      <c r="AC949" s="1370"/>
      <c r="AD949" s="1370"/>
      <c r="AE949" s="1370"/>
      <c r="AF949" s="1371"/>
      <c r="AU949" s="2"/>
      <c r="AZ949" s="3"/>
      <c r="BA949" s="3"/>
      <c r="BB949" s="3"/>
      <c r="BC949" s="3"/>
    </row>
    <row r="950" spans="1:55" ht="13.15" customHeight="1">
      <c r="F950" s="39" t="s">
        <v>233</v>
      </c>
      <c r="G950" s="40"/>
      <c r="H950" s="40"/>
      <c r="I950" s="1488" t="s">
        <v>1347</v>
      </c>
      <c r="J950" s="1489"/>
      <c r="K950" s="1489"/>
      <c r="L950" s="1489"/>
      <c r="M950" s="1489"/>
      <c r="N950" s="1489"/>
      <c r="O950" s="1489"/>
      <c r="P950" s="1489"/>
      <c r="Q950" s="1489"/>
      <c r="R950" s="1489"/>
      <c r="S950" s="1489"/>
      <c r="T950" s="1490"/>
      <c r="U950" s="1363" t="s">
        <v>807</v>
      </c>
      <c r="V950" s="1364"/>
      <c r="W950" s="1364"/>
      <c r="X950" s="1364"/>
      <c r="Y950" s="1364"/>
      <c r="Z950" s="1365"/>
      <c r="AA950" s="1369"/>
      <c r="AB950" s="1370"/>
      <c r="AC950" s="1370"/>
      <c r="AD950" s="1370"/>
      <c r="AE950" s="1370"/>
      <c r="AF950" s="1371"/>
      <c r="AU950" s="2"/>
      <c r="AZ950" s="3"/>
      <c r="BA950" s="3"/>
      <c r="BB950" s="3"/>
      <c r="BC950" s="3"/>
    </row>
    <row r="951" spans="1:55" ht="13.15" customHeight="1">
      <c r="AU951" s="2"/>
      <c r="AZ951" s="3"/>
      <c r="BA951" s="3"/>
      <c r="BB951" s="3"/>
      <c r="BC951" s="3"/>
    </row>
    <row r="952" spans="1:55" ht="13.15" customHeight="1">
      <c r="A952" s="2" t="s">
        <v>909</v>
      </c>
      <c r="C952" s="2" t="s">
        <v>247</v>
      </c>
      <c r="AZ952" s="3"/>
      <c r="BA952" s="3"/>
      <c r="BB952" s="3"/>
      <c r="BC952" s="3"/>
    </row>
    <row r="953" spans="1:55" ht="13.15" customHeight="1">
      <c r="B953" s="2"/>
      <c r="C953" s="19" t="s">
        <v>1629</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15" customHeight="1">
      <c r="AZ954" s="3"/>
      <c r="BA954" s="3"/>
      <c r="BB954" s="3"/>
      <c r="BC954" s="3"/>
    </row>
    <row r="955" spans="1:55" ht="13.15" customHeight="1">
      <c r="C955" s="87" t="s">
        <v>1630</v>
      </c>
      <c r="D955" s="5"/>
      <c r="E955" s="5"/>
      <c r="F955" s="5"/>
      <c r="G955" s="5"/>
      <c r="H955" s="5"/>
      <c r="I955" s="5"/>
      <c r="J955" s="5"/>
      <c r="K955" s="5"/>
      <c r="L955" s="38"/>
      <c r="M955" s="1485"/>
      <c r="N955" s="1486"/>
      <c r="O955" s="1486"/>
      <c r="P955" s="1486"/>
      <c r="Q955" s="1486"/>
      <c r="R955" s="1486"/>
      <c r="S955" s="1487"/>
      <c r="U955" s="87" t="s">
        <v>1630</v>
      </c>
      <c r="V955" s="5"/>
      <c r="W955" s="5"/>
      <c r="X955" s="5"/>
      <c r="Y955" s="5"/>
      <c r="Z955" s="5"/>
      <c r="AA955" s="5"/>
      <c r="AB955" s="5"/>
      <c r="AC955" s="5"/>
      <c r="AD955" s="38"/>
      <c r="AE955" s="1485"/>
      <c r="AF955" s="1486"/>
      <c r="AG955" s="1486"/>
      <c r="AH955" s="1486"/>
      <c r="AI955" s="1486"/>
      <c r="AJ955" s="1486"/>
      <c r="AK955" s="1487"/>
      <c r="AZ955" s="3"/>
      <c r="BA955" s="3"/>
      <c r="BB955" s="3"/>
      <c r="BC955" s="3"/>
    </row>
    <row r="956" spans="1:55" ht="13.15" customHeight="1">
      <c r="C956" s="87" t="s">
        <v>1631</v>
      </c>
      <c r="D956" s="5"/>
      <c r="E956" s="5"/>
      <c r="F956" s="5"/>
      <c r="G956" s="5"/>
      <c r="H956" s="5"/>
      <c r="I956" s="5"/>
      <c r="J956" s="5"/>
      <c r="K956" s="5"/>
      <c r="L956" s="38"/>
      <c r="M956" s="1497"/>
      <c r="N956" s="1395"/>
      <c r="O956" s="1395"/>
      <c r="P956" s="1395"/>
      <c r="Q956" s="1395"/>
      <c r="R956" s="1395"/>
      <c r="S956" s="1498"/>
      <c r="U956" s="87" t="s">
        <v>1631</v>
      </c>
      <c r="V956" s="5"/>
      <c r="W956" s="5"/>
      <c r="X956" s="5"/>
      <c r="Y956" s="5"/>
      <c r="Z956" s="5"/>
      <c r="AA956" s="5"/>
      <c r="AB956" s="5"/>
      <c r="AC956" s="5"/>
      <c r="AD956" s="38"/>
      <c r="AE956" s="1497"/>
      <c r="AF956" s="1395"/>
      <c r="AG956" s="1395"/>
      <c r="AH956" s="1395"/>
      <c r="AI956" s="1395"/>
      <c r="AJ956" s="1395"/>
      <c r="AK956" s="1498"/>
      <c r="AZ956" s="3"/>
      <c r="BA956" s="3"/>
      <c r="BB956" s="3"/>
      <c r="BC956" s="3"/>
    </row>
    <row r="957" spans="1:55" ht="13.15" customHeight="1">
      <c r="C957" s="87" t="s">
        <v>1632</v>
      </c>
      <c r="D957" s="5"/>
      <c r="E957" s="5"/>
      <c r="J957" s="1504" t="s">
        <v>309</v>
      </c>
      <c r="K957" s="1505"/>
      <c r="L957" s="1505"/>
      <c r="M957" s="1505"/>
      <c r="N957" s="1505"/>
      <c r="O957" s="1505"/>
      <c r="P957" s="1505"/>
      <c r="Q957" s="1505"/>
      <c r="R957" s="1505"/>
      <c r="S957" s="1506"/>
      <c r="U957" s="87" t="s">
        <v>1632</v>
      </c>
      <c r="V957" s="5"/>
      <c r="W957" s="5"/>
      <c r="AB957" s="1504" t="s">
        <v>309</v>
      </c>
      <c r="AC957" s="1505"/>
      <c r="AD957" s="1505"/>
      <c r="AE957" s="1505"/>
      <c r="AF957" s="1505"/>
      <c r="AG957" s="1505"/>
      <c r="AH957" s="1505"/>
      <c r="AI957" s="1505"/>
      <c r="AJ957" s="1505"/>
      <c r="AK957" s="1506"/>
      <c r="AZ957" s="3"/>
      <c r="BA957" s="3"/>
      <c r="BB957" s="3"/>
      <c r="BC957" s="3"/>
    </row>
    <row r="958" spans="1:55" ht="13.15" customHeight="1">
      <c r="C958" s="87" t="s">
        <v>1633</v>
      </c>
      <c r="D958" s="5"/>
      <c r="E958" s="5"/>
      <c r="F958" s="5"/>
      <c r="G958" s="5"/>
      <c r="H958" s="5"/>
      <c r="I958" s="5"/>
      <c r="J958" s="5"/>
      <c r="K958" s="5"/>
      <c r="L958" s="38"/>
      <c r="M958" s="1583"/>
      <c r="N958" s="1543"/>
      <c r="O958" s="1543"/>
      <c r="P958" s="1543"/>
      <c r="Q958" s="1543"/>
      <c r="R958" s="1543"/>
      <c r="S958" s="1544"/>
      <c r="U958" s="87" t="s">
        <v>1633</v>
      </c>
      <c r="V958" s="5"/>
      <c r="W958" s="5"/>
      <c r="X958" s="5"/>
      <c r="Y958" s="5"/>
      <c r="Z958" s="5"/>
      <c r="AA958" s="5"/>
      <c r="AB958" s="5"/>
      <c r="AC958" s="5"/>
      <c r="AD958" s="38"/>
      <c r="AE958" s="1542"/>
      <c r="AF958" s="1543"/>
      <c r="AG958" s="1543"/>
      <c r="AH958" s="1543"/>
      <c r="AI958" s="1543"/>
      <c r="AJ958" s="1543"/>
      <c r="AK958" s="1544"/>
      <c r="AZ958" s="3"/>
      <c r="BA958" s="3"/>
      <c r="BB958" s="3"/>
      <c r="BC958" s="3"/>
    </row>
    <row r="959" spans="1:55" ht="13.15" customHeight="1">
      <c r="C959" s="87" t="s">
        <v>1634</v>
      </c>
      <c r="D959" s="5"/>
      <c r="E959" s="5"/>
      <c r="F959" s="5"/>
      <c r="G959" s="5"/>
      <c r="H959" s="5"/>
      <c r="I959" s="5"/>
      <c r="J959" s="5"/>
      <c r="K959" s="5"/>
      <c r="L959" s="38"/>
      <c r="M959" s="1511"/>
      <c r="N959" s="1512"/>
      <c r="O959" s="1512"/>
      <c r="P959" s="1512"/>
      <c r="Q959" s="1512"/>
      <c r="R959" s="1512"/>
      <c r="S959" s="1513"/>
      <c r="U959" s="87" t="s">
        <v>1634</v>
      </c>
      <c r="V959" s="5"/>
      <c r="W959" s="5"/>
      <c r="X959" s="5"/>
      <c r="Y959" s="5"/>
      <c r="Z959" s="5"/>
      <c r="AA959" s="5"/>
      <c r="AB959" s="5"/>
      <c r="AC959" s="5"/>
      <c r="AD959" s="38"/>
      <c r="AE959" s="1511"/>
      <c r="AF959" s="1512"/>
      <c r="AG959" s="1512"/>
      <c r="AH959" s="1512"/>
      <c r="AI959" s="1512"/>
      <c r="AJ959" s="1512"/>
      <c r="AK959" s="1513"/>
      <c r="AV959" s="2"/>
      <c r="AW959" s="2"/>
      <c r="AX959" s="2"/>
      <c r="AY959" s="2"/>
      <c r="AZ959" s="3"/>
      <c r="BA959" s="3"/>
      <c r="BB959" s="3"/>
      <c r="BC959" s="3"/>
    </row>
    <row r="960" spans="1:55" ht="13.15" customHeight="1">
      <c r="C960" s="87" t="s">
        <v>1635</v>
      </c>
      <c r="D960" s="5"/>
      <c r="E960" s="5"/>
      <c r="F960" s="5"/>
      <c r="G960" s="5"/>
      <c r="H960" s="5"/>
      <c r="I960" s="5"/>
      <c r="J960" s="5"/>
      <c r="K960" s="5"/>
      <c r="L960" s="38"/>
      <c r="M960" s="1369"/>
      <c r="N960" s="1370"/>
      <c r="O960" s="1370"/>
      <c r="P960" s="1370"/>
      <c r="Q960" s="1370"/>
      <c r="R960" s="1370"/>
      <c r="S960" s="1371"/>
      <c r="U960" s="87" t="s">
        <v>1635</v>
      </c>
      <c r="V960" s="5"/>
      <c r="W960" s="5"/>
      <c r="X960" s="5"/>
      <c r="Y960" s="5"/>
      <c r="Z960" s="5"/>
      <c r="AA960" s="5"/>
      <c r="AB960" s="5"/>
      <c r="AC960" s="5"/>
      <c r="AD960" s="38"/>
      <c r="AE960" s="1369"/>
      <c r="AF960" s="1370"/>
      <c r="AG960" s="1370"/>
      <c r="AH960" s="1370"/>
      <c r="AI960" s="1370"/>
      <c r="AJ960" s="1370"/>
      <c r="AK960" s="1371"/>
      <c r="AV960" s="2"/>
      <c r="AW960" s="2"/>
      <c r="AX960" s="2"/>
      <c r="AY960" s="2"/>
      <c r="AZ960" s="3"/>
      <c r="BA960" s="3"/>
      <c r="BB960" s="3"/>
      <c r="BC960" s="3"/>
    </row>
    <row r="961" spans="1:64" ht="13.15" customHeight="1">
      <c r="C961" s="87" t="s">
        <v>1636</v>
      </c>
      <c r="D961" s="5"/>
      <c r="E961" s="5"/>
      <c r="F961" s="5"/>
      <c r="G961" s="5"/>
      <c r="H961" s="5"/>
      <c r="I961" s="5"/>
      <c r="J961" s="5"/>
      <c r="K961" s="5"/>
      <c r="L961" s="38"/>
      <c r="M961" s="1369"/>
      <c r="N961" s="1370"/>
      <c r="O961" s="1370"/>
      <c r="P961" s="1370"/>
      <c r="Q961" s="1370"/>
      <c r="R961" s="1370"/>
      <c r="S961" s="1371"/>
      <c r="U961" s="87" t="s">
        <v>1636</v>
      </c>
      <c r="V961" s="5"/>
      <c r="W961" s="5"/>
      <c r="X961" s="5"/>
      <c r="Y961" s="5"/>
      <c r="Z961" s="5"/>
      <c r="AA961" s="5"/>
      <c r="AB961" s="5"/>
      <c r="AC961" s="5"/>
      <c r="AD961" s="38"/>
      <c r="AE961" s="1369"/>
      <c r="AF961" s="1370"/>
      <c r="AG961" s="1370"/>
      <c r="AH961" s="1370"/>
      <c r="AI961" s="1370"/>
      <c r="AJ961" s="1370"/>
      <c r="AK961" s="1371"/>
      <c r="AV961" s="2"/>
      <c r="AW961" s="2"/>
      <c r="AX961" s="2"/>
      <c r="AY961" s="2"/>
      <c r="AZ961" s="3"/>
      <c r="BB961" s="3"/>
      <c r="BC961" s="3"/>
    </row>
    <row r="962" spans="1:64" ht="13.15" customHeight="1">
      <c r="C962" s="87" t="s">
        <v>1251</v>
      </c>
      <c r="D962" s="5"/>
      <c r="E962" s="5"/>
      <c r="F962" s="5"/>
      <c r="G962" s="5"/>
      <c r="H962" s="5"/>
      <c r="I962" s="5"/>
      <c r="J962" s="5"/>
      <c r="K962" s="5"/>
      <c r="L962" s="38"/>
      <c r="M962" s="1366"/>
      <c r="N962" s="1367"/>
      <c r="O962" s="1367"/>
      <c r="P962" s="1367"/>
      <c r="Q962" s="1367"/>
      <c r="R962" s="1367"/>
      <c r="S962" s="1368"/>
      <c r="U962" s="87" t="s">
        <v>1251</v>
      </c>
      <c r="V962" s="5"/>
      <c r="W962" s="5"/>
      <c r="X962" s="5"/>
      <c r="Y962" s="5"/>
      <c r="Z962" s="5"/>
      <c r="AA962" s="5"/>
      <c r="AB962" s="5"/>
      <c r="AC962" s="5"/>
      <c r="AD962" s="38"/>
      <c r="AE962" s="1366"/>
      <c r="AF962" s="1367"/>
      <c r="AG962" s="1367"/>
      <c r="AH962" s="1367"/>
      <c r="AI962" s="1367"/>
      <c r="AJ962" s="1367"/>
      <c r="AK962" s="1368"/>
      <c r="AZ962" s="3"/>
      <c r="BB962" s="3"/>
      <c r="BC962" s="3"/>
      <c r="BD962" s="3"/>
      <c r="BE962" s="3"/>
      <c r="BF962" s="3"/>
      <c r="BG962" s="3"/>
      <c r="BH962" s="3"/>
      <c r="BI962" s="3"/>
      <c r="BJ962" s="3"/>
      <c r="BK962" s="3"/>
      <c r="BL962" s="3"/>
    </row>
    <row r="963" spans="1:64" ht="13.15" customHeight="1">
      <c r="AZ963" s="3"/>
      <c r="BB963" s="3"/>
      <c r="BC963" s="3"/>
      <c r="BD963" s="3"/>
      <c r="BE963" s="3"/>
      <c r="BF963" s="3"/>
      <c r="BG963" s="3"/>
      <c r="BH963" s="3"/>
      <c r="BI963" s="3"/>
      <c r="BJ963" s="3"/>
      <c r="BK963" s="3"/>
      <c r="BL963" s="3"/>
    </row>
    <row r="964" spans="1:64" ht="13.15" customHeight="1">
      <c r="A964" s="2" t="s">
        <v>987</v>
      </c>
      <c r="C964" s="2" t="s">
        <v>1637</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15" customHeight="1">
      <c r="A965"/>
      <c r="B965" s="2"/>
      <c r="C965" s="19" t="s">
        <v>1638</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1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3.15" customHeight="1">
      <c r="A967"/>
      <c r="B967"/>
      <c r="C967"/>
      <c r="D967"/>
      <c r="E967"/>
      <c r="F967" s="37" t="s">
        <v>1639</v>
      </c>
      <c r="G967" s="5"/>
      <c r="H967" s="5"/>
      <c r="I967" s="5"/>
      <c r="J967" s="5"/>
      <c r="K967" s="5"/>
      <c r="L967" s="38"/>
      <c r="M967" s="1482"/>
      <c r="N967" s="1483"/>
      <c r="O967" s="1483"/>
      <c r="P967" s="1483"/>
      <c r="Q967" s="1483"/>
      <c r="R967" s="1483"/>
      <c r="S967" s="1484"/>
      <c r="T967" s="87" t="s">
        <v>1640</v>
      </c>
      <c r="U967" s="5"/>
      <c r="V967" s="5"/>
      <c r="W967" s="5"/>
      <c r="X967" s="5"/>
      <c r="Y967" s="5"/>
      <c r="Z967" s="38"/>
      <c r="AA967" s="1482"/>
      <c r="AB967" s="1483"/>
      <c r="AC967" s="1483"/>
      <c r="AD967" s="1483"/>
      <c r="AE967" s="1483"/>
      <c r="AF967" s="1483"/>
      <c r="AG967" s="1484"/>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3.15" customHeight="1">
      <c r="A968"/>
      <c r="B968"/>
      <c r="C968"/>
      <c r="D968"/>
      <c r="E968"/>
      <c r="F968" s="37" t="s">
        <v>1641</v>
      </c>
      <c r="G968" s="5"/>
      <c r="H968" s="5"/>
      <c r="I968" s="5"/>
      <c r="J968" s="5"/>
      <c r="K968" s="5"/>
      <c r="L968" s="38"/>
      <c r="M968" s="1482"/>
      <c r="N968" s="1483"/>
      <c r="O968" s="1483"/>
      <c r="P968" s="1483"/>
      <c r="Q968" s="1483"/>
      <c r="R968" s="1483"/>
      <c r="S968" s="1484"/>
      <c r="T968" s="87" t="s">
        <v>1642</v>
      </c>
      <c r="U968" s="5"/>
      <c r="V968" s="5"/>
      <c r="W968" s="5"/>
      <c r="X968" s="5"/>
      <c r="Y968" s="5"/>
      <c r="Z968" s="38"/>
      <c r="AA968" s="1482"/>
      <c r="AB968" s="1483"/>
      <c r="AC968" s="1483"/>
      <c r="AD968" s="1483"/>
      <c r="AE968" s="1483"/>
      <c r="AF968" s="1483"/>
      <c r="AG968" s="1484"/>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3.15" customHeight="1">
      <c r="A969"/>
      <c r="B969"/>
      <c r="C969"/>
      <c r="D969"/>
      <c r="E969"/>
      <c r="F969" s="37" t="s">
        <v>1643</v>
      </c>
      <c r="G969" s="5"/>
      <c r="H969" s="5"/>
      <c r="I969" s="5"/>
      <c r="J969" s="5"/>
      <c r="K969" s="5"/>
      <c r="L969" s="38"/>
      <c r="M969" s="1588" t="s">
        <v>807</v>
      </c>
      <c r="N969" s="1589"/>
      <c r="O969" s="1589"/>
      <c r="P969" s="1589"/>
      <c r="Q969" s="1589"/>
      <c r="R969" s="1589"/>
      <c r="S969" s="1590"/>
      <c r="T969" s="37" t="s">
        <v>1644</v>
      </c>
      <c r="U969" s="5"/>
      <c r="V969" s="5"/>
      <c r="W969" s="5"/>
      <c r="X969" s="5"/>
      <c r="Y969" s="5"/>
      <c r="Z969" s="38"/>
      <c r="AA969" s="1482"/>
      <c r="AB969" s="1483"/>
      <c r="AC969" s="1483"/>
      <c r="AD969" s="1483"/>
      <c r="AE969" s="1483"/>
      <c r="AF969" s="1483"/>
      <c r="AG969" s="1484"/>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3.15" customHeight="1">
      <c r="A970"/>
      <c r="B970"/>
      <c r="C970"/>
      <c r="D970"/>
      <c r="E970"/>
      <c r="F970" s="37" t="s">
        <v>1645</v>
      </c>
      <c r="G970" s="5"/>
      <c r="H970" s="5"/>
      <c r="I970" s="5"/>
      <c r="J970" s="5"/>
      <c r="K970" s="5"/>
      <c r="L970" s="38"/>
      <c r="M970" s="1482"/>
      <c r="N970" s="1483"/>
      <c r="O970" s="1483"/>
      <c r="P970" s="1483"/>
      <c r="Q970" s="1483"/>
      <c r="R970" s="1483"/>
      <c r="S970" s="1484"/>
      <c r="T970" s="37" t="s">
        <v>1646</v>
      </c>
      <c r="U970" s="5"/>
      <c r="V970" s="5"/>
      <c r="W970" s="5"/>
      <c r="X970" s="5"/>
      <c r="Y970" s="5"/>
      <c r="Z970" s="38"/>
      <c r="AA970" s="1482"/>
      <c r="AB970" s="1483"/>
      <c r="AC970" s="1483"/>
      <c r="AD970" s="1483"/>
      <c r="AE970" s="1483"/>
      <c r="AF970" s="1483"/>
      <c r="AG970" s="1484"/>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3.15" customHeight="1">
      <c r="A971"/>
      <c r="B971"/>
      <c r="C971"/>
      <c r="D971"/>
      <c r="E971"/>
      <c r="F971" s="37" t="s">
        <v>1647</v>
      </c>
      <c r="G971" s="5"/>
      <c r="H971" s="5"/>
      <c r="I971" s="5"/>
      <c r="J971" s="5"/>
      <c r="K971" s="5"/>
      <c r="L971" s="38"/>
      <c r="M971" s="1482"/>
      <c r="N971" s="1483"/>
      <c r="O971" s="1483"/>
      <c r="P971" s="1483"/>
      <c r="Q971" s="1483"/>
      <c r="R971" s="1483"/>
      <c r="S971" s="1484"/>
      <c r="T971" s="37" t="s">
        <v>1648</v>
      </c>
      <c r="U971" s="5"/>
      <c r="V971" s="5"/>
      <c r="W971" s="5"/>
      <c r="X971" s="5"/>
      <c r="Y971" s="5"/>
      <c r="Z971" s="38"/>
      <c r="AA971" s="1482"/>
      <c r="AB971" s="1483"/>
      <c r="AC971" s="1483"/>
      <c r="AD971" s="1483"/>
      <c r="AE971" s="1483"/>
      <c r="AF971" s="1483"/>
      <c r="AG971" s="1484"/>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3.15" customHeight="1">
      <c r="A972"/>
      <c r="B972"/>
      <c r="C972"/>
      <c r="D972"/>
      <c r="E972"/>
      <c r="F972" s="1180" t="s">
        <v>1632</v>
      </c>
      <c r="G972" s="34"/>
      <c r="H972" s="34"/>
      <c r="I972" s="34"/>
      <c r="J972" s="34"/>
      <c r="K972" s="34"/>
      <c r="L972" s="50"/>
      <c r="M972" s="1504" t="s">
        <v>309</v>
      </c>
      <c r="N972" s="1505"/>
      <c r="O972" s="1505"/>
      <c r="P972" s="1505"/>
      <c r="Q972" s="1505"/>
      <c r="R972" s="1505"/>
      <c r="S972" s="1506"/>
      <c r="T972" s="1508"/>
      <c r="U972" s="1509"/>
      <c r="V972" s="1509"/>
      <c r="W972" s="1509"/>
      <c r="X972" s="1509"/>
      <c r="Y972" s="1509"/>
      <c r="Z972" s="1510"/>
      <c r="AA972" s="1482"/>
      <c r="AB972" s="1483"/>
      <c r="AC972" s="1483"/>
      <c r="AD972" s="1483"/>
      <c r="AE972" s="1483"/>
      <c r="AF972" s="1483"/>
      <c r="AG972" s="1484"/>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3.15" customHeight="1">
      <c r="A973"/>
      <c r="B973"/>
      <c r="C973"/>
      <c r="D973"/>
      <c r="E973"/>
      <c r="F973" s="33" t="s">
        <v>1649</v>
      </c>
      <c r="G973" s="34"/>
      <c r="H973" s="34"/>
      <c r="I973" s="34"/>
      <c r="J973" s="34"/>
      <c r="K973" s="34"/>
      <c r="L973" s="50"/>
      <c r="M973" s="1482"/>
      <c r="N973" s="1483"/>
      <c r="O973" s="1483"/>
      <c r="P973" s="1483"/>
      <c r="Q973" s="1483"/>
      <c r="R973" s="1483"/>
      <c r="S973" s="1484"/>
      <c r="T973" s="1508"/>
      <c r="U973" s="1509"/>
      <c r="V973" s="1509"/>
      <c r="W973" s="1509"/>
      <c r="X973" s="1509"/>
      <c r="Y973" s="1509"/>
      <c r="Z973" s="1510"/>
      <c r="AA973" s="1482"/>
      <c r="AB973" s="1483"/>
      <c r="AC973" s="1483"/>
      <c r="AD973" s="1483"/>
      <c r="AE973" s="1483"/>
      <c r="AF973" s="1483"/>
      <c r="AG973" s="1484"/>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3.15" customHeight="1">
      <c r="F974" s="33" t="s">
        <v>1650</v>
      </c>
      <c r="G974" s="34"/>
      <c r="H974" s="34"/>
      <c r="I974" s="34"/>
      <c r="J974" s="34"/>
      <c r="K974" s="34"/>
      <c r="L974" s="34"/>
      <c r="M974" s="34"/>
      <c r="N974" s="34"/>
      <c r="O974" s="1526" t="s">
        <v>692</v>
      </c>
      <c r="P974" s="1527"/>
      <c r="Q974" s="67"/>
      <c r="R974" s="67"/>
      <c r="S974" s="68"/>
      <c r="T974" s="33" t="s">
        <v>233</v>
      </c>
      <c r="U974" s="34"/>
      <c r="V974" s="34"/>
      <c r="W974" s="1514" t="s">
        <v>1347</v>
      </c>
      <c r="X974" s="1515"/>
      <c r="Y974" s="1515"/>
      <c r="Z974" s="1515"/>
      <c r="AA974" s="1515"/>
      <c r="AB974" s="1515"/>
      <c r="AC974" s="1515"/>
      <c r="AD974" s="1515"/>
      <c r="AE974" s="1515"/>
      <c r="AF974" s="1515"/>
      <c r="AG974" s="1516"/>
      <c r="AU974" s="1179"/>
      <c r="AV974" s="70"/>
      <c r="AW974" s="70"/>
      <c r="AX974" s="70"/>
      <c r="AY974" s="70"/>
      <c r="AZ974" s="3"/>
      <c r="BB974" s="3"/>
      <c r="BC974" s="3"/>
      <c r="BD974" s="3"/>
      <c r="BE974" s="3"/>
      <c r="BF974" s="3"/>
      <c r="BG974" s="3"/>
      <c r="BH974" s="3"/>
      <c r="BI974" s="3"/>
      <c r="BJ974" s="3"/>
      <c r="BK974" s="3"/>
      <c r="BL974" s="3"/>
    </row>
    <row r="975" spans="1:64" ht="13.15" customHeight="1">
      <c r="F975" s="1499" t="s">
        <v>1651</v>
      </c>
      <c r="G975" s="1320"/>
      <c r="H975" s="1320"/>
      <c r="I975" s="1320"/>
      <c r="J975" s="1320"/>
      <c r="K975" s="1320"/>
      <c r="L975" s="1320"/>
      <c r="M975" s="1482"/>
      <c r="N975" s="1483"/>
      <c r="O975" s="1483"/>
      <c r="P975" s="1483"/>
      <c r="Q975" s="1483"/>
      <c r="R975" s="1483"/>
      <c r="S975" s="1484"/>
      <c r="T975" s="39"/>
      <c r="U975" s="40"/>
      <c r="V975" s="40"/>
      <c r="W975" s="40"/>
      <c r="X975" s="40"/>
      <c r="Y975" s="40"/>
      <c r="Z975" s="90" t="s">
        <v>1652</v>
      </c>
      <c r="AA975" s="1539"/>
      <c r="AB975" s="1540"/>
      <c r="AC975" s="1540"/>
      <c r="AD975" s="1540"/>
      <c r="AE975" s="1540"/>
      <c r="AF975" s="1540"/>
      <c r="AG975" s="1541"/>
      <c r="AU975" s="1179"/>
      <c r="AV975" s="70"/>
      <c r="AW975" s="70"/>
      <c r="AX975" s="70"/>
      <c r="AY975" s="70"/>
      <c r="AZ975" s="13"/>
      <c r="BA975" s="13"/>
      <c r="BB975" s="3"/>
      <c r="BC975" s="3"/>
      <c r="BD975" s="3"/>
      <c r="BE975" s="3"/>
      <c r="BF975" s="3"/>
      <c r="BG975" s="13"/>
      <c r="BH975" s="13"/>
      <c r="BI975" s="13"/>
      <c r="BJ975" s="13"/>
      <c r="BK975" s="13"/>
      <c r="BL975" s="13"/>
    </row>
    <row r="976" spans="1:64" ht="13.15" customHeight="1">
      <c r="AU976" s="1179"/>
      <c r="AV976" s="1179"/>
      <c r="AW976" s="1179"/>
      <c r="AX976" s="1179"/>
      <c r="AY976" s="1179"/>
      <c r="AZ976" s="13"/>
      <c r="BA976" s="13"/>
      <c r="BB976" s="13"/>
      <c r="BC976" s="13"/>
      <c r="BD976" s="13"/>
      <c r="BE976" s="13"/>
      <c r="BF976" s="13"/>
      <c r="BG976" s="1295"/>
      <c r="BH976" s="1295"/>
      <c r="BI976" s="1295"/>
      <c r="BJ976" s="1295"/>
      <c r="BK976" s="1295"/>
      <c r="BL976" s="1295"/>
    </row>
    <row r="977" spans="1:64" ht="13.1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3.15" customHeight="1">
      <c r="AU978" s="1179"/>
      <c r="AV978" s="1179"/>
      <c r="AW978" s="1179"/>
      <c r="AX978" s="1179"/>
      <c r="AY978" s="1179"/>
      <c r="AZ978" s="13"/>
      <c r="BA978" s="13"/>
      <c r="BB978" s="808"/>
      <c r="BC978" s="808"/>
    </row>
    <row r="979" spans="1:64" ht="13.15" customHeight="1">
      <c r="A979" s="1381" t="s">
        <v>1653</v>
      </c>
      <c r="B979" s="1381"/>
      <c r="C979" s="1381"/>
      <c r="D979" s="1381"/>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1"/>
      <c r="AF979" s="1381"/>
      <c r="AG979" s="1381"/>
      <c r="AH979" s="1381"/>
      <c r="AI979" s="1381"/>
      <c r="AJ979" s="1381"/>
      <c r="AK979" s="1381"/>
      <c r="AL979" s="1381"/>
      <c r="AM979" s="1381"/>
      <c r="AN979" s="1381"/>
      <c r="AO979" s="1381"/>
      <c r="AP979" s="1381"/>
      <c r="AQ979" s="1381"/>
      <c r="AR979" s="1381"/>
      <c r="AS979" s="1381"/>
      <c r="AT979" s="1381"/>
      <c r="AU979" s="1179"/>
      <c r="AV979" s="1179"/>
      <c r="AW979" s="1179"/>
      <c r="AX979" s="1179"/>
      <c r="AY979" s="1179"/>
      <c r="AZ979" s="13"/>
      <c r="BA979" s="13"/>
      <c r="BB979" s="808"/>
      <c r="BC979" s="808"/>
    </row>
    <row r="980" spans="1:64" ht="13.15" customHeight="1">
      <c r="A980" s="1381"/>
      <c r="B980" s="1381"/>
      <c r="C980" s="1381"/>
      <c r="D980" s="1381"/>
      <c r="E980" s="1381"/>
      <c r="F980" s="1381"/>
      <c r="G980" s="1381"/>
      <c r="H980" s="1381"/>
      <c r="I980" s="1381"/>
      <c r="J980" s="1381"/>
      <c r="K980" s="1381"/>
      <c r="L980" s="1381"/>
      <c r="M980" s="1381"/>
      <c r="N980" s="1381"/>
      <c r="O980" s="1381"/>
      <c r="P980" s="1381"/>
      <c r="Q980" s="1381"/>
      <c r="R980" s="1381"/>
      <c r="S980" s="1381"/>
      <c r="T980" s="1381"/>
      <c r="U980" s="1381"/>
      <c r="V980" s="1381"/>
      <c r="W980" s="1381"/>
      <c r="X980" s="1381"/>
      <c r="Y980" s="1381"/>
      <c r="Z980" s="1381"/>
      <c r="AA980" s="1381"/>
      <c r="AB980" s="1381"/>
      <c r="AC980" s="1381"/>
      <c r="AD980" s="1381"/>
      <c r="AE980" s="1381"/>
      <c r="AF980" s="1381"/>
      <c r="AG980" s="1381"/>
      <c r="AH980" s="1381"/>
      <c r="AI980" s="1381"/>
      <c r="AJ980" s="1381"/>
      <c r="AK980" s="1381"/>
      <c r="AL980" s="1381"/>
      <c r="AM980" s="1381"/>
      <c r="AN980" s="1381"/>
      <c r="AO980" s="1381"/>
      <c r="AP980" s="1381"/>
      <c r="AQ980" s="1381"/>
      <c r="AR980" s="1381"/>
      <c r="AS980" s="1381"/>
      <c r="AT980" s="1381"/>
      <c r="AU980" s="1179"/>
      <c r="AV980" s="1179"/>
      <c r="AW980" s="1179"/>
      <c r="AX980" s="1179"/>
      <c r="AY980" s="1179"/>
      <c r="AZ980" s="25"/>
      <c r="BA980" s="13"/>
      <c r="BB980" s="13"/>
      <c r="BC980" s="13"/>
    </row>
    <row r="981" spans="1:64" ht="13.15" customHeight="1">
      <c r="A981" s="1381"/>
      <c r="B981" s="1381"/>
      <c r="C981" s="1381"/>
      <c r="D981" s="1381"/>
      <c r="E981" s="1381"/>
      <c r="F981" s="1381"/>
      <c r="G981" s="1381"/>
      <c r="H981" s="1381"/>
      <c r="I981" s="1381"/>
      <c r="J981" s="1381"/>
      <c r="K981" s="1381"/>
      <c r="L981" s="1381"/>
      <c r="M981" s="1381"/>
      <c r="N981" s="1381"/>
      <c r="O981" s="1381"/>
      <c r="P981" s="1381"/>
      <c r="Q981" s="1381"/>
      <c r="R981" s="1381"/>
      <c r="S981" s="1381"/>
      <c r="T981" s="1381"/>
      <c r="U981" s="1381"/>
      <c r="V981" s="1381"/>
      <c r="W981" s="1381"/>
      <c r="X981" s="1381"/>
      <c r="Y981" s="1381"/>
      <c r="Z981" s="1381"/>
      <c r="AA981" s="1381"/>
      <c r="AB981" s="1381"/>
      <c r="AC981" s="1381"/>
      <c r="AD981" s="1381"/>
      <c r="AE981" s="1381"/>
      <c r="AF981" s="1381"/>
      <c r="AG981" s="1381"/>
      <c r="AH981" s="1381"/>
      <c r="AI981" s="1381"/>
      <c r="AJ981" s="1381"/>
      <c r="AK981" s="1381"/>
      <c r="AL981" s="1381"/>
      <c r="AM981" s="1381"/>
      <c r="AN981" s="1381"/>
      <c r="AO981" s="1381"/>
      <c r="AP981" s="1381"/>
      <c r="AQ981" s="1381"/>
      <c r="AR981" s="1381"/>
      <c r="AS981" s="1381"/>
      <c r="AT981" s="1381"/>
      <c r="AU981" s="1179"/>
      <c r="AV981" s="1179"/>
      <c r="AW981" s="1179"/>
      <c r="AX981" s="1179"/>
      <c r="AY981" s="1179"/>
      <c r="AZ981" s="25"/>
      <c r="BA981" s="13"/>
      <c r="BB981" s="13"/>
      <c r="BC981" s="13"/>
    </row>
    <row r="982" spans="1:64" ht="13.1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3.15" customHeight="1">
      <c r="A983" s="2" t="s">
        <v>868</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3.1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3.15" customHeight="1">
      <c r="A985" s="13"/>
      <c r="B985" s="61"/>
      <c r="C985" s="1181"/>
      <c r="D985" s="1500" t="s">
        <v>1654</v>
      </c>
      <c r="E985" s="1501"/>
      <c r="F985" s="1501"/>
      <c r="G985" s="1501"/>
      <c r="H985" s="1501"/>
      <c r="I985" s="1501"/>
      <c r="J985" s="1501"/>
      <c r="K985" s="1501"/>
      <c r="L985" s="1501"/>
      <c r="M985" s="1501"/>
      <c r="N985" s="1501"/>
      <c r="O985" s="1501"/>
      <c r="P985" s="1501"/>
      <c r="Q985" s="1502"/>
      <c r="R985" s="1500" t="s">
        <v>1655</v>
      </c>
      <c r="S985" s="1501"/>
      <c r="T985" s="1501"/>
      <c r="U985" s="1501"/>
      <c r="V985" s="1501"/>
      <c r="W985" s="1501"/>
      <c r="X985" s="1501"/>
      <c r="Y985" s="1501"/>
      <c r="Z985" s="1501"/>
      <c r="AA985" s="1502"/>
      <c r="AB985" s="1500" t="s">
        <v>1656</v>
      </c>
      <c r="AC985" s="1501"/>
      <c r="AD985" s="1501"/>
      <c r="AE985" s="1501"/>
      <c r="AF985" s="1501"/>
      <c r="AG985" s="1501"/>
      <c r="AH985" s="1501"/>
      <c r="AI985" s="1502"/>
      <c r="AJ985" s="1500" t="s">
        <v>1657</v>
      </c>
      <c r="AK985" s="1501"/>
      <c r="AL985" s="1501"/>
      <c r="AM985" s="1501"/>
      <c r="AN985" s="1501"/>
      <c r="AO985" s="1501"/>
      <c r="AP985" s="1501"/>
      <c r="AQ985" s="1502"/>
      <c r="AR985" s="1179"/>
      <c r="AS985" s="1179"/>
      <c r="AT985" s="1179"/>
      <c r="AU985" s="1179"/>
      <c r="AV985" s="1179"/>
      <c r="AW985" s="1179"/>
      <c r="AX985" s="1179"/>
      <c r="AY985" s="1179"/>
      <c r="AZ985" s="25"/>
      <c r="BB985" s="13"/>
      <c r="BC985" s="13"/>
    </row>
    <row r="986" spans="1:64" ht="13.15" customHeight="1">
      <c r="A986" s="13"/>
      <c r="B986" s="58"/>
      <c r="C986" s="823"/>
      <c r="D986" s="1348" t="s">
        <v>833</v>
      </c>
      <c r="E986" s="1349"/>
      <c r="F986" s="1349"/>
      <c r="G986" s="1349"/>
      <c r="H986" s="1349"/>
      <c r="I986" s="1349"/>
      <c r="J986" s="1349"/>
      <c r="K986" s="1349"/>
      <c r="L986" s="1349"/>
      <c r="M986" s="1349"/>
      <c r="N986" s="1349"/>
      <c r="O986" s="1349"/>
      <c r="P986" s="1349"/>
      <c r="Q986" s="1350"/>
      <c r="R986" s="1503">
        <f>IF(ISNA(IF($CU$122="4%",(INDEX($CS$160:$CW$217,MATCH($DG$122,$CR$160:$CR$217,0),MATCH(D986,$CS$159:$CW$159,0))),(INDEX($CZ$160:$DD$217,MATCH($DG$122,$CY$160:$CY$217,0),MATCH(D986,$CZ$159:$DD$159,0))))),0,IF($CU$122="4%",(INDEX($CS$160:$CW$217,MATCH($DG$122,$CR$160:$CR$217,0),MATCH(D986,$CS$159:$CW$159,0))),(INDEX($CZ$160:$DD$217,MATCH($DG$122,$CY$160:$CY$217,0),MATCH(D986,$CZ$159:$DD$159,0)))))</f>
        <v>473390</v>
      </c>
      <c r="S986" s="1503"/>
      <c r="T986" s="1503"/>
      <c r="U986" s="1503"/>
      <c r="V986" s="1503"/>
      <c r="W986" s="1503"/>
      <c r="X986" s="1503"/>
      <c r="Y986" s="1503"/>
      <c r="Z986" s="1503"/>
      <c r="AA986" s="1503"/>
      <c r="AB986" s="1351">
        <f>CP802</f>
        <v>0</v>
      </c>
      <c r="AC986" s="1352"/>
      <c r="AD986" s="1352"/>
      <c r="AE986" s="1352"/>
      <c r="AF986" s="1352"/>
      <c r="AG986" s="1352"/>
      <c r="AH986" s="1352"/>
      <c r="AI986" s="1353"/>
      <c r="AJ986" s="1440">
        <f>IF(ISERROR((R986*AB986)),0,(R986*AB986))</f>
        <v>0</v>
      </c>
      <c r="AK986" s="1441"/>
      <c r="AL986" s="1441"/>
      <c r="AM986" s="1441"/>
      <c r="AN986" s="1441"/>
      <c r="AO986" s="1441"/>
      <c r="AP986" s="1441"/>
      <c r="AQ986" s="1442"/>
      <c r="AR986" s="1179"/>
      <c r="AS986" s="1179"/>
      <c r="AT986" s="1179"/>
      <c r="AU986" s="1179"/>
      <c r="AV986" s="1179"/>
      <c r="AW986" s="1179"/>
      <c r="AX986" s="1179"/>
      <c r="AY986" s="1179"/>
      <c r="AZ986" s="25"/>
      <c r="BB986" s="13"/>
      <c r="BC986" s="13"/>
    </row>
    <row r="987" spans="1:64" ht="13.15" customHeight="1">
      <c r="A987" s="13"/>
      <c r="B987" s="58"/>
      <c r="C987" s="62"/>
      <c r="D987" s="1348" t="s">
        <v>828</v>
      </c>
      <c r="E987" s="1349"/>
      <c r="F987" s="1349"/>
      <c r="G987" s="1349"/>
      <c r="H987" s="1349"/>
      <c r="I987" s="1349"/>
      <c r="J987" s="1349"/>
      <c r="K987" s="1349"/>
      <c r="L987" s="1349"/>
      <c r="M987" s="1349"/>
      <c r="N987" s="1349"/>
      <c r="O987" s="1349"/>
      <c r="P987" s="1349"/>
      <c r="Q987" s="1350"/>
      <c r="R987" s="1503">
        <f>IF(ISNA(IF($CU$122="4%",(INDEX($CS$160:$CW$217,MATCH($DG$122,$CR$160:$CR$217,0),MATCH(D987,$CS$159:$CW$159,0))),(INDEX($CZ$160:$DD$217,MATCH($DG$122,$CY$160:$CY$217,0),MATCH(D987,$CZ$159:$DD$159,0))))),0,IF($CU$122="4%",(INDEX($CS$160:$CW$217,MATCH($DG$122,$CR$160:$CR$217,0),MATCH(D987,$CS$159:$CW$159,0))),(INDEX($CZ$160:$DD$217,MATCH($DG$122,$CY$160:$CY$217,0),MATCH(D987,$CZ$159:$DD$159,0)))))</f>
        <v>545814</v>
      </c>
      <c r="S987" s="1503"/>
      <c r="T987" s="1503"/>
      <c r="U987" s="1503"/>
      <c r="V987" s="1503"/>
      <c r="W987" s="1503"/>
      <c r="X987" s="1503"/>
      <c r="Y987" s="1503"/>
      <c r="Z987" s="1503"/>
      <c r="AA987" s="1503"/>
      <c r="AB987" s="1351">
        <f>CU802</f>
        <v>91</v>
      </c>
      <c r="AC987" s="1352"/>
      <c r="AD987" s="1352"/>
      <c r="AE987" s="1352"/>
      <c r="AF987" s="1352"/>
      <c r="AG987" s="1352"/>
      <c r="AH987" s="1352"/>
      <c r="AI987" s="1353"/>
      <c r="AJ987" s="1440">
        <f>IF(ISERROR((R987*AB987)),0,(R987*AB987))</f>
        <v>49669074</v>
      </c>
      <c r="AK987" s="1441"/>
      <c r="AL987" s="1441"/>
      <c r="AM987" s="1441"/>
      <c r="AN987" s="1441"/>
      <c r="AO987" s="1441"/>
      <c r="AP987" s="1441"/>
      <c r="AQ987" s="1442"/>
      <c r="AR987" s="1179"/>
      <c r="AS987" s="1179"/>
      <c r="AT987" s="1179"/>
      <c r="AU987" s="1179"/>
      <c r="AV987" s="1179"/>
      <c r="AW987" s="1179"/>
      <c r="AX987" s="1179"/>
      <c r="AY987" s="1179"/>
      <c r="AZ987" s="25"/>
      <c r="BB987" s="13"/>
      <c r="BC987" s="13"/>
    </row>
    <row r="988" spans="1:64" ht="13.15" customHeight="1">
      <c r="A988" s="13"/>
      <c r="B988" s="58"/>
      <c r="C988" s="62"/>
      <c r="D988" s="1348" t="s">
        <v>829</v>
      </c>
      <c r="E988" s="1349"/>
      <c r="F988" s="1349"/>
      <c r="G988" s="1349"/>
      <c r="H988" s="1349"/>
      <c r="I988" s="1349"/>
      <c r="J988" s="1349"/>
      <c r="K988" s="1349"/>
      <c r="L988" s="1349"/>
      <c r="M988" s="1349"/>
      <c r="N988" s="1349"/>
      <c r="O988" s="1349"/>
      <c r="P988" s="1349"/>
      <c r="Q988" s="1350"/>
      <c r="R988" s="1503">
        <f>IF(ISNA(IF($CU$122="4%",(INDEX($CS$160:$CW$217,MATCH($DG$122,$CR$160:$CR$217,0),MATCH(D988,$CS$159:$CW$159,0))),(INDEX($CZ$160:$DD$217,MATCH($DG$122,$CY$160:$CY$217,0),MATCH(D988,$CZ$159:$DD$159,0))))),0,IF($CU$122="4%",(INDEX($CS$160:$CW$217,MATCH($DG$122,$CR$160:$CR$217,0),MATCH(D988,$CS$159:$CW$159,0))),(INDEX($CZ$160:$DD$217,MATCH($DG$122,$CY$160:$CY$217,0),MATCH(D988,$CZ$159:$DD$159,0)))))</f>
        <v>658400</v>
      </c>
      <c r="S988" s="1503"/>
      <c r="T988" s="1503"/>
      <c r="U988" s="1503"/>
      <c r="V988" s="1503"/>
      <c r="W988" s="1503"/>
      <c r="X988" s="1503"/>
      <c r="Y988" s="1503"/>
      <c r="Z988" s="1503"/>
      <c r="AA988" s="1503"/>
      <c r="AB988" s="1351">
        <f>CZ802</f>
        <v>49</v>
      </c>
      <c r="AC988" s="1352"/>
      <c r="AD988" s="1352"/>
      <c r="AE988" s="1352"/>
      <c r="AF988" s="1352"/>
      <c r="AG988" s="1352"/>
      <c r="AH988" s="1352"/>
      <c r="AI988" s="1353"/>
      <c r="AJ988" s="1440">
        <f>IF(ISERROR((R988*AB988)),0,(R988*AB988))</f>
        <v>32261600</v>
      </c>
      <c r="AK988" s="1441"/>
      <c r="AL988" s="1441"/>
      <c r="AM988" s="1441"/>
      <c r="AN988" s="1441"/>
      <c r="AO988" s="1441"/>
      <c r="AP988" s="1441"/>
      <c r="AQ988" s="1442"/>
      <c r="AR988" s="1179"/>
      <c r="AS988" s="1179"/>
      <c r="AT988" s="1179"/>
      <c r="AU988" s="1179"/>
      <c r="AV988" s="1179"/>
      <c r="AW988" s="1179"/>
      <c r="AX988" s="1179"/>
      <c r="AY988" s="1179"/>
      <c r="AZ988" s="25"/>
      <c r="BB988" s="13"/>
      <c r="BC988" s="13"/>
    </row>
    <row r="989" spans="1:64" ht="13.15" customHeight="1">
      <c r="A989" s="13"/>
      <c r="B989" s="58"/>
      <c r="C989" s="62"/>
      <c r="D989" s="1348" t="s">
        <v>830</v>
      </c>
      <c r="E989" s="1349"/>
      <c r="F989" s="1349"/>
      <c r="G989" s="1349"/>
      <c r="H989" s="1349"/>
      <c r="I989" s="1349"/>
      <c r="J989" s="1349"/>
      <c r="K989" s="1349"/>
      <c r="L989" s="1349"/>
      <c r="M989" s="1349"/>
      <c r="N989" s="1349"/>
      <c r="O989" s="1349"/>
      <c r="P989" s="1349"/>
      <c r="Q989" s="1350"/>
      <c r="R989" s="1503">
        <f>IF(ISNA(IF($CU$122="4%",(INDEX($CS$160:$CW$217,MATCH($DG$122,$CR$160:$CR$217,0),MATCH(D989,$CS$159:$CW$159,0))),(INDEX($CZ$160:$DD$217,MATCH($DG$122,$CY$160:$CY$217,0),MATCH(D989,$CZ$159:$DD$159,0))))),0,IF($CU$122="4%",(INDEX($CS$160:$CW$217,MATCH($DG$122,$CR$160:$CR$217,0),MATCH(D989,$CS$159:$CW$159,0))),(INDEX($CZ$160:$DD$217,MATCH($DG$122,$CY$160:$CY$217,0),MATCH(D989,$CZ$159:$DD$159,0)))))</f>
        <v>842752</v>
      </c>
      <c r="S989" s="1503"/>
      <c r="T989" s="1503"/>
      <c r="U989" s="1503"/>
      <c r="V989" s="1503"/>
      <c r="W989" s="1503"/>
      <c r="X989" s="1503"/>
      <c r="Y989" s="1503"/>
      <c r="Z989" s="1503"/>
      <c r="AA989" s="1503"/>
      <c r="AB989" s="1351">
        <f>DE802</f>
        <v>55</v>
      </c>
      <c r="AC989" s="1352"/>
      <c r="AD989" s="1352"/>
      <c r="AE989" s="1352"/>
      <c r="AF989" s="1352"/>
      <c r="AG989" s="1352"/>
      <c r="AH989" s="1352"/>
      <c r="AI989" s="1353"/>
      <c r="AJ989" s="1440">
        <f>IF(ISERROR((R989*AB989)),0,(R989*AB989))</f>
        <v>46351360</v>
      </c>
      <c r="AK989" s="1441"/>
      <c r="AL989" s="1441"/>
      <c r="AM989" s="1441"/>
      <c r="AN989" s="1441"/>
      <c r="AO989" s="1441"/>
      <c r="AP989" s="1441"/>
      <c r="AQ989" s="1442"/>
      <c r="AR989" s="1179"/>
      <c r="AS989" s="1179"/>
      <c r="AT989" s="1179"/>
      <c r="AU989" s="1179"/>
      <c r="AV989" s="1179"/>
      <c r="AW989" s="1179"/>
      <c r="AX989" s="1179"/>
      <c r="AY989" s="1179"/>
      <c r="AZ989" s="25"/>
      <c r="BA989" s="3"/>
      <c r="BB989" s="13"/>
      <c r="BC989" s="13"/>
    </row>
    <row r="990" spans="1:64" ht="13.15" customHeight="1">
      <c r="A990" s="13"/>
      <c r="B990" s="39"/>
      <c r="C990" s="60"/>
      <c r="D990" s="1348" t="s">
        <v>834</v>
      </c>
      <c r="E990" s="1349"/>
      <c r="F990" s="1349"/>
      <c r="G990" s="1349"/>
      <c r="H990" s="1349"/>
      <c r="I990" s="1349"/>
      <c r="J990" s="1349"/>
      <c r="K990" s="1349"/>
      <c r="L990" s="1349"/>
      <c r="M990" s="1349"/>
      <c r="N990" s="1349"/>
      <c r="O990" s="1349"/>
      <c r="P990" s="1349"/>
      <c r="Q990" s="1350"/>
      <c r="R990" s="1503">
        <f>IF(ISNA(IF($CU$122="4%",(INDEX($CS$160:$CW$217,MATCH($DG$122,$CR$160:$CR$217,0),MATCH(D990,$CS$159:$CW$159,0))),(INDEX($CZ$160:$DD$217,MATCH($DG$122,$CY$160:$CY$217,0),MATCH(D990,$CZ$159:$DD$159,0))))),0,IF($CU$122="4%",(INDEX($CS$160:$CW$217,MATCH($DG$122,$CR$160:$CR$217,0),MATCH(D990,$CS$159:$CW$159,0))),(INDEX($CZ$160:$DD$217,MATCH($DG$122,$CY$160:$CY$217,0),MATCH(D990,$CZ$159:$DD$159,0)))))</f>
        <v>938878</v>
      </c>
      <c r="S990" s="1503"/>
      <c r="T990" s="1503"/>
      <c r="U990" s="1503"/>
      <c r="V990" s="1503"/>
      <c r="W990" s="1503"/>
      <c r="X990" s="1503"/>
      <c r="Y990" s="1503"/>
      <c r="Z990" s="1503"/>
      <c r="AA990" s="1503"/>
      <c r="AB990" s="1351">
        <f>DO802+DJ802</f>
        <v>0</v>
      </c>
      <c r="AC990" s="1352"/>
      <c r="AD990" s="1352"/>
      <c r="AE990" s="1352"/>
      <c r="AF990" s="1352"/>
      <c r="AG990" s="1352"/>
      <c r="AH990" s="1352"/>
      <c r="AI990" s="1353"/>
      <c r="AJ990" s="1440">
        <f>IF(ISERROR((R990*AB990)),0,(R990*AB990))</f>
        <v>0</v>
      </c>
      <c r="AK990" s="1441"/>
      <c r="AL990" s="1441"/>
      <c r="AM990" s="1441"/>
      <c r="AN990" s="1441"/>
      <c r="AO990" s="1441"/>
      <c r="AP990" s="1441"/>
      <c r="AQ990" s="1442"/>
      <c r="AR990" s="1179"/>
      <c r="AS990" s="1179"/>
      <c r="AT990" s="1179"/>
      <c r="AU990" s="1179"/>
      <c r="AV990" s="1179"/>
      <c r="AW990" s="1179"/>
      <c r="AX990" s="1179"/>
      <c r="AY990" s="1179"/>
      <c r="AZ990" s="25"/>
      <c r="BB990" s="13"/>
      <c r="BC990" s="13"/>
    </row>
    <row r="991" spans="1:64" ht="13.15" customHeight="1">
      <c r="A991" s="13"/>
      <c r="B991" s="1553" t="s">
        <v>1658</v>
      </c>
      <c r="C991" s="1554"/>
      <c r="D991" s="1554"/>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5"/>
      <c r="AB991" s="1351">
        <f>SUM(AB986:AI990)</f>
        <v>195</v>
      </c>
      <c r="AC991" s="1352"/>
      <c r="AD991" s="1352"/>
      <c r="AE991" s="1352"/>
      <c r="AF991" s="1352"/>
      <c r="AG991" s="1352"/>
      <c r="AH991" s="1352"/>
      <c r="AI991" s="1353"/>
      <c r="AJ991" s="1440"/>
      <c r="AK991" s="1441"/>
      <c r="AL991" s="1441"/>
      <c r="AM991" s="1441"/>
      <c r="AN991" s="1441"/>
      <c r="AO991" s="1441"/>
      <c r="AP991" s="1441"/>
      <c r="AQ991" s="1442"/>
      <c r="AR991" s="1179"/>
      <c r="AS991" s="1179"/>
      <c r="AT991" s="1179"/>
      <c r="AU991" s="1179"/>
      <c r="AV991" s="1179"/>
      <c r="AW991" s="1179"/>
      <c r="AX991" s="1179"/>
      <c r="AY991" s="1179"/>
      <c r="AZ991" s="3"/>
      <c r="BA991" s="3"/>
      <c r="BB991" s="13"/>
      <c r="BC991" s="13"/>
    </row>
    <row r="992" spans="1:64" ht="13.15" customHeight="1">
      <c r="A992" s="13"/>
      <c r="B992" s="1523" t="s">
        <v>1659</v>
      </c>
      <c r="C992" s="1524"/>
      <c r="D992" s="1524"/>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4"/>
      <c r="AF992" s="1524"/>
      <c r="AG992" s="1524"/>
      <c r="AH992" s="1524"/>
      <c r="AI992" s="1525"/>
      <c r="AJ992" s="1440">
        <f>SUM(AJ986:AQ990)</f>
        <v>128282034</v>
      </c>
      <c r="AK992" s="1441"/>
      <c r="AL992" s="1441"/>
      <c r="AM992" s="1441"/>
      <c r="AN992" s="1441"/>
      <c r="AO992" s="1441"/>
      <c r="AP992" s="1441"/>
      <c r="AQ992" s="1442"/>
      <c r="AR992" s="1179"/>
      <c r="AS992" s="1179"/>
      <c r="AT992" s="1179"/>
      <c r="AU992" s="1179"/>
      <c r="AV992" s="1179"/>
      <c r="AW992" s="1179"/>
      <c r="AX992" s="1179"/>
      <c r="AY992" s="1179"/>
      <c r="AZ992" s="3"/>
      <c r="BB992" s="3"/>
      <c r="BC992" s="3"/>
    </row>
    <row r="993" spans="1:55" ht="13.15" customHeight="1">
      <c r="A993" s="13"/>
      <c r="B993" s="1443"/>
      <c r="C993" s="1444"/>
      <c r="D993" s="1444"/>
      <c r="E993" s="1444"/>
      <c r="F993" s="1444"/>
      <c r="G993" s="1444"/>
      <c r="H993" s="1444"/>
      <c r="I993" s="1444"/>
      <c r="J993" s="1444"/>
      <c r="K993" s="1444"/>
      <c r="L993" s="1444"/>
      <c r="M993" s="1444"/>
      <c r="N993" s="1444"/>
      <c r="O993" s="1444"/>
      <c r="P993" s="1444"/>
      <c r="Q993" s="1444"/>
      <c r="R993" s="1444"/>
      <c r="S993" s="1444"/>
      <c r="T993" s="1444"/>
      <c r="U993" s="1444"/>
      <c r="V993" s="1444"/>
      <c r="W993" s="1444"/>
      <c r="X993" s="1444"/>
      <c r="Y993" s="1444"/>
      <c r="Z993" s="1444"/>
      <c r="AA993" s="1444"/>
      <c r="AB993" s="1444"/>
      <c r="AC993" s="1444"/>
      <c r="AD993" s="1444"/>
      <c r="AE993" s="1445"/>
      <c r="AF993" s="1449" t="s">
        <v>1660</v>
      </c>
      <c r="AG993" s="1450"/>
      <c r="AH993" s="1450"/>
      <c r="AI993" s="1451"/>
      <c r="AJ993" s="1443"/>
      <c r="AK993" s="1444"/>
      <c r="AL993" s="1444"/>
      <c r="AM993" s="1444"/>
      <c r="AN993" s="1444"/>
      <c r="AO993" s="1444"/>
      <c r="AP993" s="1444"/>
      <c r="AQ993" s="1445"/>
      <c r="AR993" s="1179"/>
      <c r="AS993" s="1179"/>
      <c r="AT993" s="1179"/>
      <c r="AU993" s="1179"/>
      <c r="AV993" s="1179"/>
      <c r="AW993" s="1179"/>
      <c r="AX993" s="1179"/>
      <c r="AY993" s="1179"/>
      <c r="AZ993" s="3"/>
      <c r="BA993" s="3"/>
      <c r="BB993" s="3"/>
      <c r="BC993" s="3"/>
    </row>
    <row r="994" spans="1:55" ht="13.15" customHeight="1">
      <c r="A994" s="13"/>
      <c r="B994" s="58"/>
      <c r="C994" s="1182" t="s">
        <v>1661</v>
      </c>
      <c r="D994" s="1456" t="s">
        <v>1662</v>
      </c>
      <c r="E994" s="1457"/>
      <c r="F994" s="1457"/>
      <c r="G994" s="1457"/>
      <c r="H994" s="1457"/>
      <c r="I994" s="1457"/>
      <c r="J994" s="1457"/>
      <c r="K994" s="1457"/>
      <c r="L994" s="1457"/>
      <c r="M994" s="1457"/>
      <c r="N994" s="1457"/>
      <c r="O994" s="1457"/>
      <c r="P994" s="1457"/>
      <c r="Q994" s="1457"/>
      <c r="R994" s="1457"/>
      <c r="S994" s="1457"/>
      <c r="T994" s="1457"/>
      <c r="U994" s="1457"/>
      <c r="V994" s="1457"/>
      <c r="W994" s="1457"/>
      <c r="X994" s="1457"/>
      <c r="Y994" s="1457"/>
      <c r="Z994" s="1457"/>
      <c r="AA994" s="1457"/>
      <c r="AB994" s="1457"/>
      <c r="AC994" s="1457"/>
      <c r="AD994" s="1457"/>
      <c r="AE994" s="1458"/>
      <c r="AF994" s="61"/>
      <c r="AG994" s="1452" t="s">
        <v>692</v>
      </c>
      <c r="AH994" s="1453"/>
      <c r="AI994" s="64"/>
      <c r="AJ994" s="1354">
        <f>ROUND(IF(AND(AG994="yes",D1000&gt;0),AJ992*0.2,0),0)</f>
        <v>0</v>
      </c>
      <c r="AK994" s="1355"/>
      <c r="AL994" s="1355"/>
      <c r="AM994" s="1355"/>
      <c r="AN994" s="1355"/>
      <c r="AO994" s="1355"/>
      <c r="AP994" s="1355"/>
      <c r="AQ994" s="1356"/>
      <c r="AR994" s="1179"/>
      <c r="AS994" s="1179"/>
      <c r="AT994" s="1179"/>
      <c r="AU994" s="1179"/>
      <c r="AV994" s="1179"/>
      <c r="AW994" s="1179"/>
      <c r="AX994" s="1179"/>
      <c r="AY994" s="1179"/>
      <c r="AZ994" s="3"/>
      <c r="BA994" s="3"/>
      <c r="BB994" s="3"/>
      <c r="BC994" s="3"/>
    </row>
    <row r="995" spans="1:55" ht="13.15" customHeight="1">
      <c r="A995" s="13"/>
      <c r="B995" s="1183"/>
      <c r="C995" s="1184"/>
      <c r="D995" s="1491" t="s">
        <v>1663</v>
      </c>
      <c r="E995" s="1492"/>
      <c r="F995" s="1492"/>
      <c r="G995" s="1492"/>
      <c r="H995" s="1492"/>
      <c r="I995" s="1492"/>
      <c r="J995" s="1492"/>
      <c r="K995" s="1492"/>
      <c r="L995" s="1492"/>
      <c r="M995" s="1492"/>
      <c r="N995" s="1492"/>
      <c r="O995" s="1492"/>
      <c r="P995" s="1492"/>
      <c r="Q995" s="1492"/>
      <c r="R995" s="1492"/>
      <c r="S995" s="1492"/>
      <c r="T995" s="1492"/>
      <c r="U995" s="1492"/>
      <c r="V995" s="1492"/>
      <c r="W995" s="1492"/>
      <c r="X995" s="1492"/>
      <c r="Y995" s="1492"/>
      <c r="Z995" s="1492"/>
      <c r="AA995" s="1492"/>
      <c r="AB995" s="1492"/>
      <c r="AC995" s="1492"/>
      <c r="AD995" s="1492"/>
      <c r="AE995" s="1493"/>
      <c r="AF995" s="58"/>
      <c r="AG995" s="13"/>
      <c r="AH995" s="13"/>
      <c r="AI995" s="62"/>
      <c r="AJ995" s="1357"/>
      <c r="AK995" s="1358"/>
      <c r="AL995" s="1358"/>
      <c r="AM995" s="1358"/>
      <c r="AN995" s="1358"/>
      <c r="AO995" s="1358"/>
      <c r="AP995" s="1358"/>
      <c r="AQ995" s="1359"/>
      <c r="AR995" s="1179"/>
      <c r="AS995" s="1179"/>
      <c r="AT995" s="1179"/>
      <c r="AU995" s="1179"/>
      <c r="AV995" s="1179"/>
      <c r="AW995" s="1179"/>
      <c r="AX995" s="1179"/>
      <c r="AY995" s="1179"/>
      <c r="AZ995" s="3"/>
      <c r="BA995" s="3"/>
      <c r="BB995" s="3"/>
      <c r="BC995" s="3"/>
    </row>
    <row r="996" spans="1:55" ht="13.15" customHeight="1">
      <c r="A996" s="13"/>
      <c r="B996" s="1183"/>
      <c r="C996" s="1184"/>
      <c r="D996" s="1491"/>
      <c r="E996" s="1492"/>
      <c r="F996" s="1492"/>
      <c r="G996" s="1492"/>
      <c r="H996" s="1492"/>
      <c r="I996" s="1492"/>
      <c r="J996" s="1492"/>
      <c r="K996" s="1492"/>
      <c r="L996" s="1492"/>
      <c r="M996" s="1492"/>
      <c r="N996" s="1492"/>
      <c r="O996" s="1492"/>
      <c r="P996" s="1492"/>
      <c r="Q996" s="1492"/>
      <c r="R996" s="1492"/>
      <c r="S996" s="1492"/>
      <c r="T996" s="1492"/>
      <c r="U996" s="1492"/>
      <c r="V996" s="1492"/>
      <c r="W996" s="1492"/>
      <c r="X996" s="1492"/>
      <c r="Y996" s="1492"/>
      <c r="Z996" s="1492"/>
      <c r="AA996" s="1492"/>
      <c r="AB996" s="1492"/>
      <c r="AC996" s="1492"/>
      <c r="AD996" s="1492"/>
      <c r="AE996" s="1493"/>
      <c r="AF996" s="58"/>
      <c r="AG996" s="13"/>
      <c r="AH996" s="13"/>
      <c r="AI996" s="62"/>
      <c r="AJ996" s="1357"/>
      <c r="AK996" s="1358"/>
      <c r="AL996" s="1358"/>
      <c r="AM996" s="1358"/>
      <c r="AN996" s="1358"/>
      <c r="AO996" s="1358"/>
      <c r="AP996" s="1358"/>
      <c r="AQ996" s="1359"/>
      <c r="AR996" s="1179"/>
      <c r="AS996" s="1179"/>
      <c r="AT996" s="1179"/>
      <c r="AU996" s="1179"/>
      <c r="AV996" s="1179"/>
      <c r="AW996" s="1179"/>
      <c r="AX996" s="1179"/>
      <c r="AY996" s="1179"/>
      <c r="AZ996" s="3"/>
      <c r="BA996" s="3"/>
      <c r="BB996" s="3"/>
      <c r="BC996" s="3"/>
    </row>
    <row r="997" spans="1:55" ht="13.15" customHeight="1">
      <c r="A997" s="13"/>
      <c r="B997" s="1183"/>
      <c r="C997" s="1184"/>
      <c r="D997" s="1491"/>
      <c r="E997" s="1492"/>
      <c r="F997" s="1492"/>
      <c r="G997" s="1492"/>
      <c r="H997" s="1492"/>
      <c r="I997" s="1492"/>
      <c r="J997" s="1492"/>
      <c r="K997" s="1492"/>
      <c r="L997" s="1492"/>
      <c r="M997" s="1492"/>
      <c r="N997" s="1492"/>
      <c r="O997" s="1492"/>
      <c r="P997" s="1492"/>
      <c r="Q997" s="1492"/>
      <c r="R997" s="1492"/>
      <c r="S997" s="1492"/>
      <c r="T997" s="1492"/>
      <c r="U997" s="1492"/>
      <c r="V997" s="1492"/>
      <c r="W997" s="1492"/>
      <c r="X997" s="1492"/>
      <c r="Y997" s="1492"/>
      <c r="Z997" s="1492"/>
      <c r="AA997" s="1492"/>
      <c r="AB997" s="1492"/>
      <c r="AC997" s="1492"/>
      <c r="AD997" s="1492"/>
      <c r="AE997" s="1493"/>
      <c r="AF997" s="58"/>
      <c r="AG997" s="13"/>
      <c r="AH997" s="13"/>
      <c r="AI997" s="62"/>
      <c r="AJ997" s="1357"/>
      <c r="AK997" s="1358"/>
      <c r="AL997" s="1358"/>
      <c r="AM997" s="1358"/>
      <c r="AN997" s="1358"/>
      <c r="AO997" s="1358"/>
      <c r="AP997" s="1358"/>
      <c r="AQ997" s="1359"/>
      <c r="AR997" s="1179"/>
      <c r="AS997" s="1179"/>
      <c r="AT997" s="1179"/>
      <c r="AU997" s="1179"/>
      <c r="AV997" s="1179"/>
      <c r="AW997" s="1179"/>
      <c r="AX997" s="1179"/>
      <c r="AY997" s="1179"/>
      <c r="AZ997" s="3"/>
      <c r="BA997" s="3"/>
      <c r="BB997" s="3"/>
      <c r="BC997" s="3"/>
    </row>
    <row r="998" spans="1:55" ht="13.15" customHeight="1">
      <c r="A998" s="13"/>
      <c r="B998" s="1183"/>
      <c r="C998" s="1184"/>
      <c r="D998" s="1491"/>
      <c r="E998" s="1492"/>
      <c r="F998" s="1492"/>
      <c r="G998" s="1492"/>
      <c r="H998" s="1492"/>
      <c r="I998" s="1492"/>
      <c r="J998" s="1492"/>
      <c r="K998" s="1492"/>
      <c r="L998" s="1492"/>
      <c r="M998" s="1492"/>
      <c r="N998" s="1492"/>
      <c r="O998" s="1492"/>
      <c r="P998" s="1492"/>
      <c r="Q998" s="1492"/>
      <c r="R998" s="1492"/>
      <c r="S998" s="1492"/>
      <c r="T998" s="1492"/>
      <c r="U998" s="1492"/>
      <c r="V998" s="1492"/>
      <c r="W998" s="1492"/>
      <c r="X998" s="1492"/>
      <c r="Y998" s="1492"/>
      <c r="Z998" s="1492"/>
      <c r="AA998" s="1492"/>
      <c r="AB998" s="1492"/>
      <c r="AC998" s="1492"/>
      <c r="AD998" s="1492"/>
      <c r="AE998" s="1493"/>
      <c r="AF998" s="58"/>
      <c r="AG998" s="13"/>
      <c r="AH998" s="13"/>
      <c r="AI998" s="62"/>
      <c r="AJ998" s="1357"/>
      <c r="AK998" s="1358"/>
      <c r="AL998" s="1358"/>
      <c r="AM998" s="1358"/>
      <c r="AN998" s="1358"/>
      <c r="AO998" s="1358"/>
      <c r="AP998" s="1358"/>
      <c r="AQ998" s="1359"/>
      <c r="AR998" s="1179"/>
      <c r="AS998" s="1179"/>
      <c r="AT998" s="1179"/>
      <c r="AU998" s="1179"/>
      <c r="AV998" s="1179"/>
      <c r="AW998" s="1179"/>
      <c r="AX998" s="1179"/>
      <c r="AY998" s="1179"/>
      <c r="AZ998" s="3"/>
      <c r="BA998" s="3"/>
      <c r="BB998" s="3"/>
      <c r="BC998" s="3"/>
    </row>
    <row r="999" spans="1:55" ht="13.15" customHeight="1">
      <c r="A999" s="13"/>
      <c r="B999" s="1183"/>
      <c r="C999" s="1184"/>
      <c r="D999" s="1494" t="s">
        <v>1664</v>
      </c>
      <c r="E999" s="1495"/>
      <c r="F999" s="1495"/>
      <c r="G999" s="1495"/>
      <c r="H999" s="1495"/>
      <c r="I999" s="1495"/>
      <c r="J999" s="1495"/>
      <c r="K999" s="1495"/>
      <c r="L999" s="1495"/>
      <c r="M999" s="1495"/>
      <c r="N999" s="1495"/>
      <c r="O999" s="1495"/>
      <c r="P999" s="1495"/>
      <c r="Q999" s="1495"/>
      <c r="R999" s="1495"/>
      <c r="S999" s="1495"/>
      <c r="T999" s="1495"/>
      <c r="U999" s="1495"/>
      <c r="V999" s="1495"/>
      <c r="W999" s="1495"/>
      <c r="X999" s="1495"/>
      <c r="Y999" s="1495"/>
      <c r="Z999" s="1495"/>
      <c r="AA999" s="1495"/>
      <c r="AB999" s="1495"/>
      <c r="AC999" s="1495"/>
      <c r="AD999" s="1495"/>
      <c r="AE999" s="1496"/>
      <c r="AF999" s="58"/>
      <c r="AG999" s="13"/>
      <c r="AH999" s="13"/>
      <c r="AI999" s="62"/>
      <c r="AJ999" s="1357"/>
      <c r="AK999" s="1358"/>
      <c r="AL999" s="1358"/>
      <c r="AM999" s="1358"/>
      <c r="AN999" s="1358"/>
      <c r="AO999" s="1358"/>
      <c r="AP999" s="1358"/>
      <c r="AQ999" s="1359"/>
      <c r="AR999" s="1179"/>
      <c r="AS999" s="1179"/>
      <c r="AT999" s="1179"/>
      <c r="AU999" s="1179"/>
      <c r="AV999" s="1179"/>
      <c r="AW999" s="1179"/>
      <c r="AX999" s="1179"/>
      <c r="AY999" s="1179"/>
      <c r="AZ999" s="3"/>
      <c r="BA999" s="3"/>
      <c r="BB999" s="3"/>
      <c r="BC999" s="3"/>
    </row>
    <row r="1000" spans="1:55" ht="13.15" customHeight="1">
      <c r="A1000" s="13"/>
      <c r="B1000" s="1183"/>
      <c r="C1000" s="1184"/>
      <c r="D1000" s="1556"/>
      <c r="E1000" s="1557"/>
      <c r="F1000" s="1557"/>
      <c r="G1000" s="1557"/>
      <c r="H1000" s="1557"/>
      <c r="I1000" s="1557"/>
      <c r="J1000" s="1557"/>
      <c r="K1000" s="1557"/>
      <c r="L1000" s="1557"/>
      <c r="M1000" s="1557"/>
      <c r="N1000" s="1557"/>
      <c r="O1000" s="1557"/>
      <c r="P1000" s="1557"/>
      <c r="Q1000" s="1557"/>
      <c r="R1000" s="1557"/>
      <c r="S1000" s="1557"/>
      <c r="T1000" s="1557"/>
      <c r="U1000" s="1557"/>
      <c r="V1000" s="1557"/>
      <c r="W1000" s="1557"/>
      <c r="X1000" s="1557"/>
      <c r="Y1000" s="1557"/>
      <c r="Z1000" s="1557"/>
      <c r="AA1000" s="1557"/>
      <c r="AB1000" s="1557"/>
      <c r="AC1000" s="1557"/>
      <c r="AD1000" s="1557"/>
      <c r="AE1000" s="1558"/>
      <c r="AF1000" s="59"/>
      <c r="AG1000" s="6"/>
      <c r="AH1000" s="6"/>
      <c r="AI1000" s="60"/>
      <c r="AJ1000" s="1360"/>
      <c r="AK1000" s="1361"/>
      <c r="AL1000" s="1361"/>
      <c r="AM1000" s="1361"/>
      <c r="AN1000" s="1361"/>
      <c r="AO1000" s="1361"/>
      <c r="AP1000" s="1361"/>
      <c r="AQ1000" s="1362"/>
      <c r="AR1000" s="1179"/>
      <c r="AS1000" s="1179"/>
      <c r="AT1000" s="1179"/>
      <c r="AU1000" s="1179"/>
      <c r="AV1000" s="1179"/>
      <c r="AW1000" s="1179"/>
      <c r="AX1000" s="1179"/>
      <c r="AY1000" s="1179"/>
      <c r="AZ1000" s="3"/>
      <c r="BA1000" s="3"/>
      <c r="BB1000" s="3"/>
      <c r="BC1000" s="3"/>
    </row>
    <row r="1001" spans="1:55" ht="13.15" customHeight="1">
      <c r="A1001" s="13"/>
      <c r="B1001" s="1185"/>
      <c r="C1001" s="1186"/>
      <c r="D1001" s="1446" t="s">
        <v>1665</v>
      </c>
      <c r="E1001" s="1447"/>
      <c r="F1001" s="1447"/>
      <c r="G1001" s="1447"/>
      <c r="H1001" s="1447"/>
      <c r="I1001" s="1447"/>
      <c r="J1001" s="1447"/>
      <c r="K1001" s="1447"/>
      <c r="L1001" s="1447"/>
      <c r="M1001" s="1447"/>
      <c r="N1001" s="1447"/>
      <c r="O1001" s="1447"/>
      <c r="P1001" s="1447"/>
      <c r="Q1001" s="1447"/>
      <c r="R1001" s="1447"/>
      <c r="S1001" s="1447"/>
      <c r="T1001" s="1447"/>
      <c r="U1001" s="1447"/>
      <c r="V1001" s="1447"/>
      <c r="W1001" s="1447"/>
      <c r="X1001" s="1447"/>
      <c r="Y1001" s="1447"/>
      <c r="Z1001" s="1447"/>
      <c r="AA1001" s="1447"/>
      <c r="AB1001" s="1447"/>
      <c r="AC1001" s="1447"/>
      <c r="AD1001" s="1447"/>
      <c r="AE1001" s="1448"/>
      <c r="AF1001" s="61"/>
      <c r="AG1001" s="1454" t="s">
        <v>692</v>
      </c>
      <c r="AH1001" s="1455"/>
      <c r="AI1001" s="64"/>
      <c r="AJ1001" s="1354">
        <f>ROUND(IF(AG1001="yes",AJ992*0.05,0),0)</f>
        <v>0</v>
      </c>
      <c r="AK1001" s="1355"/>
      <c r="AL1001" s="1355"/>
      <c r="AM1001" s="1355"/>
      <c r="AN1001" s="1355"/>
      <c r="AO1001" s="1355"/>
      <c r="AP1001" s="1355"/>
      <c r="AQ1001" s="1356"/>
      <c r="AR1001" s="1179"/>
      <c r="AS1001" s="1179"/>
      <c r="AT1001" s="1179"/>
      <c r="AU1001" s="1179"/>
      <c r="AV1001" s="1179"/>
      <c r="AW1001" s="1179"/>
      <c r="AX1001" s="1179"/>
      <c r="AY1001" s="1179"/>
      <c r="AZ1001" s="3"/>
      <c r="BA1001" s="3"/>
      <c r="BB1001" s="3"/>
      <c r="BC1001" s="3"/>
    </row>
    <row r="1002" spans="1:55" ht="13.15" customHeight="1">
      <c r="A1002" s="13"/>
      <c r="B1002" s="1183"/>
      <c r="C1002" s="1187"/>
      <c r="D1002" s="1491" t="s">
        <v>1666</v>
      </c>
      <c r="E1002" s="1492"/>
      <c r="F1002" s="1492"/>
      <c r="G1002" s="1492"/>
      <c r="H1002" s="1492"/>
      <c r="I1002" s="1492"/>
      <c r="J1002" s="1492"/>
      <c r="K1002" s="1492"/>
      <c r="L1002" s="1492"/>
      <c r="M1002" s="1492"/>
      <c r="N1002" s="1492"/>
      <c r="O1002" s="1492"/>
      <c r="P1002" s="1492"/>
      <c r="Q1002" s="1492"/>
      <c r="R1002" s="1492"/>
      <c r="S1002" s="1492"/>
      <c r="T1002" s="1492"/>
      <c r="U1002" s="1492"/>
      <c r="V1002" s="1492"/>
      <c r="W1002" s="1492"/>
      <c r="X1002" s="1492"/>
      <c r="Y1002" s="1492"/>
      <c r="Z1002" s="1492"/>
      <c r="AA1002" s="1492"/>
      <c r="AB1002" s="1492"/>
      <c r="AC1002" s="1492"/>
      <c r="AD1002" s="1492"/>
      <c r="AE1002" s="1493"/>
      <c r="AF1002" s="58"/>
      <c r="AG1002" s="13"/>
      <c r="AH1002" s="13"/>
      <c r="AI1002" s="62"/>
      <c r="AJ1002" s="1357"/>
      <c r="AK1002" s="1358"/>
      <c r="AL1002" s="1358"/>
      <c r="AM1002" s="1358"/>
      <c r="AN1002" s="1358"/>
      <c r="AO1002" s="1358"/>
      <c r="AP1002" s="1358"/>
      <c r="AQ1002" s="1359"/>
      <c r="AR1002" s="1179"/>
      <c r="AS1002" s="1179"/>
      <c r="AT1002" s="1179"/>
      <c r="AU1002" s="1179"/>
      <c r="AV1002" s="1179"/>
      <c r="AW1002" s="1179"/>
      <c r="AX1002" s="1179"/>
      <c r="AY1002" s="3"/>
      <c r="AZ1002" s="3"/>
      <c r="BB1002" s="3"/>
    </row>
    <row r="1003" spans="1:55" ht="13.15" customHeight="1">
      <c r="A1003" s="13"/>
      <c r="B1003" s="1183"/>
      <c r="C1003" s="1187"/>
      <c r="D1003" s="1491"/>
      <c r="E1003" s="1492"/>
      <c r="F1003" s="1492"/>
      <c r="G1003" s="1492"/>
      <c r="H1003" s="1492"/>
      <c r="I1003" s="1492"/>
      <c r="J1003" s="1492"/>
      <c r="K1003" s="1492"/>
      <c r="L1003" s="1492"/>
      <c r="M1003" s="1492"/>
      <c r="N1003" s="1492"/>
      <c r="O1003" s="1492"/>
      <c r="P1003" s="1492"/>
      <c r="Q1003" s="1492"/>
      <c r="R1003" s="1492"/>
      <c r="S1003" s="1492"/>
      <c r="T1003" s="1492"/>
      <c r="U1003" s="1492"/>
      <c r="V1003" s="1492"/>
      <c r="W1003" s="1492"/>
      <c r="X1003" s="1492"/>
      <c r="Y1003" s="1492"/>
      <c r="Z1003" s="1492"/>
      <c r="AA1003" s="1492"/>
      <c r="AB1003" s="1492"/>
      <c r="AC1003" s="1492"/>
      <c r="AD1003" s="1492"/>
      <c r="AE1003" s="1493"/>
      <c r="AF1003" s="58"/>
      <c r="AG1003" s="13"/>
      <c r="AH1003" s="13"/>
      <c r="AI1003" s="62"/>
      <c r="AJ1003" s="1357"/>
      <c r="AK1003" s="1358"/>
      <c r="AL1003" s="1358"/>
      <c r="AM1003" s="1358"/>
      <c r="AN1003" s="1358"/>
      <c r="AO1003" s="1358"/>
      <c r="AP1003" s="1358"/>
      <c r="AQ1003" s="1359"/>
      <c r="AR1003" s="1179"/>
      <c r="AS1003" s="1179"/>
      <c r="AT1003" s="1179"/>
      <c r="AU1003" s="1179"/>
      <c r="AV1003" s="1179"/>
      <c r="AW1003" s="1179"/>
      <c r="AX1003" s="1179"/>
      <c r="AY1003" s="810">
        <f>G753+O797</f>
        <v>193</v>
      </c>
      <c r="AZ1003" s="3"/>
      <c r="BB1003" s="3"/>
    </row>
    <row r="1004" spans="1:55" ht="13.15" customHeight="1">
      <c r="A1004" s="13"/>
      <c r="B1004" s="1183"/>
      <c r="C1004" s="1187"/>
      <c r="D1004" s="1491"/>
      <c r="E1004" s="1492"/>
      <c r="F1004" s="1492"/>
      <c r="G1004" s="1492"/>
      <c r="H1004" s="1492"/>
      <c r="I1004" s="1492"/>
      <c r="J1004" s="1492"/>
      <c r="K1004" s="1492"/>
      <c r="L1004" s="1492"/>
      <c r="M1004" s="1492"/>
      <c r="N1004" s="1492"/>
      <c r="O1004" s="1492"/>
      <c r="P1004" s="1492"/>
      <c r="Q1004" s="1492"/>
      <c r="R1004" s="1492"/>
      <c r="S1004" s="1492"/>
      <c r="T1004" s="1492"/>
      <c r="U1004" s="1492"/>
      <c r="V1004" s="1492"/>
      <c r="W1004" s="1492"/>
      <c r="X1004" s="1492"/>
      <c r="Y1004" s="1492"/>
      <c r="Z1004" s="1492"/>
      <c r="AA1004" s="1492"/>
      <c r="AB1004" s="1492"/>
      <c r="AC1004" s="1492"/>
      <c r="AD1004" s="1492"/>
      <c r="AE1004" s="1493"/>
      <c r="AF1004" s="58"/>
      <c r="AG1004" s="13"/>
      <c r="AH1004" s="13"/>
      <c r="AI1004" s="62"/>
      <c r="AJ1004" s="1357"/>
      <c r="AK1004" s="1358"/>
      <c r="AL1004" s="1358"/>
      <c r="AM1004" s="1358"/>
      <c r="AN1004" s="1358"/>
      <c r="AO1004" s="1358"/>
      <c r="AP1004" s="1358"/>
      <c r="AQ1004" s="1359"/>
      <c r="AR1004" s="1179"/>
      <c r="AS1004" s="1179"/>
      <c r="AT1004" s="1179"/>
      <c r="AU1004" s="1179"/>
      <c r="AV1004" s="1179"/>
      <c r="AW1004" s="1179"/>
      <c r="AX1004" s="1179"/>
      <c r="AY1004" s="13"/>
      <c r="AZ1004" s="3"/>
      <c r="BB1004" s="3"/>
    </row>
    <row r="1005" spans="1:55" ht="13.15" customHeight="1">
      <c r="A1005" s="13"/>
      <c r="B1005" s="1183"/>
      <c r="C1005" s="1187"/>
      <c r="D1005" s="1491"/>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493"/>
      <c r="AF1005" s="58"/>
      <c r="AG1005" s="13"/>
      <c r="AH1005" s="13"/>
      <c r="AI1005" s="62"/>
      <c r="AJ1005" s="1357"/>
      <c r="AK1005" s="1358"/>
      <c r="AL1005" s="1358"/>
      <c r="AM1005" s="1358"/>
      <c r="AN1005" s="1358"/>
      <c r="AO1005" s="1358"/>
      <c r="AP1005" s="1358"/>
      <c r="AQ1005" s="1359"/>
      <c r="AR1005" s="1179"/>
      <c r="AS1005" s="1179"/>
      <c r="AT1005" s="1179"/>
      <c r="AU1005" s="1179"/>
      <c r="AV1005" s="1179"/>
      <c r="AW1005" s="1179"/>
      <c r="AX1005" s="1179"/>
      <c r="AY1005" s="809">
        <f>ROUNDDOWN(X1048/I1048,2)</f>
        <v>0.1</v>
      </c>
      <c r="AZ1005" s="3"/>
      <c r="BB1005" s="3"/>
    </row>
    <row r="1006" spans="1:55" ht="13.15" customHeight="1">
      <c r="A1006" s="13"/>
      <c r="B1006" s="1188"/>
      <c r="C1006" s="1189"/>
      <c r="D1006" s="1494"/>
      <c r="E1006" s="1495"/>
      <c r="F1006" s="1495"/>
      <c r="G1006" s="1495"/>
      <c r="H1006" s="1495"/>
      <c r="I1006" s="1495"/>
      <c r="J1006" s="1495"/>
      <c r="K1006" s="1495"/>
      <c r="L1006" s="1495"/>
      <c r="M1006" s="1495"/>
      <c r="N1006" s="1495"/>
      <c r="O1006" s="1495"/>
      <c r="P1006" s="1495"/>
      <c r="Q1006" s="1495"/>
      <c r="R1006" s="1495"/>
      <c r="S1006" s="1495"/>
      <c r="T1006" s="1495"/>
      <c r="U1006" s="1495"/>
      <c r="V1006" s="1495"/>
      <c r="W1006" s="1495"/>
      <c r="X1006" s="1495"/>
      <c r="Y1006" s="1495"/>
      <c r="Z1006" s="1495"/>
      <c r="AA1006" s="1495"/>
      <c r="AB1006" s="1495"/>
      <c r="AC1006" s="1495"/>
      <c r="AD1006" s="1495"/>
      <c r="AE1006" s="1496"/>
      <c r="AF1006" s="59"/>
      <c r="AG1006" s="6"/>
      <c r="AH1006" s="6"/>
      <c r="AI1006" s="60"/>
      <c r="AJ1006" s="1360"/>
      <c r="AK1006" s="1361"/>
      <c r="AL1006" s="1361"/>
      <c r="AM1006" s="1361"/>
      <c r="AN1006" s="1361"/>
      <c r="AO1006" s="1361"/>
      <c r="AP1006" s="1361"/>
      <c r="AQ1006" s="1362"/>
      <c r="AR1006" s="1179"/>
      <c r="AS1006" s="1179"/>
      <c r="AT1006" s="1179"/>
      <c r="AU1006" s="1179"/>
      <c r="AV1006" s="1179"/>
      <c r="AW1006" s="1179"/>
      <c r="AX1006" s="1179"/>
      <c r="AY1006" s="809">
        <f>ROUNDDOWN(X1052/I1052,2)</f>
        <v>0.18</v>
      </c>
      <c r="AZ1006" s="3"/>
      <c r="BB1006" s="3"/>
    </row>
    <row r="1007" spans="1:55" ht="13.15" customHeight="1">
      <c r="A1007" s="13"/>
      <c r="B1007" s="1185"/>
      <c r="C1007" s="242" t="s">
        <v>1667</v>
      </c>
      <c r="D1007" s="1446" t="s">
        <v>1668</v>
      </c>
      <c r="E1007" s="1447"/>
      <c r="F1007" s="1447"/>
      <c r="G1007" s="1447"/>
      <c r="H1007" s="1447"/>
      <c r="I1007" s="1447"/>
      <c r="J1007" s="1447"/>
      <c r="K1007" s="1447"/>
      <c r="L1007" s="1447"/>
      <c r="M1007" s="1447"/>
      <c r="N1007" s="1447"/>
      <c r="O1007" s="1447"/>
      <c r="P1007" s="1447"/>
      <c r="Q1007" s="1447"/>
      <c r="R1007" s="1447"/>
      <c r="S1007" s="1447"/>
      <c r="T1007" s="1447"/>
      <c r="U1007" s="1447"/>
      <c r="V1007" s="1447"/>
      <c r="W1007" s="1447"/>
      <c r="X1007" s="1447"/>
      <c r="Y1007" s="1447"/>
      <c r="Z1007" s="1447"/>
      <c r="AA1007" s="1447"/>
      <c r="AB1007" s="1447"/>
      <c r="AC1007" s="1447"/>
      <c r="AD1007" s="1447"/>
      <c r="AE1007" s="1448"/>
      <c r="AF1007" s="63"/>
      <c r="AG1007" s="1454" t="s">
        <v>692</v>
      </c>
      <c r="AH1007" s="1455"/>
      <c r="AI1007" s="64"/>
      <c r="AJ1007" s="1354">
        <f>ROUND(IF(AG1007="yes",AJ992*0.1,0),0)</f>
        <v>0</v>
      </c>
      <c r="AK1007" s="1355"/>
      <c r="AL1007" s="1355"/>
      <c r="AM1007" s="1355"/>
      <c r="AN1007" s="1355"/>
      <c r="AO1007" s="1355"/>
      <c r="AP1007" s="1355"/>
      <c r="AQ1007" s="1356"/>
      <c r="AR1007" s="1179"/>
      <c r="AS1007" s="1179"/>
      <c r="AT1007" s="1179"/>
      <c r="AU1007" s="1179"/>
      <c r="AV1007" s="1179"/>
      <c r="AW1007" s="1179"/>
      <c r="AX1007" s="1179"/>
      <c r="BB1007" s="3"/>
    </row>
    <row r="1008" spans="1:55" ht="13.15" customHeight="1">
      <c r="A1008" s="13"/>
      <c r="B1008" s="58"/>
      <c r="C1008" s="1190"/>
      <c r="D1008" s="1459" t="s">
        <v>1669</v>
      </c>
      <c r="E1008" s="1460"/>
      <c r="F1008" s="1460"/>
      <c r="G1008" s="1460"/>
      <c r="H1008" s="1460"/>
      <c r="I1008" s="1460"/>
      <c r="J1008" s="1460"/>
      <c r="K1008" s="1460"/>
      <c r="L1008" s="1460"/>
      <c r="M1008" s="1460"/>
      <c r="N1008" s="1460"/>
      <c r="O1008" s="1460"/>
      <c r="P1008" s="1460"/>
      <c r="Q1008" s="1460"/>
      <c r="R1008" s="1460"/>
      <c r="S1008" s="1460"/>
      <c r="T1008" s="1460"/>
      <c r="U1008" s="1460"/>
      <c r="V1008" s="1460"/>
      <c r="W1008" s="1460"/>
      <c r="X1008" s="1460"/>
      <c r="Y1008" s="1460"/>
      <c r="Z1008" s="1460"/>
      <c r="AA1008" s="1460"/>
      <c r="AB1008" s="1460"/>
      <c r="AC1008" s="1460"/>
      <c r="AD1008" s="1460"/>
      <c r="AE1008" s="1461"/>
      <c r="AF1008" s="58"/>
      <c r="AI1008" s="62"/>
      <c r="AJ1008" s="1357"/>
      <c r="AK1008" s="1358"/>
      <c r="AL1008" s="1358"/>
      <c r="AM1008" s="1358"/>
      <c r="AN1008" s="1358"/>
      <c r="AO1008" s="1358"/>
      <c r="AP1008" s="1358"/>
      <c r="AQ1008" s="1359"/>
      <c r="AR1008" s="1179"/>
      <c r="AS1008" s="1179"/>
      <c r="AT1008" s="1179"/>
      <c r="AU1008" s="1179"/>
      <c r="AV1008" s="1179"/>
      <c r="AW1008" s="1179"/>
      <c r="AX1008" s="1179"/>
    </row>
    <row r="1009" spans="1:52" ht="13.15" customHeight="1">
      <c r="A1009" s="13"/>
      <c r="B1009" s="58"/>
      <c r="C1009" s="1190"/>
      <c r="D1009" s="1459"/>
      <c r="E1009" s="1460"/>
      <c r="F1009" s="1460"/>
      <c r="G1009" s="1460"/>
      <c r="H1009" s="1460"/>
      <c r="I1009" s="1460"/>
      <c r="J1009" s="1460"/>
      <c r="K1009" s="1460"/>
      <c r="L1009" s="1460"/>
      <c r="M1009" s="1460"/>
      <c r="N1009" s="1460"/>
      <c r="O1009" s="1460"/>
      <c r="P1009" s="1460"/>
      <c r="Q1009" s="1460"/>
      <c r="R1009" s="1460"/>
      <c r="S1009" s="1460"/>
      <c r="T1009" s="1460"/>
      <c r="U1009" s="1460"/>
      <c r="V1009" s="1460"/>
      <c r="W1009" s="1460"/>
      <c r="X1009" s="1460"/>
      <c r="Y1009" s="1460"/>
      <c r="Z1009" s="1460"/>
      <c r="AA1009" s="1460"/>
      <c r="AB1009" s="1460"/>
      <c r="AC1009" s="1460"/>
      <c r="AD1009" s="1460"/>
      <c r="AE1009" s="1461"/>
      <c r="AF1009" s="58"/>
      <c r="AG1009" s="13"/>
      <c r="AH1009" s="13"/>
      <c r="AI1009" s="62"/>
      <c r="AJ1009" s="1357"/>
      <c r="AK1009" s="1358"/>
      <c r="AL1009" s="1358"/>
      <c r="AM1009" s="1358"/>
      <c r="AN1009" s="1358"/>
      <c r="AO1009" s="1358"/>
      <c r="AP1009" s="1358"/>
      <c r="AQ1009" s="1359"/>
      <c r="AR1009" s="1179"/>
      <c r="AS1009" s="1179"/>
      <c r="AT1009" s="1179"/>
      <c r="AU1009" s="1179"/>
      <c r="AV1009" s="1179"/>
      <c r="AW1009" s="1179"/>
      <c r="AX1009" s="1179"/>
    </row>
    <row r="1010" spans="1:52" ht="13.15" customHeight="1">
      <c r="A1010" s="13"/>
      <c r="B1010" s="1191"/>
      <c r="C1010" s="1189"/>
      <c r="D1010" s="1462"/>
      <c r="E1010" s="1463"/>
      <c r="F1010" s="1463"/>
      <c r="G1010" s="1463"/>
      <c r="H1010" s="1463"/>
      <c r="I1010" s="1463"/>
      <c r="J1010" s="1463"/>
      <c r="K1010" s="1463"/>
      <c r="L1010" s="1463"/>
      <c r="M1010" s="1463"/>
      <c r="N1010" s="1463"/>
      <c r="O1010" s="1463"/>
      <c r="P1010" s="1463"/>
      <c r="Q1010" s="1463"/>
      <c r="R1010" s="1463"/>
      <c r="S1010" s="1463"/>
      <c r="T1010" s="1463"/>
      <c r="U1010" s="1463"/>
      <c r="V1010" s="1463"/>
      <c r="W1010" s="1463"/>
      <c r="X1010" s="1463"/>
      <c r="Y1010" s="1463"/>
      <c r="Z1010" s="1463"/>
      <c r="AA1010" s="1463"/>
      <c r="AB1010" s="1463"/>
      <c r="AC1010" s="1463"/>
      <c r="AD1010" s="1463"/>
      <c r="AE1010" s="1464"/>
      <c r="AF1010" s="59"/>
      <c r="AG1010" s="6"/>
      <c r="AH1010" s="6"/>
      <c r="AI1010" s="60"/>
      <c r="AJ1010" s="1360"/>
      <c r="AK1010" s="1361"/>
      <c r="AL1010" s="1361"/>
      <c r="AM1010" s="1361"/>
      <c r="AN1010" s="1361"/>
      <c r="AO1010" s="1361"/>
      <c r="AP1010" s="1361"/>
      <c r="AQ1010" s="1362"/>
      <c r="AR1010" s="1179"/>
      <c r="AS1010" s="1179"/>
      <c r="AT1010" s="1179"/>
      <c r="AU1010" s="1179"/>
      <c r="AV1010" s="1179"/>
      <c r="AW1010" s="1179"/>
      <c r="AX1010" s="1179"/>
    </row>
    <row r="1011" spans="1:52" ht="13.15" customHeight="1">
      <c r="A1011" s="13"/>
      <c r="B1011" s="61"/>
      <c r="C1011" s="242" t="s">
        <v>1670</v>
      </c>
      <c r="D1011" s="1446" t="s">
        <v>1671</v>
      </c>
      <c r="E1011" s="1447"/>
      <c r="F1011" s="1447"/>
      <c r="G1011" s="1447"/>
      <c r="H1011" s="1447"/>
      <c r="I1011" s="1447"/>
      <c r="J1011" s="1447"/>
      <c r="K1011" s="1447"/>
      <c r="L1011" s="1447"/>
      <c r="M1011" s="1447"/>
      <c r="N1011" s="1447"/>
      <c r="O1011" s="1447"/>
      <c r="P1011" s="1447"/>
      <c r="Q1011" s="1447"/>
      <c r="R1011" s="1447"/>
      <c r="S1011" s="1447"/>
      <c r="T1011" s="1447"/>
      <c r="U1011" s="1447"/>
      <c r="V1011" s="1447"/>
      <c r="W1011" s="1447"/>
      <c r="X1011" s="1447"/>
      <c r="Y1011" s="1447"/>
      <c r="Z1011" s="1447"/>
      <c r="AA1011" s="1447"/>
      <c r="AB1011" s="1447"/>
      <c r="AC1011" s="1447"/>
      <c r="AD1011" s="1447"/>
      <c r="AE1011" s="1448"/>
      <c r="AF1011" s="61"/>
      <c r="AG1011" s="1454" t="s">
        <v>692</v>
      </c>
      <c r="AH1011" s="1455"/>
      <c r="AI1011" s="64"/>
      <c r="AJ1011" s="1354">
        <f>ROUND(IF(AG1011="yes",AJ992*0.02,0),0)</f>
        <v>0</v>
      </c>
      <c r="AK1011" s="1355"/>
      <c r="AL1011" s="1355"/>
      <c r="AM1011" s="1355"/>
      <c r="AN1011" s="1355"/>
      <c r="AO1011" s="1355"/>
      <c r="AP1011" s="1355"/>
      <c r="AQ1011" s="1356"/>
      <c r="AR1011" s="1179"/>
      <c r="AS1011" s="1179"/>
      <c r="AT1011" s="1179"/>
      <c r="AU1011" s="1179"/>
      <c r="AV1011" s="1179"/>
      <c r="AW1011" s="1179"/>
      <c r="AX1011" s="1179"/>
    </row>
    <row r="1012" spans="1:52" ht="14.25" customHeight="1">
      <c r="A1012" s="13"/>
      <c r="B1012" s="58"/>
      <c r="C1012" s="1190"/>
      <c r="D1012" s="1462" t="s">
        <v>1672</v>
      </c>
      <c r="E1012" s="1463"/>
      <c r="F1012" s="1463"/>
      <c r="G1012" s="1463"/>
      <c r="H1012" s="1463"/>
      <c r="I1012" s="1463"/>
      <c r="J1012" s="1463"/>
      <c r="K1012" s="1463"/>
      <c r="L1012" s="1463"/>
      <c r="M1012" s="1463"/>
      <c r="N1012" s="1463"/>
      <c r="O1012" s="1463"/>
      <c r="P1012" s="1463"/>
      <c r="Q1012" s="1463"/>
      <c r="R1012" s="1463"/>
      <c r="S1012" s="1463"/>
      <c r="T1012" s="1463"/>
      <c r="U1012" s="1463"/>
      <c r="V1012" s="1463"/>
      <c r="W1012" s="1463"/>
      <c r="X1012" s="1463"/>
      <c r="Y1012" s="1463"/>
      <c r="Z1012" s="1463"/>
      <c r="AA1012" s="1463"/>
      <c r="AB1012" s="1463"/>
      <c r="AC1012" s="1463"/>
      <c r="AD1012" s="1463"/>
      <c r="AE1012" s="1464"/>
      <c r="AF1012" s="59"/>
      <c r="AG1012" s="6"/>
      <c r="AH1012" s="6"/>
      <c r="AI1012" s="60"/>
      <c r="AJ1012" s="1360"/>
      <c r="AK1012" s="1361"/>
      <c r="AL1012" s="1361"/>
      <c r="AM1012" s="1361"/>
      <c r="AN1012" s="1361"/>
      <c r="AO1012" s="1361"/>
      <c r="AP1012" s="1361"/>
      <c r="AQ1012" s="1362"/>
      <c r="AR1012" s="1179"/>
      <c r="AS1012" s="1179"/>
      <c r="AT1012" s="1179"/>
      <c r="AU1012" s="1179"/>
      <c r="AV1012" s="1179"/>
      <c r="AW1012" s="1179"/>
      <c r="AX1012" s="3" t="s">
        <v>1673</v>
      </c>
      <c r="AZ1012" s="3" t="s">
        <v>1674</v>
      </c>
    </row>
    <row r="1013" spans="1:52" ht="13.15" customHeight="1">
      <c r="A1013" s="13"/>
      <c r="B1013" s="61"/>
      <c r="C1013" s="242" t="s">
        <v>1675</v>
      </c>
      <c r="D1013" s="1446" t="s">
        <v>1676</v>
      </c>
      <c r="E1013" s="1447"/>
      <c r="F1013" s="1447"/>
      <c r="G1013" s="1447"/>
      <c r="H1013" s="1447"/>
      <c r="I1013" s="1447"/>
      <c r="J1013" s="1447"/>
      <c r="K1013" s="1447"/>
      <c r="L1013" s="1447"/>
      <c r="M1013" s="1447"/>
      <c r="N1013" s="1447"/>
      <c r="O1013" s="1447"/>
      <c r="P1013" s="1447"/>
      <c r="Q1013" s="1447"/>
      <c r="R1013" s="1447"/>
      <c r="S1013" s="1447"/>
      <c r="T1013" s="1447"/>
      <c r="U1013" s="1447"/>
      <c r="V1013" s="1447"/>
      <c r="W1013" s="1447"/>
      <c r="X1013" s="1447"/>
      <c r="Y1013" s="1447"/>
      <c r="Z1013" s="1447"/>
      <c r="AA1013" s="1447"/>
      <c r="AB1013" s="1447"/>
      <c r="AC1013" s="1447"/>
      <c r="AD1013" s="1447"/>
      <c r="AE1013" s="1448"/>
      <c r="AF1013" s="61"/>
      <c r="AG1013" s="1454" t="s">
        <v>692</v>
      </c>
      <c r="AH1013" s="1455"/>
      <c r="AI1013" s="61"/>
      <c r="AJ1013" s="1354">
        <f>ROUND(IF(AG1013="yes",AJ992*0.02,0),0)</f>
        <v>0</v>
      </c>
      <c r="AK1013" s="1355"/>
      <c r="AL1013" s="1355"/>
      <c r="AM1013" s="1355"/>
      <c r="AN1013" s="1355"/>
      <c r="AO1013" s="1355"/>
      <c r="AP1013" s="1355"/>
      <c r="AQ1013" s="1356"/>
      <c r="AR1013" s="1179"/>
      <c r="AS1013" s="1179"/>
      <c r="AT1013" s="1179"/>
      <c r="AU1013" s="1179"/>
      <c r="AV1013" s="1179"/>
      <c r="AW1013" s="1179"/>
      <c r="AX1013" s="3">
        <v>1</v>
      </c>
      <c r="AY1013" s="1192">
        <f>IF((_xlfn.XLOOKUP(AX1013,$C$1065:$C$1103,$A$1065:$A$1103,"",0,1))="Yes",AZ1013,0)</f>
        <v>0.2</v>
      </c>
      <c r="AZ1013" s="1144">
        <v>0.2</v>
      </c>
    </row>
    <row r="1014" spans="1:52" ht="13.15" customHeight="1">
      <c r="A1014" s="13"/>
      <c r="B1014" s="58"/>
      <c r="C1014" s="1190"/>
      <c r="D1014" s="1459" t="s">
        <v>1677</v>
      </c>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461"/>
      <c r="AF1014" s="1341" t="str">
        <f>IF(AND(AG1013="yes",T212&lt;&gt;1),"The project may not be eligible for this boost","")</f>
        <v/>
      </c>
      <c r="AG1014" s="1342"/>
      <c r="AH1014" s="1342"/>
      <c r="AI1014" s="1343"/>
      <c r="AJ1014" s="1357"/>
      <c r="AK1014" s="1358"/>
      <c r="AL1014" s="1358"/>
      <c r="AM1014" s="1358"/>
      <c r="AN1014" s="1358"/>
      <c r="AO1014" s="1358"/>
      <c r="AP1014" s="1358"/>
      <c r="AQ1014" s="1359"/>
      <c r="AR1014" s="1179"/>
      <c r="AS1014" s="1179"/>
      <c r="AT1014" s="1179"/>
      <c r="AU1014" s="1179"/>
      <c r="AV1014" s="1179"/>
      <c r="AW1014" s="1179"/>
      <c r="AX1014" s="3">
        <v>2</v>
      </c>
      <c r="AY1014" s="1192">
        <f t="shared" ref="AY1014:AY1023" si="53">IF((_xlfn.XLOOKUP(AX1014,$C$1065:$C$1103,$A$1065:$A$1103,"",0,1))="Yes",AZ1014,0)</f>
        <v>0</v>
      </c>
      <c r="AZ1014" s="1144">
        <v>0.15</v>
      </c>
    </row>
    <row r="1015" spans="1:52" ht="13.15" customHeight="1">
      <c r="A1015" s="13"/>
      <c r="B1015" s="1188"/>
      <c r="C1015" s="1189"/>
      <c r="D1015" s="1462"/>
      <c r="E1015" s="1463"/>
      <c r="F1015" s="1463"/>
      <c r="G1015" s="1463"/>
      <c r="H1015" s="1463"/>
      <c r="I1015" s="1463"/>
      <c r="J1015" s="1463"/>
      <c r="K1015" s="1463"/>
      <c r="L1015" s="1463"/>
      <c r="M1015" s="1463"/>
      <c r="N1015" s="1463"/>
      <c r="O1015" s="1463"/>
      <c r="P1015" s="1463"/>
      <c r="Q1015" s="1463"/>
      <c r="R1015" s="1463"/>
      <c r="S1015" s="1463"/>
      <c r="T1015" s="1463"/>
      <c r="U1015" s="1463"/>
      <c r="V1015" s="1463"/>
      <c r="W1015" s="1463"/>
      <c r="X1015" s="1463"/>
      <c r="Y1015" s="1463"/>
      <c r="Z1015" s="1463"/>
      <c r="AA1015" s="1463"/>
      <c r="AB1015" s="1463"/>
      <c r="AC1015" s="1463"/>
      <c r="AD1015" s="1463"/>
      <c r="AE1015" s="1464"/>
      <c r="AF1015" s="1344"/>
      <c r="AG1015" s="1345"/>
      <c r="AH1015" s="1345"/>
      <c r="AI1015" s="1346"/>
      <c r="AJ1015" s="1360"/>
      <c r="AK1015" s="1361"/>
      <c r="AL1015" s="1361"/>
      <c r="AM1015" s="1361"/>
      <c r="AN1015" s="1361"/>
      <c r="AO1015" s="1361"/>
      <c r="AP1015" s="1361"/>
      <c r="AQ1015" s="1362"/>
      <c r="AR1015" s="1179"/>
      <c r="AS1015" s="1179"/>
      <c r="AT1015" s="1179"/>
      <c r="AU1015" s="1179"/>
      <c r="AV1015" s="1179"/>
      <c r="AW1015" s="1179"/>
      <c r="AX1015" s="3">
        <v>3</v>
      </c>
      <c r="AY1015" s="1192">
        <f t="shared" si="53"/>
        <v>0</v>
      </c>
      <c r="AZ1015" s="1144">
        <v>0.05</v>
      </c>
    </row>
    <row r="1016" spans="1:52" ht="13.15" customHeight="1">
      <c r="A1016" s="13"/>
      <c r="B1016" s="61"/>
      <c r="C1016" s="242" t="s">
        <v>1678</v>
      </c>
      <c r="D1016" s="1456" t="s">
        <v>1679</v>
      </c>
      <c r="E1016" s="1457"/>
      <c r="F1016" s="1457"/>
      <c r="G1016" s="1457"/>
      <c r="H1016" s="1457"/>
      <c r="I1016" s="1457"/>
      <c r="J1016" s="1457"/>
      <c r="K1016" s="1457"/>
      <c r="L1016" s="1457"/>
      <c r="M1016" s="1457"/>
      <c r="N1016" s="1457"/>
      <c r="O1016" s="1457"/>
      <c r="P1016" s="1457"/>
      <c r="Q1016" s="1457"/>
      <c r="R1016" s="1457"/>
      <c r="S1016" s="1457"/>
      <c r="T1016" s="1457"/>
      <c r="U1016" s="1457"/>
      <c r="V1016" s="1457"/>
      <c r="W1016" s="1457"/>
      <c r="X1016" s="1457"/>
      <c r="Y1016" s="1457"/>
      <c r="Z1016" s="1457"/>
      <c r="AA1016" s="1457"/>
      <c r="AB1016" s="1457"/>
      <c r="AC1016" s="1457"/>
      <c r="AD1016" s="1457"/>
      <c r="AE1016" s="1458"/>
      <c r="AF1016" s="61"/>
      <c r="AG1016" s="1454" t="s">
        <v>692</v>
      </c>
      <c r="AH1016" s="1455"/>
      <c r="AI1016" s="64"/>
      <c r="AJ1016" s="1354">
        <f>IF(AG1016="yes",AJ992*AY1024,0)</f>
        <v>0</v>
      </c>
      <c r="AK1016" s="1355"/>
      <c r="AL1016" s="1355"/>
      <c r="AM1016" s="1355"/>
      <c r="AN1016" s="1355"/>
      <c r="AO1016" s="1355"/>
      <c r="AP1016" s="1355"/>
      <c r="AQ1016" s="1356"/>
      <c r="AR1016" s="1179"/>
      <c r="AS1016" s="1179"/>
      <c r="AT1016" s="1179"/>
      <c r="AU1016" s="1179"/>
      <c r="AV1016" s="1179"/>
      <c r="AW1016" s="1179"/>
      <c r="AX1016" s="3">
        <v>4</v>
      </c>
      <c r="AY1016" s="1192">
        <f t="shared" si="53"/>
        <v>0</v>
      </c>
      <c r="AZ1016" s="1144">
        <v>0.02</v>
      </c>
    </row>
    <row r="1017" spans="1:52" ht="13.15" customHeight="1">
      <c r="A1017" s="13"/>
      <c r="B1017" s="58"/>
      <c r="C1017" s="1190"/>
      <c r="D1017" s="1459" t="s">
        <v>1680</v>
      </c>
      <c r="E1017" s="1460"/>
      <c r="F1017" s="1460"/>
      <c r="G1017" s="1460"/>
      <c r="H1017" s="1460"/>
      <c r="I1017" s="1460"/>
      <c r="J1017" s="1460"/>
      <c r="K1017" s="1460"/>
      <c r="L1017" s="1460"/>
      <c r="M1017" s="1460"/>
      <c r="N1017" s="1460"/>
      <c r="O1017" s="1460"/>
      <c r="P1017" s="1460"/>
      <c r="Q1017" s="1460"/>
      <c r="R1017" s="1460"/>
      <c r="S1017" s="1460"/>
      <c r="T1017" s="1460"/>
      <c r="U1017" s="1460"/>
      <c r="V1017" s="1460"/>
      <c r="W1017" s="1460"/>
      <c r="X1017" s="1460"/>
      <c r="Y1017" s="1460"/>
      <c r="Z1017" s="1460"/>
      <c r="AA1017" s="1460"/>
      <c r="AB1017" s="1460"/>
      <c r="AC1017" s="1460"/>
      <c r="AD1017" s="1460"/>
      <c r="AE1017" s="1461"/>
      <c r="AF1017" s="1335" t="str">
        <f>IF(AND(AG1016="Yes",AY1024=0),AY1027,"")</f>
        <v/>
      </c>
      <c r="AG1017" s="1336"/>
      <c r="AH1017" s="1336"/>
      <c r="AI1017" s="1337"/>
      <c r="AJ1017" s="1357"/>
      <c r="AK1017" s="1358"/>
      <c r="AL1017" s="1358"/>
      <c r="AM1017" s="1358"/>
      <c r="AN1017" s="1358"/>
      <c r="AO1017" s="1358"/>
      <c r="AP1017" s="1358"/>
      <c r="AQ1017" s="1359"/>
      <c r="AR1017" s="1179"/>
      <c r="AS1017" s="1179"/>
      <c r="AT1017" s="1179"/>
      <c r="AU1017" s="1179"/>
      <c r="AV1017" s="1179"/>
      <c r="AW1017" s="1179"/>
      <c r="AX1017" s="3">
        <v>5</v>
      </c>
      <c r="AY1017" s="1192">
        <f t="shared" si="53"/>
        <v>0</v>
      </c>
      <c r="AZ1017" s="1144">
        <v>0.04</v>
      </c>
    </row>
    <row r="1018" spans="1:52" ht="13.15" customHeight="1">
      <c r="A1018" s="13"/>
      <c r="B1018" s="58"/>
      <c r="C1018" s="1190"/>
      <c r="D1018" s="1459"/>
      <c r="E1018" s="1460"/>
      <c r="F1018" s="1460"/>
      <c r="G1018" s="1460"/>
      <c r="H1018" s="1460"/>
      <c r="I1018" s="1460"/>
      <c r="J1018" s="1460"/>
      <c r="K1018" s="1460"/>
      <c r="L1018" s="1460"/>
      <c r="M1018" s="1460"/>
      <c r="N1018" s="1460"/>
      <c r="O1018" s="1460"/>
      <c r="P1018" s="1460"/>
      <c r="Q1018" s="1460"/>
      <c r="R1018" s="1460"/>
      <c r="S1018" s="1460"/>
      <c r="T1018" s="1460"/>
      <c r="U1018" s="1460"/>
      <c r="V1018" s="1460"/>
      <c r="W1018" s="1460"/>
      <c r="X1018" s="1460"/>
      <c r="Y1018" s="1460"/>
      <c r="Z1018" s="1460"/>
      <c r="AA1018" s="1460"/>
      <c r="AB1018" s="1460"/>
      <c r="AC1018" s="1460"/>
      <c r="AD1018" s="1460"/>
      <c r="AE1018" s="1461"/>
      <c r="AF1018" s="1335"/>
      <c r="AG1018" s="1336"/>
      <c r="AH1018" s="1336"/>
      <c r="AI1018" s="1337"/>
      <c r="AJ1018" s="1357"/>
      <c r="AK1018" s="1358"/>
      <c r="AL1018" s="1358"/>
      <c r="AM1018" s="1358"/>
      <c r="AN1018" s="1358"/>
      <c r="AO1018" s="1358"/>
      <c r="AP1018" s="1358"/>
      <c r="AQ1018" s="1359"/>
      <c r="AR1018" s="1179"/>
      <c r="AS1018" s="1179"/>
      <c r="AT1018" s="1179"/>
      <c r="AU1018" s="1179"/>
      <c r="AV1018" s="1179"/>
      <c r="AW1018" s="1179"/>
      <c r="AX1018" s="3">
        <v>6</v>
      </c>
      <c r="AY1018" s="1192">
        <f t="shared" si="53"/>
        <v>0</v>
      </c>
      <c r="AZ1018" s="1144">
        <v>0.04</v>
      </c>
    </row>
    <row r="1019" spans="1:52" ht="13.15" customHeight="1">
      <c r="A1019" s="13"/>
      <c r="B1019" s="1193"/>
      <c r="C1019" s="1187"/>
      <c r="D1019" s="1462"/>
      <c r="E1019" s="1463"/>
      <c r="F1019" s="1463"/>
      <c r="G1019" s="1463"/>
      <c r="H1019" s="1463"/>
      <c r="I1019" s="1463"/>
      <c r="J1019" s="1463"/>
      <c r="K1019" s="1463"/>
      <c r="L1019" s="1463"/>
      <c r="M1019" s="1463"/>
      <c r="N1019" s="1463"/>
      <c r="O1019" s="1463"/>
      <c r="P1019" s="1463"/>
      <c r="Q1019" s="1463"/>
      <c r="R1019" s="1463"/>
      <c r="S1019" s="1463"/>
      <c r="T1019" s="1463"/>
      <c r="U1019" s="1463"/>
      <c r="V1019" s="1463"/>
      <c r="W1019" s="1463"/>
      <c r="X1019" s="1463"/>
      <c r="Y1019" s="1463"/>
      <c r="Z1019" s="1463"/>
      <c r="AA1019" s="1463"/>
      <c r="AB1019" s="1463"/>
      <c r="AC1019" s="1463"/>
      <c r="AD1019" s="1463"/>
      <c r="AE1019" s="1464"/>
      <c r="AF1019" s="1338"/>
      <c r="AG1019" s="1339"/>
      <c r="AH1019" s="1339"/>
      <c r="AI1019" s="1340"/>
      <c r="AJ1019" s="1360"/>
      <c r="AK1019" s="1361"/>
      <c r="AL1019" s="1361"/>
      <c r="AM1019" s="1361"/>
      <c r="AN1019" s="1361"/>
      <c r="AO1019" s="1361"/>
      <c r="AP1019" s="1361"/>
      <c r="AQ1019" s="1362"/>
      <c r="AR1019" s="1179"/>
      <c r="AS1019" s="1179"/>
      <c r="AT1019" s="1179"/>
      <c r="AU1019" s="1179"/>
      <c r="AV1019" s="1179"/>
      <c r="AW1019" s="1179"/>
      <c r="AX1019" s="3">
        <v>7</v>
      </c>
      <c r="AY1019" s="1192">
        <f t="shared" si="53"/>
        <v>0</v>
      </c>
      <c r="AZ1019" s="1144">
        <v>0.01</v>
      </c>
    </row>
    <row r="1020" spans="1:52" ht="13.15" customHeight="1">
      <c r="A1020" s="13"/>
      <c r="B1020" s="61"/>
      <c r="C1020" s="242" t="s">
        <v>1681</v>
      </c>
      <c r="D1020" s="1473" t="s">
        <v>1682</v>
      </c>
      <c r="E1020" s="1474"/>
      <c r="F1020" s="1474"/>
      <c r="G1020" s="1474"/>
      <c r="H1020" s="1474"/>
      <c r="I1020" s="1474"/>
      <c r="J1020" s="1474"/>
      <c r="K1020" s="1474"/>
      <c r="L1020" s="1474"/>
      <c r="M1020" s="1474"/>
      <c r="N1020" s="1474"/>
      <c r="O1020" s="1474"/>
      <c r="P1020" s="1474"/>
      <c r="Q1020" s="1474"/>
      <c r="R1020" s="1474"/>
      <c r="S1020" s="1474"/>
      <c r="T1020" s="1474"/>
      <c r="U1020" s="1474"/>
      <c r="V1020" s="1474"/>
      <c r="W1020" s="1474"/>
      <c r="X1020" s="1474"/>
      <c r="Y1020" s="1474"/>
      <c r="Z1020" s="1474"/>
      <c r="AA1020" s="1474"/>
      <c r="AB1020" s="1474"/>
      <c r="AC1020" s="1474"/>
      <c r="AD1020" s="1474"/>
      <c r="AE1020" s="1475"/>
      <c r="AF1020" s="61"/>
      <c r="AG1020" s="1454" t="s">
        <v>692</v>
      </c>
      <c r="AH1020" s="1455"/>
      <c r="AI1020" s="64"/>
      <c r="AJ1020" s="1354">
        <f>ROUND(IF(AND(AG1020="Yes",J1024&lt;&gt;"N/A",AF1023&lt;&gt;""),MIN(AF1023,(0.15*AJ992)),0),0)</f>
        <v>0</v>
      </c>
      <c r="AK1020" s="1355"/>
      <c r="AL1020" s="1355"/>
      <c r="AM1020" s="1355"/>
      <c r="AN1020" s="1355"/>
      <c r="AO1020" s="1355"/>
      <c r="AP1020" s="1355"/>
      <c r="AQ1020" s="1356"/>
      <c r="AR1020" s="1179"/>
      <c r="AS1020" s="1179"/>
      <c r="AT1020" s="1179"/>
      <c r="AU1020" s="1179"/>
      <c r="AV1020" s="1179"/>
      <c r="AW1020" s="1179"/>
      <c r="AX1020" s="3">
        <v>8</v>
      </c>
      <c r="AY1020" s="1192">
        <f t="shared" si="53"/>
        <v>0</v>
      </c>
      <c r="AZ1020" s="1144">
        <v>0.01</v>
      </c>
    </row>
    <row r="1021" spans="1:52" ht="13.15" customHeight="1">
      <c r="A1021" s="13"/>
      <c r="B1021" s="1193"/>
      <c r="C1021" s="1194"/>
      <c r="D1021" s="1476"/>
      <c r="E1021" s="1477"/>
      <c r="F1021" s="1477"/>
      <c r="G1021" s="1477"/>
      <c r="H1021" s="1477"/>
      <c r="I1021" s="1477"/>
      <c r="J1021" s="1477"/>
      <c r="K1021" s="1477"/>
      <c r="L1021" s="1477"/>
      <c r="M1021" s="1477"/>
      <c r="N1021" s="1477"/>
      <c r="O1021" s="1477"/>
      <c r="P1021" s="1477"/>
      <c r="Q1021" s="1477"/>
      <c r="R1021" s="1477"/>
      <c r="S1021" s="1477"/>
      <c r="T1021" s="1477"/>
      <c r="U1021" s="1477"/>
      <c r="V1021" s="1477"/>
      <c r="W1021" s="1477"/>
      <c r="X1021" s="1477"/>
      <c r="Y1021" s="1477"/>
      <c r="Z1021" s="1477"/>
      <c r="AA1021" s="1477"/>
      <c r="AB1021" s="1477"/>
      <c r="AC1021" s="1477"/>
      <c r="AD1021" s="1477"/>
      <c r="AE1021" s="1478"/>
      <c r="AF1021" s="1465" t="str">
        <f>IF(AG1020="yes","Please Select Type and Enter Amount:","")</f>
        <v/>
      </c>
      <c r="AG1021" s="1466"/>
      <c r="AH1021" s="1466"/>
      <c r="AI1021" s="1467"/>
      <c r="AJ1021" s="1357"/>
      <c r="AK1021" s="1358"/>
      <c r="AL1021" s="1358"/>
      <c r="AM1021" s="1358"/>
      <c r="AN1021" s="1358"/>
      <c r="AO1021" s="1358"/>
      <c r="AP1021" s="1358"/>
      <c r="AQ1021" s="1359"/>
      <c r="AR1021" s="1179"/>
      <c r="AS1021" s="1179"/>
      <c r="AT1021" s="1179"/>
      <c r="AU1021" s="1179"/>
      <c r="AV1021" s="1179"/>
      <c r="AW1021" s="1179"/>
      <c r="AX1021" s="3">
        <v>9</v>
      </c>
      <c r="AY1021" s="1192">
        <f t="shared" si="53"/>
        <v>0</v>
      </c>
      <c r="AZ1021" s="1144">
        <v>0.01</v>
      </c>
    </row>
    <row r="1022" spans="1:52" ht="13.15" customHeight="1">
      <c r="A1022" s="13"/>
      <c r="B1022" s="1193"/>
      <c r="C1022" s="1194"/>
      <c r="D1022" s="1459" t="s">
        <v>1683</v>
      </c>
      <c r="E1022" s="1460"/>
      <c r="F1022" s="1460"/>
      <c r="G1022" s="1460"/>
      <c r="H1022" s="1460"/>
      <c r="I1022" s="1460"/>
      <c r="J1022" s="1460"/>
      <c r="K1022" s="1460"/>
      <c r="L1022" s="1460"/>
      <c r="M1022" s="1460"/>
      <c r="N1022" s="1460"/>
      <c r="O1022" s="1460"/>
      <c r="P1022" s="1460"/>
      <c r="Q1022" s="1460"/>
      <c r="R1022" s="1460"/>
      <c r="S1022" s="1460"/>
      <c r="T1022" s="1460"/>
      <c r="U1022" s="1460"/>
      <c r="V1022" s="1460"/>
      <c r="W1022" s="1460"/>
      <c r="X1022" s="1460"/>
      <c r="Y1022" s="1460"/>
      <c r="Z1022" s="1460"/>
      <c r="AA1022" s="1460"/>
      <c r="AB1022" s="1460"/>
      <c r="AC1022" s="1460"/>
      <c r="AD1022" s="1460"/>
      <c r="AE1022" s="1461"/>
      <c r="AF1022" s="1465"/>
      <c r="AG1022" s="1466"/>
      <c r="AH1022" s="1466"/>
      <c r="AI1022" s="1467"/>
      <c r="AJ1022" s="1357"/>
      <c r="AK1022" s="1358"/>
      <c r="AL1022" s="1358"/>
      <c r="AM1022" s="1358"/>
      <c r="AN1022" s="1358"/>
      <c r="AO1022" s="1358"/>
      <c r="AP1022" s="1358"/>
      <c r="AQ1022" s="1359"/>
      <c r="AR1022" s="1179"/>
      <c r="AS1022" s="1179"/>
      <c r="AT1022" s="1179"/>
      <c r="AU1022" s="1179"/>
      <c r="AV1022" s="1179"/>
      <c r="AW1022" s="1179"/>
      <c r="AX1022" s="3">
        <v>10</v>
      </c>
      <c r="AY1022" s="1192">
        <f t="shared" si="53"/>
        <v>0</v>
      </c>
      <c r="AZ1022" s="1144">
        <v>0.02</v>
      </c>
    </row>
    <row r="1023" spans="1:52" ht="13.15" customHeight="1">
      <c r="A1023" s="13"/>
      <c r="B1023" s="1193"/>
      <c r="C1023" s="1194"/>
      <c r="D1023" s="1459"/>
      <c r="E1023" s="1460"/>
      <c r="F1023" s="1460"/>
      <c r="G1023" s="1460"/>
      <c r="H1023" s="1460"/>
      <c r="I1023" s="1460"/>
      <c r="J1023" s="1460"/>
      <c r="K1023" s="1460"/>
      <c r="L1023" s="1460"/>
      <c r="M1023" s="1460"/>
      <c r="N1023" s="1460"/>
      <c r="O1023" s="1460"/>
      <c r="P1023" s="1460"/>
      <c r="Q1023" s="1460"/>
      <c r="R1023" s="1460"/>
      <c r="S1023" s="1460"/>
      <c r="T1023" s="1460"/>
      <c r="U1023" s="1460"/>
      <c r="V1023" s="1460"/>
      <c r="W1023" s="1460"/>
      <c r="X1023" s="1460"/>
      <c r="Y1023" s="1460"/>
      <c r="Z1023" s="1460"/>
      <c r="AA1023" s="1460"/>
      <c r="AB1023" s="1460"/>
      <c r="AC1023" s="1460"/>
      <c r="AD1023" s="1460"/>
      <c r="AE1023" s="1461"/>
      <c r="AF1023" s="1507"/>
      <c r="AG1023" s="1507"/>
      <c r="AH1023" s="1507"/>
      <c r="AI1023" s="1507"/>
      <c r="AJ1023" s="1357"/>
      <c r="AK1023" s="1358"/>
      <c r="AL1023" s="1358"/>
      <c r="AM1023" s="1358"/>
      <c r="AN1023" s="1358"/>
      <c r="AO1023" s="1358"/>
      <c r="AP1023" s="1358"/>
      <c r="AQ1023" s="1359"/>
      <c r="AR1023" s="1179"/>
      <c r="AS1023" s="1179"/>
      <c r="AT1023" s="1179"/>
      <c r="AU1023" s="1179"/>
      <c r="AV1023" s="1179"/>
      <c r="AW1023" s="1179"/>
      <c r="AX1023" s="3">
        <v>11</v>
      </c>
      <c r="AY1023" s="1192">
        <f t="shared" si="53"/>
        <v>0</v>
      </c>
      <c r="AZ1023" s="1144">
        <v>0.02</v>
      </c>
    </row>
    <row r="1024" spans="1:52" ht="13.15" customHeight="1">
      <c r="A1024" s="13"/>
      <c r="B1024" s="1193"/>
      <c r="C1024" s="1194"/>
      <c r="D1024" s="426" t="s">
        <v>1684</v>
      </c>
      <c r="E1024" s="66"/>
      <c r="F1024" s="66"/>
      <c r="G1024" s="792"/>
      <c r="H1024" s="792"/>
      <c r="I1024" s="41"/>
      <c r="J1024" s="1437" t="s">
        <v>807</v>
      </c>
      <c r="K1024" s="1438"/>
      <c r="L1024" s="1438"/>
      <c r="M1024" s="1438"/>
      <c r="N1024" s="1438"/>
      <c r="O1024" s="1438"/>
      <c r="P1024" s="1438"/>
      <c r="Q1024" s="1438"/>
      <c r="R1024" s="1438"/>
      <c r="S1024" s="1438"/>
      <c r="T1024" s="1438"/>
      <c r="U1024" s="1438"/>
      <c r="V1024" s="1438"/>
      <c r="W1024" s="1438"/>
      <c r="X1024" s="1438"/>
      <c r="Y1024" s="1438"/>
      <c r="Z1024" s="1438"/>
      <c r="AA1024" s="1438"/>
      <c r="AB1024" s="1438"/>
      <c r="AC1024" s="1438"/>
      <c r="AD1024" s="1438"/>
      <c r="AE1024" s="1439"/>
      <c r="AF1024" s="1507"/>
      <c r="AG1024" s="1507"/>
      <c r="AH1024" s="1507"/>
      <c r="AI1024" s="1507"/>
      <c r="AJ1024" s="1360"/>
      <c r="AK1024" s="1361"/>
      <c r="AL1024" s="1361"/>
      <c r="AM1024" s="1361"/>
      <c r="AN1024" s="1361"/>
      <c r="AO1024" s="1361"/>
      <c r="AP1024" s="1361"/>
      <c r="AQ1024" s="1362"/>
      <c r="AR1024" s="1179"/>
      <c r="AS1024" s="1179"/>
      <c r="AT1024" s="1179"/>
      <c r="AU1024" s="1179"/>
      <c r="AV1024" s="1179"/>
      <c r="AW1024" s="1179"/>
      <c r="AX1024" s="923" t="s">
        <v>1685</v>
      </c>
      <c r="AY1024" s="1195">
        <f>IF(SUM(AY1013:AY1023)&lt;=0.2,SUM(AY1013:AY1023),0.2)</f>
        <v>0.2</v>
      </c>
    </row>
    <row r="1025" spans="1:57" ht="13.15" customHeight="1">
      <c r="A1025" s="13"/>
      <c r="B1025" s="61"/>
      <c r="C1025" s="242" t="s">
        <v>1686</v>
      </c>
      <c r="D1025" s="1446" t="s">
        <v>1687</v>
      </c>
      <c r="E1025" s="1447"/>
      <c r="F1025" s="1447"/>
      <c r="G1025" s="1447"/>
      <c r="H1025" s="1447"/>
      <c r="I1025" s="1447"/>
      <c r="J1025" s="1447"/>
      <c r="K1025" s="1447"/>
      <c r="L1025" s="1447"/>
      <c r="M1025" s="1447"/>
      <c r="N1025" s="1447"/>
      <c r="O1025" s="1447"/>
      <c r="P1025" s="1447"/>
      <c r="Q1025" s="1447"/>
      <c r="R1025" s="1447"/>
      <c r="S1025" s="1447"/>
      <c r="T1025" s="1447"/>
      <c r="U1025" s="1447"/>
      <c r="V1025" s="1447"/>
      <c r="W1025" s="1447"/>
      <c r="X1025" s="1447"/>
      <c r="Y1025" s="1447"/>
      <c r="Z1025" s="1447"/>
      <c r="AA1025" s="1447"/>
      <c r="AB1025" s="1447"/>
      <c r="AC1025" s="1447"/>
      <c r="AD1025" s="1447"/>
      <c r="AE1025" s="1448"/>
      <c r="AF1025" s="61"/>
      <c r="AG1025" s="1454" t="s">
        <v>843</v>
      </c>
      <c r="AH1025" s="1455"/>
      <c r="AI1025" s="64"/>
      <c r="AJ1025" s="1354">
        <f>ROUND(IF(AG1025="Yes",AF1027,0),0)</f>
        <v>4608685</v>
      </c>
      <c r="AK1025" s="1355"/>
      <c r="AL1025" s="1355"/>
      <c r="AM1025" s="1355"/>
      <c r="AN1025" s="1355"/>
      <c r="AO1025" s="1355"/>
      <c r="AP1025" s="1355"/>
      <c r="AQ1025" s="1356"/>
      <c r="AR1025" s="1179"/>
      <c r="AS1025" s="1179"/>
      <c r="AT1025" s="1179"/>
      <c r="AU1025" s="1179"/>
      <c r="AV1025" s="1179"/>
      <c r="AW1025" s="1179"/>
      <c r="AX1025" s="1179"/>
      <c r="AY1025" s="1179"/>
    </row>
    <row r="1026" spans="1:57" ht="13.15" customHeight="1">
      <c r="A1026" s="13"/>
      <c r="B1026" s="58"/>
      <c r="C1026" s="1190"/>
      <c r="D1026" s="1459" t="s">
        <v>1688</v>
      </c>
      <c r="E1026" s="1460"/>
      <c r="F1026" s="1460"/>
      <c r="G1026" s="1460"/>
      <c r="H1026" s="1460"/>
      <c r="I1026" s="1460"/>
      <c r="J1026" s="1460"/>
      <c r="K1026" s="1460"/>
      <c r="L1026" s="1460"/>
      <c r="M1026" s="1460"/>
      <c r="N1026" s="1460"/>
      <c r="O1026" s="1460"/>
      <c r="P1026" s="1460"/>
      <c r="Q1026" s="1460"/>
      <c r="R1026" s="1460"/>
      <c r="S1026" s="1460"/>
      <c r="T1026" s="1460"/>
      <c r="U1026" s="1460"/>
      <c r="V1026" s="1460"/>
      <c r="W1026" s="1460"/>
      <c r="X1026" s="1460"/>
      <c r="Y1026" s="1460"/>
      <c r="Z1026" s="1460"/>
      <c r="AA1026" s="1460"/>
      <c r="AB1026" s="1460"/>
      <c r="AC1026" s="1460"/>
      <c r="AD1026" s="1460"/>
      <c r="AE1026" s="1461"/>
      <c r="AF1026" s="1479" t="str">
        <f>IF(AG1025="yes","Enter Amount:","")</f>
        <v>Enter Amount:</v>
      </c>
      <c r="AG1026" s="1480"/>
      <c r="AH1026" s="1480"/>
      <c r="AI1026" s="1481"/>
      <c r="AJ1026" s="1357"/>
      <c r="AK1026" s="1358"/>
      <c r="AL1026" s="1358"/>
      <c r="AM1026" s="1358"/>
      <c r="AN1026" s="1358"/>
      <c r="AO1026" s="1358"/>
      <c r="AP1026" s="1358"/>
      <c r="AQ1026" s="1359"/>
      <c r="AR1026" s="1179"/>
      <c r="AS1026" s="1179"/>
      <c r="AT1026" s="1179"/>
      <c r="AU1026" s="1179"/>
      <c r="AV1026" s="1179"/>
      <c r="AW1026" s="1179"/>
      <c r="AX1026" s="1179"/>
      <c r="AY1026" s="1179"/>
    </row>
    <row r="1027" spans="1:57" ht="13.15" customHeight="1">
      <c r="A1027" s="13"/>
      <c r="B1027" s="58"/>
      <c r="C1027" s="1190"/>
      <c r="D1027" s="1459"/>
      <c r="E1027" s="1460"/>
      <c r="F1027" s="1460"/>
      <c r="G1027" s="1460"/>
      <c r="H1027" s="1460"/>
      <c r="I1027" s="1460"/>
      <c r="J1027" s="1460"/>
      <c r="K1027" s="1460"/>
      <c r="L1027" s="1460"/>
      <c r="M1027" s="1460"/>
      <c r="N1027" s="1460"/>
      <c r="O1027" s="1460"/>
      <c r="P1027" s="1460"/>
      <c r="Q1027" s="1460"/>
      <c r="R1027" s="1460"/>
      <c r="S1027" s="1460"/>
      <c r="T1027" s="1460"/>
      <c r="U1027" s="1460"/>
      <c r="V1027" s="1460"/>
      <c r="W1027" s="1460"/>
      <c r="X1027" s="1460"/>
      <c r="Y1027" s="1460"/>
      <c r="Z1027" s="1460"/>
      <c r="AA1027" s="1460"/>
      <c r="AB1027" s="1460"/>
      <c r="AC1027" s="1460"/>
      <c r="AD1027" s="1460"/>
      <c r="AE1027" s="1461"/>
      <c r="AF1027" s="1507">
        <v>4608685</v>
      </c>
      <c r="AG1027" s="1507"/>
      <c r="AH1027" s="1507"/>
      <c r="AI1027" s="1507"/>
      <c r="AJ1027" s="1357"/>
      <c r="AK1027" s="1358"/>
      <c r="AL1027" s="1358"/>
      <c r="AM1027" s="1358"/>
      <c r="AN1027" s="1358"/>
      <c r="AO1027" s="1358"/>
      <c r="AP1027" s="1358"/>
      <c r="AQ1027" s="1359"/>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3.15" customHeight="1">
      <c r="A1028" s="13"/>
      <c r="B1028" s="1191"/>
      <c r="C1028" s="1194"/>
      <c r="D1028" s="1462"/>
      <c r="E1028" s="1463"/>
      <c r="F1028" s="1463"/>
      <c r="G1028" s="1463"/>
      <c r="H1028" s="1463"/>
      <c r="I1028" s="1463"/>
      <c r="J1028" s="1463"/>
      <c r="K1028" s="1463"/>
      <c r="L1028" s="1463"/>
      <c r="M1028" s="1463"/>
      <c r="N1028" s="1463"/>
      <c r="O1028" s="1463"/>
      <c r="P1028" s="1463"/>
      <c r="Q1028" s="1463"/>
      <c r="R1028" s="1463"/>
      <c r="S1028" s="1463"/>
      <c r="T1028" s="1463"/>
      <c r="U1028" s="1463"/>
      <c r="V1028" s="1463"/>
      <c r="W1028" s="1463"/>
      <c r="X1028" s="1463"/>
      <c r="Y1028" s="1463"/>
      <c r="Z1028" s="1463"/>
      <c r="AA1028" s="1463"/>
      <c r="AB1028" s="1463"/>
      <c r="AC1028" s="1463"/>
      <c r="AD1028" s="1463"/>
      <c r="AE1028" s="1464"/>
      <c r="AF1028" s="1507"/>
      <c r="AG1028" s="1507"/>
      <c r="AH1028" s="1507"/>
      <c r="AI1028" s="1507"/>
      <c r="AJ1028" s="1360"/>
      <c r="AK1028" s="1361"/>
      <c r="AL1028" s="1361"/>
      <c r="AM1028" s="1361"/>
      <c r="AN1028" s="1361"/>
      <c r="AO1028" s="1361"/>
      <c r="AP1028" s="1361"/>
      <c r="AQ1028" s="1362"/>
      <c r="AR1028" s="1179"/>
      <c r="AS1028" s="1179"/>
      <c r="AT1028" s="1179"/>
      <c r="AU1028" s="1179"/>
      <c r="AV1028" s="1179"/>
      <c r="AW1028" s="1179"/>
      <c r="AX1028" s="1179"/>
      <c r="AY1028" s="1179"/>
    </row>
    <row r="1029" spans="1:57" ht="13.15" customHeight="1">
      <c r="A1029" s="13"/>
      <c r="B1029" s="61"/>
      <c r="C1029" s="242" t="s">
        <v>1689</v>
      </c>
      <c r="D1029" s="1456" t="s">
        <v>1690</v>
      </c>
      <c r="E1029" s="1457"/>
      <c r="F1029" s="1457"/>
      <c r="G1029" s="1457"/>
      <c r="H1029" s="1457"/>
      <c r="I1029" s="1457"/>
      <c r="J1029" s="1457"/>
      <c r="K1029" s="1457"/>
      <c r="L1029" s="1457"/>
      <c r="M1029" s="1457"/>
      <c r="N1029" s="1457"/>
      <c r="O1029" s="1457"/>
      <c r="P1029" s="1457"/>
      <c r="Q1029" s="1457"/>
      <c r="R1029" s="1457"/>
      <c r="S1029" s="1457"/>
      <c r="T1029" s="1457"/>
      <c r="U1029" s="1457"/>
      <c r="V1029" s="1457"/>
      <c r="W1029" s="1457"/>
      <c r="X1029" s="1457"/>
      <c r="Y1029" s="1457"/>
      <c r="Z1029" s="1457"/>
      <c r="AA1029" s="1457"/>
      <c r="AB1029" s="1457"/>
      <c r="AC1029" s="1457"/>
      <c r="AD1029" s="1457"/>
      <c r="AE1029" s="1458"/>
      <c r="AF1029" s="61"/>
      <c r="AG1029" s="1454" t="s">
        <v>692</v>
      </c>
      <c r="AH1029" s="1455"/>
      <c r="AI1029" s="64"/>
      <c r="AJ1029" s="1354">
        <f>ROUND(IF(AG1029="yes",(AJ992*0.1),0),0)</f>
        <v>0</v>
      </c>
      <c r="AK1029" s="1355"/>
      <c r="AL1029" s="1355"/>
      <c r="AM1029" s="1355"/>
      <c r="AN1029" s="1355"/>
      <c r="AO1029" s="1355"/>
      <c r="AP1029" s="1355"/>
      <c r="AQ1029" s="1356"/>
      <c r="AR1029" s="1179"/>
      <c r="AS1029" s="1179"/>
      <c r="AT1029" s="1179"/>
      <c r="AU1029" s="1179"/>
      <c r="AV1029" s="1179"/>
      <c r="AW1029" s="1179"/>
      <c r="AX1029" s="1179"/>
      <c r="AY1029" s="1179"/>
    </row>
    <row r="1030" spans="1:57" ht="13.15" customHeight="1">
      <c r="A1030" s="13"/>
      <c r="B1030" s="58"/>
      <c r="C1030" s="1190"/>
      <c r="D1030" s="1459" t="s">
        <v>1691</v>
      </c>
      <c r="E1030" s="1460"/>
      <c r="F1030" s="1460"/>
      <c r="G1030" s="1460"/>
      <c r="H1030" s="1460"/>
      <c r="I1030" s="1460"/>
      <c r="J1030" s="1460"/>
      <c r="K1030" s="1460"/>
      <c r="L1030" s="1460"/>
      <c r="M1030" s="1460"/>
      <c r="N1030" s="1460"/>
      <c r="O1030" s="1460"/>
      <c r="P1030" s="1460"/>
      <c r="Q1030" s="1460"/>
      <c r="R1030" s="1460"/>
      <c r="S1030" s="1460"/>
      <c r="T1030" s="1460"/>
      <c r="U1030" s="1460"/>
      <c r="V1030" s="1460"/>
      <c r="W1030" s="1460"/>
      <c r="X1030" s="1460"/>
      <c r="Y1030" s="1460"/>
      <c r="Z1030" s="1460"/>
      <c r="AA1030" s="1460"/>
      <c r="AB1030" s="1460"/>
      <c r="AC1030" s="1460"/>
      <c r="AD1030" s="1460"/>
      <c r="AE1030" s="1461"/>
      <c r="AF1030" s="58"/>
      <c r="AG1030" s="13"/>
      <c r="AH1030" s="13"/>
      <c r="AI1030" s="62"/>
      <c r="AJ1030" s="1357"/>
      <c r="AK1030" s="1358"/>
      <c r="AL1030" s="1358"/>
      <c r="AM1030" s="1358"/>
      <c r="AN1030" s="1358"/>
      <c r="AO1030" s="1358"/>
      <c r="AP1030" s="1358"/>
      <c r="AQ1030" s="1359"/>
      <c r="AR1030" s="1179"/>
      <c r="AS1030" s="1179"/>
      <c r="AT1030" s="1179"/>
      <c r="AU1030" s="1179"/>
      <c r="AV1030" s="1179"/>
      <c r="AW1030" s="1179"/>
      <c r="AX1030" s="1179"/>
      <c r="AY1030" s="1179"/>
    </row>
    <row r="1031" spans="1:57" ht="13.15" customHeight="1">
      <c r="A1031" s="13"/>
      <c r="B1031" s="59"/>
      <c r="C1031" s="1190"/>
      <c r="D1031" s="1462"/>
      <c r="E1031" s="1463"/>
      <c r="F1031" s="1463"/>
      <c r="G1031" s="1463"/>
      <c r="H1031" s="1463"/>
      <c r="I1031" s="1463"/>
      <c r="J1031" s="1463"/>
      <c r="K1031" s="1463"/>
      <c r="L1031" s="1463"/>
      <c r="M1031" s="1463"/>
      <c r="N1031" s="1463"/>
      <c r="O1031" s="1463"/>
      <c r="P1031" s="1463"/>
      <c r="Q1031" s="1463"/>
      <c r="R1031" s="1463"/>
      <c r="S1031" s="1463"/>
      <c r="T1031" s="1463"/>
      <c r="U1031" s="1463"/>
      <c r="V1031" s="1463"/>
      <c r="W1031" s="1463"/>
      <c r="X1031" s="1463"/>
      <c r="Y1031" s="1463"/>
      <c r="Z1031" s="1463"/>
      <c r="AA1031" s="1463"/>
      <c r="AB1031" s="1463"/>
      <c r="AC1031" s="1463"/>
      <c r="AD1031" s="1463"/>
      <c r="AE1031" s="1464"/>
      <c r="AF1031" s="58"/>
      <c r="AG1031" s="13"/>
      <c r="AH1031" s="13"/>
      <c r="AI1031" s="62"/>
      <c r="AJ1031" s="1360"/>
      <c r="AK1031" s="1361"/>
      <c r="AL1031" s="1361"/>
      <c r="AM1031" s="1361"/>
      <c r="AN1031" s="1361"/>
      <c r="AO1031" s="1361"/>
      <c r="AP1031" s="1361"/>
      <c r="AQ1031" s="1362"/>
      <c r="AR1031" s="1179"/>
      <c r="AS1031" s="1179"/>
      <c r="AT1031" s="1179"/>
      <c r="AU1031" s="1179"/>
      <c r="AV1031" s="1179"/>
      <c r="AW1031" s="1179"/>
      <c r="AX1031" s="1179"/>
      <c r="AY1031" s="1179"/>
    </row>
    <row r="1032" spans="1:57" ht="13.15" customHeight="1">
      <c r="A1032" s="13"/>
      <c r="B1032" s="58"/>
      <c r="C1032" s="242" t="s">
        <v>22</v>
      </c>
      <c r="D1032" s="1446" t="s">
        <v>1692</v>
      </c>
      <c r="E1032" s="1447"/>
      <c r="F1032" s="1447"/>
      <c r="G1032" s="1447"/>
      <c r="H1032" s="1447"/>
      <c r="I1032" s="1447"/>
      <c r="J1032" s="1447"/>
      <c r="K1032" s="1447"/>
      <c r="L1032" s="1447"/>
      <c r="M1032" s="1447"/>
      <c r="N1032" s="1447"/>
      <c r="O1032" s="1447"/>
      <c r="P1032" s="1447"/>
      <c r="Q1032" s="1447"/>
      <c r="R1032" s="1447"/>
      <c r="S1032" s="1447"/>
      <c r="T1032" s="1447"/>
      <c r="U1032" s="1447"/>
      <c r="V1032" s="1447"/>
      <c r="W1032" s="1447"/>
      <c r="X1032" s="1447"/>
      <c r="Y1032" s="1447"/>
      <c r="Z1032" s="1447"/>
      <c r="AA1032" s="1447"/>
      <c r="AB1032" s="1447"/>
      <c r="AC1032" s="1447"/>
      <c r="AD1032" s="1447"/>
      <c r="AE1032" s="1448"/>
      <c r="AF1032" s="61"/>
      <c r="AG1032" s="1454" t="s">
        <v>692</v>
      </c>
      <c r="AH1032" s="1455"/>
      <c r="AI1032" s="64"/>
      <c r="AJ1032" s="1354">
        <f>ROUND(IF(AG1032="yes",(AJ992*0.15),0),0)</f>
        <v>0</v>
      </c>
      <c r="AK1032" s="1355"/>
      <c r="AL1032" s="1355"/>
      <c r="AM1032" s="1355"/>
      <c r="AN1032" s="1355"/>
      <c r="AO1032" s="1355"/>
      <c r="AP1032" s="1355"/>
      <c r="AQ1032" s="1356"/>
      <c r="AR1032" s="1179"/>
      <c r="AS1032" s="1179"/>
      <c r="AT1032" s="1179"/>
      <c r="AU1032" s="1179"/>
      <c r="AV1032" s="1179"/>
      <c r="AW1032" s="1179"/>
      <c r="AX1032" s="1179"/>
      <c r="AY1032" s="1179"/>
    </row>
    <row r="1033" spans="1:57" ht="13.15" customHeight="1">
      <c r="A1033" s="13"/>
      <c r="B1033" s="58"/>
      <c r="C1033" s="1190"/>
      <c r="D1033" s="1468" t="s">
        <v>1693</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69"/>
      <c r="AF1033" s="811"/>
      <c r="AG1033" s="812"/>
      <c r="AH1033" s="812"/>
      <c r="AI1033" s="813"/>
      <c r="AJ1033" s="1357"/>
      <c r="AK1033" s="1358"/>
      <c r="AL1033" s="1358"/>
      <c r="AM1033" s="1358"/>
      <c r="AN1033" s="1358"/>
      <c r="AO1033" s="1358"/>
      <c r="AP1033" s="1358"/>
      <c r="AQ1033" s="1359"/>
      <c r="AR1033" s="1179"/>
      <c r="AS1033" s="1179"/>
      <c r="AT1033" s="1179"/>
      <c r="AU1033" s="1179"/>
      <c r="AV1033" s="1179"/>
      <c r="AW1033" s="1179"/>
      <c r="AX1033" s="1179"/>
      <c r="AY1033" s="1179"/>
    </row>
    <row r="1034" spans="1:57" ht="13.15" customHeight="1">
      <c r="A1034" s="13"/>
      <c r="B1034" s="58"/>
      <c r="C1034" s="1190"/>
      <c r="D1034" s="1468"/>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69"/>
      <c r="AF1034" s="811"/>
      <c r="AG1034" s="812"/>
      <c r="AH1034" s="812"/>
      <c r="AI1034" s="813"/>
      <c r="AJ1034" s="1357"/>
      <c r="AK1034" s="1358"/>
      <c r="AL1034" s="1358"/>
      <c r="AM1034" s="1358"/>
      <c r="AN1034" s="1358"/>
      <c r="AO1034" s="1358"/>
      <c r="AP1034" s="1358"/>
      <c r="AQ1034" s="1359"/>
      <c r="AR1034" s="1179"/>
      <c r="AS1034" s="1179"/>
      <c r="AT1034" s="1179"/>
      <c r="AU1034" s="1179"/>
      <c r="AV1034" s="1179"/>
      <c r="AW1034" s="1179"/>
      <c r="AX1034" s="1179"/>
      <c r="AY1034" s="1179"/>
    </row>
    <row r="1035" spans="1:57" ht="13.15" customHeight="1">
      <c r="A1035" s="13"/>
      <c r="B1035" s="58"/>
      <c r="C1035" s="1190"/>
      <c r="D1035" s="1470"/>
      <c r="E1035" s="1471"/>
      <c r="F1035" s="1471"/>
      <c r="G1035" s="1471"/>
      <c r="H1035" s="1471"/>
      <c r="I1035" s="1471"/>
      <c r="J1035" s="1471"/>
      <c r="K1035" s="1471"/>
      <c r="L1035" s="1471"/>
      <c r="M1035" s="1471"/>
      <c r="N1035" s="1471"/>
      <c r="O1035" s="1471"/>
      <c r="P1035" s="1471"/>
      <c r="Q1035" s="1471"/>
      <c r="R1035" s="1471"/>
      <c r="S1035" s="1471"/>
      <c r="T1035" s="1471"/>
      <c r="U1035" s="1471"/>
      <c r="V1035" s="1471"/>
      <c r="W1035" s="1471"/>
      <c r="X1035" s="1471"/>
      <c r="Y1035" s="1471"/>
      <c r="Z1035" s="1471"/>
      <c r="AA1035" s="1471"/>
      <c r="AB1035" s="1471"/>
      <c r="AC1035" s="1471"/>
      <c r="AD1035" s="1471"/>
      <c r="AE1035" s="1472"/>
      <c r="AF1035" s="814"/>
      <c r="AG1035" s="815"/>
      <c r="AH1035" s="815"/>
      <c r="AI1035" s="816"/>
      <c r="AJ1035" s="1360"/>
      <c r="AK1035" s="1361"/>
      <c r="AL1035" s="1361"/>
      <c r="AM1035" s="1361"/>
      <c r="AN1035" s="1361"/>
      <c r="AO1035" s="1361"/>
      <c r="AP1035" s="1361"/>
      <c r="AQ1035" s="1362"/>
      <c r="AR1035" s="1179"/>
      <c r="AS1035" s="1179"/>
      <c r="AT1035" s="1179"/>
      <c r="AU1035" s="1179"/>
      <c r="AV1035" s="1179"/>
      <c r="AW1035" s="1179"/>
      <c r="AX1035" s="1179"/>
      <c r="AY1035" s="1179"/>
    </row>
    <row r="1036" spans="1:57" ht="13.15" customHeight="1">
      <c r="A1036" s="13"/>
      <c r="B1036" s="58"/>
      <c r="C1036" s="242" t="s">
        <v>22</v>
      </c>
      <c r="D1036" s="1456" t="s">
        <v>1694</v>
      </c>
      <c r="E1036" s="1457"/>
      <c r="F1036" s="1457"/>
      <c r="G1036" s="1457"/>
      <c r="H1036" s="1457"/>
      <c r="I1036" s="1457"/>
      <c r="J1036" s="1457"/>
      <c r="K1036" s="1457"/>
      <c r="L1036" s="1457"/>
      <c r="M1036" s="1457"/>
      <c r="N1036" s="1457"/>
      <c r="O1036" s="1457"/>
      <c r="P1036" s="1457"/>
      <c r="Q1036" s="1457"/>
      <c r="R1036" s="1457"/>
      <c r="S1036" s="1457"/>
      <c r="T1036" s="1457"/>
      <c r="U1036" s="1457"/>
      <c r="V1036" s="1457"/>
      <c r="W1036" s="1457"/>
      <c r="X1036" s="1457"/>
      <c r="Y1036" s="1457"/>
      <c r="Z1036" s="1457"/>
      <c r="AA1036" s="1457"/>
      <c r="AB1036" s="1457"/>
      <c r="AC1036" s="1457"/>
      <c r="AD1036" s="1457"/>
      <c r="AE1036" s="1458"/>
      <c r="AF1036" s="58"/>
      <c r="AG1036" s="1531" t="s">
        <v>692</v>
      </c>
      <c r="AH1036" s="1532"/>
      <c r="AI1036" s="62"/>
      <c r="AJ1036" s="1354">
        <f>ROUND(IF(AND(AG1036="yes",AJ1032=0),(AJ992*0.1),0),0)</f>
        <v>0</v>
      </c>
      <c r="AK1036" s="1355"/>
      <c r="AL1036" s="1355"/>
      <c r="AM1036" s="1355"/>
      <c r="AN1036" s="1355"/>
      <c r="AO1036" s="1355"/>
      <c r="AP1036" s="1355"/>
      <c r="AQ1036" s="1356"/>
      <c r="AR1036" s="1179"/>
      <c r="AS1036" s="1179"/>
      <c r="AT1036" s="1179"/>
      <c r="AU1036" s="1179"/>
      <c r="AV1036" s="1179"/>
      <c r="AW1036" s="1179"/>
      <c r="AX1036" s="1179"/>
      <c r="AY1036" s="1179"/>
    </row>
    <row r="1037" spans="1:57" ht="13.15" customHeight="1">
      <c r="A1037" s="13"/>
      <c r="B1037" s="58"/>
      <c r="C1037" s="1190"/>
      <c r="D1037" s="1468" t="s">
        <v>1695</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69"/>
      <c r="AF1037" s="58"/>
      <c r="AG1037" s="13"/>
      <c r="AH1037" s="13"/>
      <c r="AI1037" s="62"/>
      <c r="AJ1037" s="1357"/>
      <c r="AK1037" s="1358"/>
      <c r="AL1037" s="1358"/>
      <c r="AM1037" s="1358"/>
      <c r="AN1037" s="1358"/>
      <c r="AO1037" s="1358"/>
      <c r="AP1037" s="1358"/>
      <c r="AQ1037" s="1359"/>
      <c r="AR1037" s="1179"/>
      <c r="AS1037" s="1179"/>
      <c r="AT1037" s="1179"/>
      <c r="AU1037" s="1179"/>
      <c r="AV1037" s="1179"/>
      <c r="AW1037" s="1179"/>
      <c r="AX1037" s="1179"/>
      <c r="AY1037" s="1179"/>
    </row>
    <row r="1038" spans="1:57" ht="13.15" customHeight="1">
      <c r="A1038" s="13"/>
      <c r="B1038" s="58"/>
      <c r="C1038" s="1190"/>
      <c r="D1038" s="1468"/>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69"/>
      <c r="AF1038" s="58"/>
      <c r="AG1038" s="13"/>
      <c r="AH1038" s="13"/>
      <c r="AI1038" s="62"/>
      <c r="AJ1038" s="1357"/>
      <c r="AK1038" s="1358"/>
      <c r="AL1038" s="1358"/>
      <c r="AM1038" s="1358"/>
      <c r="AN1038" s="1358"/>
      <c r="AO1038" s="1358"/>
      <c r="AP1038" s="1358"/>
      <c r="AQ1038" s="1359"/>
      <c r="AR1038" s="1179"/>
      <c r="AS1038" s="1179"/>
      <c r="AT1038" s="1179"/>
      <c r="AU1038" s="1179"/>
      <c r="AV1038" s="1179"/>
      <c r="AW1038" s="1179"/>
      <c r="AX1038" s="1179"/>
      <c r="AY1038" s="1179"/>
      <c r="BA1038" s="1072">
        <f>IFERROR(('Sources and Uses Budget'!$C$17+'Sources and Uses Budget'!$C$18+'Sources and Uses Budget'!$C$22)/$AG$437,0)</f>
        <v>0</v>
      </c>
      <c r="BB1038" s="1072" t="s">
        <v>1696</v>
      </c>
      <c r="BC1038" s="1072"/>
      <c r="BD1038" s="1072"/>
      <c r="BE1038" s="1072"/>
    </row>
    <row r="1039" spans="1:57" ht="13.15" customHeight="1">
      <c r="A1039" s="13"/>
      <c r="B1039" s="58"/>
      <c r="C1039" s="1190"/>
      <c r="D1039" s="1468"/>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69"/>
      <c r="AF1039" s="58"/>
      <c r="AG1039" s="13"/>
      <c r="AH1039" s="13"/>
      <c r="AI1039" s="62"/>
      <c r="AJ1039" s="1357"/>
      <c r="AK1039" s="1358"/>
      <c r="AL1039" s="1358"/>
      <c r="AM1039" s="1358"/>
      <c r="AN1039" s="1358"/>
      <c r="AO1039" s="1358"/>
      <c r="AP1039" s="1358"/>
      <c r="AQ1039" s="1359"/>
      <c r="AR1039" s="1179"/>
      <c r="AS1039" s="1179"/>
      <c r="AT1039" s="1179"/>
      <c r="AU1039" s="1179"/>
      <c r="AV1039" s="1179"/>
      <c r="AW1039" s="1179"/>
      <c r="AX1039" s="1179"/>
      <c r="AY1039" s="1179"/>
      <c r="BA1039">
        <f>IFERROR((($CI$753+$CM$753)/$AG$440),0)</f>
        <v>0.28497409326424872</v>
      </c>
      <c r="BB1039" s="3" t="s">
        <v>1697</v>
      </c>
    </row>
    <row r="1040" spans="1:57" ht="13.15" customHeight="1">
      <c r="A1040" s="13"/>
      <c r="B1040" s="58"/>
      <c r="C1040" s="1190"/>
      <c r="D1040" s="1470"/>
      <c r="E1040" s="1471"/>
      <c r="F1040" s="1471"/>
      <c r="G1040" s="1471"/>
      <c r="H1040" s="1471"/>
      <c r="I1040" s="1471"/>
      <c r="J1040" s="1471"/>
      <c r="K1040" s="1471"/>
      <c r="L1040" s="1471"/>
      <c r="M1040" s="1471"/>
      <c r="N1040" s="1471"/>
      <c r="O1040" s="1471"/>
      <c r="P1040" s="1471"/>
      <c r="Q1040" s="1471"/>
      <c r="R1040" s="1471"/>
      <c r="S1040" s="1471"/>
      <c r="T1040" s="1471"/>
      <c r="U1040" s="1471"/>
      <c r="V1040" s="1471"/>
      <c r="W1040" s="1471"/>
      <c r="X1040" s="1471"/>
      <c r="Y1040" s="1471"/>
      <c r="Z1040" s="1471"/>
      <c r="AA1040" s="1471"/>
      <c r="AB1040" s="1471"/>
      <c r="AC1040" s="1471"/>
      <c r="AD1040" s="1471"/>
      <c r="AE1040" s="1472"/>
      <c r="AF1040" s="58"/>
      <c r="AG1040" s="13"/>
      <c r="AH1040" s="13"/>
      <c r="AI1040" s="62"/>
      <c r="AJ1040" s="1357"/>
      <c r="AK1040" s="1358"/>
      <c r="AL1040" s="1358"/>
      <c r="AM1040" s="1358"/>
      <c r="AN1040" s="1358"/>
      <c r="AO1040" s="1358"/>
      <c r="AP1040" s="1358"/>
      <c r="AQ1040" s="1359"/>
      <c r="AR1040" s="1179"/>
      <c r="AS1040" s="1179"/>
      <c r="AT1040" s="1179"/>
      <c r="AU1040" s="1179"/>
      <c r="AV1040" s="1179"/>
      <c r="AW1040" s="1179"/>
      <c r="AX1040" s="1179"/>
      <c r="AY1040" s="1179"/>
      <c r="BA1040" t="b">
        <f>'Points System'!AJ164="Yes"</f>
        <v>0</v>
      </c>
      <c r="BB1040" s="3" t="s">
        <v>1698</v>
      </c>
    </row>
    <row r="1041" spans="1:56" ht="13.15" customHeight="1">
      <c r="A1041" s="13"/>
      <c r="B1041" s="61"/>
      <c r="C1041" s="96" t="s">
        <v>1699</v>
      </c>
      <c r="D1041" s="1446" t="s">
        <v>1700</v>
      </c>
      <c r="E1041" s="1447"/>
      <c r="F1041" s="1447"/>
      <c r="G1041" s="1447"/>
      <c r="H1041" s="1447"/>
      <c r="I1041" s="1447"/>
      <c r="J1041" s="1447"/>
      <c r="K1041" s="1447"/>
      <c r="L1041" s="1447"/>
      <c r="M1041" s="1447"/>
      <c r="N1041" s="1447"/>
      <c r="O1041" s="1447"/>
      <c r="P1041" s="1447"/>
      <c r="Q1041" s="1447"/>
      <c r="R1041" s="1447"/>
      <c r="S1041" s="1447"/>
      <c r="T1041" s="1447"/>
      <c r="U1041" s="1447"/>
      <c r="V1041" s="1447"/>
      <c r="W1041" s="1447"/>
      <c r="X1041" s="1447"/>
      <c r="Y1041" s="1447"/>
      <c r="Z1041" s="1447"/>
      <c r="AA1041" s="1447"/>
      <c r="AB1041" s="1447"/>
      <c r="AC1041" s="1447"/>
      <c r="AD1041" s="1447"/>
      <c r="AE1041" s="1448"/>
      <c r="AF1041" s="61"/>
      <c r="AG1041" s="1454" t="s">
        <v>692</v>
      </c>
      <c r="AH1041" s="1455"/>
      <c r="AI1041" s="64"/>
      <c r="AJ1041" s="1354">
        <f>ROUND(IF(AG1041="yes",(AJ992*0.1),0),0)</f>
        <v>0</v>
      </c>
      <c r="AK1041" s="1355"/>
      <c r="AL1041" s="1355"/>
      <c r="AM1041" s="1355"/>
      <c r="AN1041" s="1355"/>
      <c r="AO1041" s="1355"/>
      <c r="AP1041" s="1355"/>
      <c r="AQ1041" s="1356"/>
      <c r="AR1041" s="1179"/>
      <c r="AS1041" s="1179"/>
      <c r="AT1041" s="1179"/>
      <c r="AU1041" s="1179"/>
      <c r="AV1041" s="1179"/>
      <c r="AW1041" s="1179"/>
      <c r="AX1041" s="1179"/>
      <c r="AY1041" s="1179"/>
      <c r="BA1041">
        <f>Q212</f>
        <v>0</v>
      </c>
      <c r="BB1041" s="3" t="s">
        <v>1701</v>
      </c>
    </row>
    <row r="1042" spans="1:56" ht="13.15" customHeight="1">
      <c r="A1042" s="13"/>
      <c r="B1042" s="58"/>
      <c r="C1042" s="1190"/>
      <c r="D1042" s="1459" t="s">
        <v>1702</v>
      </c>
      <c r="E1042" s="1460"/>
      <c r="F1042" s="1460"/>
      <c r="G1042" s="1460"/>
      <c r="H1042" s="1460"/>
      <c r="I1042" s="1460"/>
      <c r="J1042" s="1460"/>
      <c r="K1042" s="1460"/>
      <c r="L1042" s="1460"/>
      <c r="M1042" s="1460"/>
      <c r="N1042" s="1460"/>
      <c r="O1042" s="1460"/>
      <c r="P1042" s="1460"/>
      <c r="Q1042" s="1460"/>
      <c r="R1042" s="1460"/>
      <c r="S1042" s="1460"/>
      <c r="T1042" s="1460"/>
      <c r="U1042" s="1460"/>
      <c r="V1042" s="1460"/>
      <c r="W1042" s="1460"/>
      <c r="X1042" s="1460"/>
      <c r="Y1042" s="1460"/>
      <c r="Z1042" s="1460"/>
      <c r="AA1042" s="1460"/>
      <c r="AB1042" s="1460"/>
      <c r="AC1042" s="1460"/>
      <c r="AD1042" s="1460"/>
      <c r="AE1042" s="1461"/>
      <c r="AF1042" s="58"/>
      <c r="AG1042" s="13"/>
      <c r="AH1042" s="13"/>
      <c r="AI1042" s="62"/>
      <c r="AJ1042" s="1357"/>
      <c r="AK1042" s="1358"/>
      <c r="AL1042" s="1358"/>
      <c r="AM1042" s="1358"/>
      <c r="AN1042" s="1358"/>
      <c r="AO1042" s="1358"/>
      <c r="AP1042" s="1358"/>
      <c r="AQ1042" s="1359"/>
      <c r="AR1042" s="1179"/>
      <c r="AS1042" s="1179"/>
      <c r="AT1042" s="1179"/>
      <c r="AU1042" s="1179"/>
      <c r="AV1042" s="1179"/>
      <c r="AW1042" s="1179"/>
      <c r="AX1042" s="1179"/>
      <c r="AY1042" s="1179"/>
      <c r="BA1042" s="1073">
        <f>T212</f>
        <v>0</v>
      </c>
      <c r="BB1042" s="3" t="s">
        <v>1703</v>
      </c>
    </row>
    <row r="1043" spans="1:56" ht="13.15" customHeight="1">
      <c r="A1043" s="13"/>
      <c r="B1043" s="58"/>
      <c r="C1043" s="1190"/>
      <c r="D1043" s="1459"/>
      <c r="E1043" s="1460"/>
      <c r="F1043" s="1460"/>
      <c r="G1043" s="1460"/>
      <c r="H1043" s="1460"/>
      <c r="I1043" s="1460"/>
      <c r="J1043" s="1460"/>
      <c r="K1043" s="1460"/>
      <c r="L1043" s="1460"/>
      <c r="M1043" s="1460"/>
      <c r="N1043" s="1460"/>
      <c r="O1043" s="1460"/>
      <c r="P1043" s="1460"/>
      <c r="Q1043" s="1460"/>
      <c r="R1043" s="1460"/>
      <c r="S1043" s="1460"/>
      <c r="T1043" s="1460"/>
      <c r="U1043" s="1460"/>
      <c r="V1043" s="1460"/>
      <c r="W1043" s="1460"/>
      <c r="X1043" s="1460"/>
      <c r="Y1043" s="1460"/>
      <c r="Z1043" s="1460"/>
      <c r="AA1043" s="1460"/>
      <c r="AB1043" s="1460"/>
      <c r="AC1043" s="1460"/>
      <c r="AD1043" s="1460"/>
      <c r="AE1043" s="1461"/>
      <c r="AF1043" s="58"/>
      <c r="AG1043" s="13"/>
      <c r="AH1043" s="13"/>
      <c r="AI1043" s="62"/>
      <c r="AJ1043" s="1357"/>
      <c r="AK1043" s="1358"/>
      <c r="AL1043" s="1358"/>
      <c r="AM1043" s="1358"/>
      <c r="AN1043" s="1358"/>
      <c r="AO1043" s="1358"/>
      <c r="AP1043" s="1358"/>
      <c r="AQ1043" s="1359"/>
      <c r="AR1043" s="1179"/>
      <c r="AS1043" s="1179"/>
      <c r="AT1043" s="1179"/>
      <c r="AU1043" s="1179"/>
      <c r="AV1043" s="1179"/>
      <c r="AW1043" s="1179"/>
      <c r="AX1043" s="1179"/>
      <c r="AY1043" s="1179"/>
    </row>
    <row r="1044" spans="1:56" ht="13.15" customHeight="1">
      <c r="A1044" s="13"/>
      <c r="B1044" s="58"/>
      <c r="C1044" s="1190"/>
      <c r="D1044" s="1462"/>
      <c r="E1044" s="1463"/>
      <c r="F1044" s="1463"/>
      <c r="G1044" s="1463"/>
      <c r="H1044" s="1463"/>
      <c r="I1044" s="1463"/>
      <c r="J1044" s="1463"/>
      <c r="K1044" s="1463"/>
      <c r="L1044" s="1463"/>
      <c r="M1044" s="1463"/>
      <c r="N1044" s="1463"/>
      <c r="O1044" s="1463"/>
      <c r="P1044" s="1463"/>
      <c r="Q1044" s="1463"/>
      <c r="R1044" s="1463"/>
      <c r="S1044" s="1463"/>
      <c r="T1044" s="1463"/>
      <c r="U1044" s="1463"/>
      <c r="V1044" s="1463"/>
      <c r="W1044" s="1463"/>
      <c r="X1044" s="1463"/>
      <c r="Y1044" s="1463"/>
      <c r="Z1044" s="1463"/>
      <c r="AA1044" s="1463"/>
      <c r="AB1044" s="1463"/>
      <c r="AC1044" s="1463"/>
      <c r="AD1044" s="1463"/>
      <c r="AE1044" s="1464"/>
      <c r="AF1044" s="58"/>
      <c r="AG1044" s="13"/>
      <c r="AH1044" s="13"/>
      <c r="AI1044" s="62"/>
      <c r="AJ1044" s="1360"/>
      <c r="AK1044" s="1361"/>
      <c r="AL1044" s="1361"/>
      <c r="AM1044" s="1361"/>
      <c r="AN1044" s="1361"/>
      <c r="AO1044" s="1361"/>
      <c r="AP1044" s="1361"/>
      <c r="AQ1044" s="1362"/>
      <c r="AR1044" s="1179"/>
      <c r="AS1044" s="1179"/>
      <c r="AT1044" s="1179"/>
      <c r="AU1044" s="1179"/>
      <c r="AV1044" s="1179"/>
      <c r="AW1044" s="1179"/>
      <c r="AX1044" s="1179"/>
      <c r="AY1044" s="1179"/>
    </row>
    <row r="1045" spans="1:56" ht="13.15" customHeight="1">
      <c r="A1045" s="13"/>
      <c r="B1045" s="61"/>
      <c r="C1045" s="96" t="s">
        <v>1704</v>
      </c>
      <c r="D1045" s="1456" t="s">
        <v>1705</v>
      </c>
      <c r="E1045" s="1457"/>
      <c r="F1045" s="1457"/>
      <c r="G1045" s="1457"/>
      <c r="H1045" s="1457"/>
      <c r="I1045" s="1457"/>
      <c r="J1045" s="1457"/>
      <c r="K1045" s="1457"/>
      <c r="L1045" s="1457"/>
      <c r="M1045" s="1457"/>
      <c r="N1045" s="1457"/>
      <c r="O1045" s="1457"/>
      <c r="P1045" s="1457"/>
      <c r="Q1045" s="1457"/>
      <c r="R1045" s="1457"/>
      <c r="S1045" s="1457"/>
      <c r="T1045" s="1457"/>
      <c r="U1045" s="1457"/>
      <c r="V1045" s="1457"/>
      <c r="W1045" s="1457"/>
      <c r="X1045" s="1457"/>
      <c r="Y1045" s="1457"/>
      <c r="Z1045" s="1457"/>
      <c r="AA1045" s="1457"/>
      <c r="AB1045" s="1457"/>
      <c r="AC1045" s="1457"/>
      <c r="AD1045" s="1457"/>
      <c r="AE1045" s="1458"/>
      <c r="AF1045" s="61"/>
      <c r="AG1045" s="1519" t="str">
        <f>IF(X1048&gt;0,"Yes","No")</f>
        <v>Yes</v>
      </c>
      <c r="AH1045" s="1520"/>
      <c r="AI1045" s="64"/>
      <c r="AJ1045" s="1354">
        <f>IF((X1048=0),0,AY1005*AJ992)</f>
        <v>12828203.4</v>
      </c>
      <c r="AK1045" s="1355"/>
      <c r="AL1045" s="1355"/>
      <c r="AM1045" s="1355"/>
      <c r="AN1045" s="1355"/>
      <c r="AO1045" s="1355"/>
      <c r="AP1045" s="1355"/>
      <c r="AQ1045" s="1356"/>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1706</v>
      </c>
      <c r="BB1045" s="3"/>
      <c r="BC1045" s="3"/>
      <c r="BD1045" s="3"/>
    </row>
    <row r="1046" spans="1:56" ht="13.15" customHeight="1">
      <c r="A1046" s="13"/>
      <c r="B1046" s="58"/>
      <c r="C1046" s="345"/>
      <c r="D1046" s="1459" t="s">
        <v>1707</v>
      </c>
      <c r="E1046" s="1460"/>
      <c r="F1046" s="1460"/>
      <c r="G1046" s="1460"/>
      <c r="H1046" s="1460"/>
      <c r="I1046" s="1460"/>
      <c r="J1046" s="1460"/>
      <c r="K1046" s="1460"/>
      <c r="L1046" s="1460"/>
      <c r="M1046" s="1460"/>
      <c r="N1046" s="1460"/>
      <c r="O1046" s="1460"/>
      <c r="P1046" s="1460"/>
      <c r="Q1046" s="1460"/>
      <c r="R1046" s="1460"/>
      <c r="S1046" s="1460"/>
      <c r="T1046" s="1460"/>
      <c r="U1046" s="1460"/>
      <c r="V1046" s="1460"/>
      <c r="W1046" s="1460"/>
      <c r="X1046" s="1460"/>
      <c r="Y1046" s="1460"/>
      <c r="Z1046" s="1460"/>
      <c r="AA1046" s="1460"/>
      <c r="AB1046" s="1460"/>
      <c r="AC1046" s="1460"/>
      <c r="AD1046" s="1460"/>
      <c r="AE1046" s="1461"/>
      <c r="AF1046" s="58"/>
      <c r="AG1046" s="1196"/>
      <c r="AH1046" s="1196"/>
      <c r="AI1046" s="62"/>
      <c r="AJ1046" s="1357"/>
      <c r="AK1046" s="1358"/>
      <c r="AL1046" s="1358"/>
      <c r="AM1046" s="1358"/>
      <c r="AN1046" s="1358"/>
      <c r="AO1046" s="1358"/>
      <c r="AP1046" s="1358"/>
      <c r="AQ1046" s="1359"/>
      <c r="AR1046" s="1179"/>
      <c r="AS1046" s="1179"/>
      <c r="AT1046" s="1179"/>
      <c r="AU1046" s="12"/>
      <c r="AV1046" s="1179"/>
      <c r="AW1046" s="1179"/>
      <c r="AX1046" s="1179"/>
      <c r="AY1046" s="1179"/>
      <c r="AZ1046" s="856">
        <f>'Sources and Uses Budget'!S97*BA1046</f>
        <v>10679510.1</v>
      </c>
      <c r="BA1046" s="1071">
        <f>IF(BA1040,20%,15%)</f>
        <v>0.15</v>
      </c>
      <c r="BB1046" s="3" t="s">
        <v>1708</v>
      </c>
      <c r="BC1046" s="3" t="s">
        <v>1709</v>
      </c>
      <c r="BD1046" s="3"/>
    </row>
    <row r="1047" spans="1:56" ht="13.15" customHeight="1">
      <c r="A1047" s="13"/>
      <c r="B1047" s="58"/>
      <c r="C1047" s="345"/>
      <c r="D1047" s="1459"/>
      <c r="E1047" s="1460"/>
      <c r="F1047" s="1460"/>
      <c r="G1047" s="1460"/>
      <c r="H1047" s="1460"/>
      <c r="I1047" s="1460"/>
      <c r="J1047" s="1460"/>
      <c r="K1047" s="1460"/>
      <c r="L1047" s="1460"/>
      <c r="M1047" s="1460"/>
      <c r="N1047" s="1460"/>
      <c r="O1047" s="1460"/>
      <c r="P1047" s="1460"/>
      <c r="Q1047" s="1460"/>
      <c r="R1047" s="1460"/>
      <c r="S1047" s="1460"/>
      <c r="T1047" s="1460"/>
      <c r="U1047" s="1460"/>
      <c r="V1047" s="1460"/>
      <c r="W1047" s="1460"/>
      <c r="X1047" s="1460"/>
      <c r="Y1047" s="1460"/>
      <c r="Z1047" s="1460"/>
      <c r="AA1047" s="1460"/>
      <c r="AB1047" s="1460"/>
      <c r="AC1047" s="1460"/>
      <c r="AD1047" s="1460"/>
      <c r="AE1047" s="1461"/>
      <c r="AF1047" s="58"/>
      <c r="AG1047" s="1196"/>
      <c r="AH1047" s="1196"/>
      <c r="AI1047" s="62"/>
      <c r="AJ1047" s="1357"/>
      <c r="AK1047" s="1358"/>
      <c r="AL1047" s="1358"/>
      <c r="AM1047" s="1358"/>
      <c r="AN1047" s="1358"/>
      <c r="AO1047" s="1358"/>
      <c r="AP1047" s="1358"/>
      <c r="AQ1047" s="1359"/>
      <c r="AR1047" s="1179"/>
      <c r="AS1047" s="1179"/>
      <c r="AT1047" s="1179"/>
      <c r="AU1047" s="12"/>
      <c r="AV1047" s="1179"/>
      <c r="AW1047" s="1179"/>
      <c r="AX1047" s="1179"/>
      <c r="AY1047" s="1179"/>
      <c r="AZ1047" s="856">
        <f>IF(M356="N/A",0,'Sources and Uses Budget'!T97*BA1047)</f>
        <v>0</v>
      </c>
      <c r="BA1047" s="1071">
        <v>0.15</v>
      </c>
      <c r="BB1047" s="3" t="s">
        <v>1708</v>
      </c>
      <c r="BC1047" s="3" t="s">
        <v>1710</v>
      </c>
      <c r="BD1047" s="3"/>
    </row>
    <row r="1048" spans="1:56" ht="13.15" customHeight="1">
      <c r="A1048" s="13"/>
      <c r="B1048" s="59"/>
      <c r="C1048" s="60"/>
      <c r="D1048" s="97" t="s">
        <v>1711</v>
      </c>
      <c r="E1048" s="6"/>
      <c r="F1048" s="6"/>
      <c r="G1048" s="6"/>
      <c r="H1048" s="6"/>
      <c r="I1048" s="1521">
        <f>AY1003</f>
        <v>193</v>
      </c>
      <c r="J1048" s="1522"/>
      <c r="K1048" s="6"/>
      <c r="L1048" s="6"/>
      <c r="M1048" s="6"/>
      <c r="N1048" s="6"/>
      <c r="O1048" s="6"/>
      <c r="P1048" s="6"/>
      <c r="Q1048" s="6"/>
      <c r="R1048" s="6"/>
      <c r="S1048" s="6"/>
      <c r="T1048" s="6"/>
      <c r="U1048" s="6"/>
      <c r="V1048" s="98" t="s">
        <v>1712</v>
      </c>
      <c r="W1048" s="40"/>
      <c r="X1048" s="1519">
        <f>CI753</f>
        <v>20</v>
      </c>
      <c r="Y1048" s="1520"/>
      <c r="Z1048" s="40"/>
      <c r="AA1048" s="40"/>
      <c r="AB1048" s="40"/>
      <c r="AC1048" s="40"/>
      <c r="AD1048" s="40"/>
      <c r="AE1048" s="41"/>
      <c r="AF1048" s="820"/>
      <c r="AG1048" s="821"/>
      <c r="AH1048" s="821"/>
      <c r="AI1048" s="822"/>
      <c r="AJ1048" s="1360"/>
      <c r="AK1048" s="1361"/>
      <c r="AL1048" s="1361"/>
      <c r="AM1048" s="1361"/>
      <c r="AN1048" s="1361"/>
      <c r="AO1048" s="1361"/>
      <c r="AP1048" s="1361"/>
      <c r="AQ1048" s="1362"/>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0.05</v>
      </c>
      <c r="BB1048" s="3" t="s">
        <v>1708</v>
      </c>
      <c r="BC1048" s="3" t="s">
        <v>1713</v>
      </c>
      <c r="BD1048" s="3"/>
    </row>
    <row r="1049" spans="1:56" ht="13.15" customHeight="1">
      <c r="A1049" s="13"/>
      <c r="B1049" s="61"/>
      <c r="C1049" s="96" t="s">
        <v>1714</v>
      </c>
      <c r="D1049" s="1446" t="s">
        <v>1715</v>
      </c>
      <c r="E1049" s="1447"/>
      <c r="F1049" s="1447"/>
      <c r="G1049" s="1447"/>
      <c r="H1049" s="1447"/>
      <c r="I1049" s="1447"/>
      <c r="J1049" s="1447"/>
      <c r="K1049" s="1447"/>
      <c r="L1049" s="1447"/>
      <c r="M1049" s="1447"/>
      <c r="N1049" s="1447"/>
      <c r="O1049" s="1447"/>
      <c r="P1049" s="1447"/>
      <c r="Q1049" s="1447"/>
      <c r="R1049" s="1447"/>
      <c r="S1049" s="1447"/>
      <c r="T1049" s="1447"/>
      <c r="U1049" s="1447"/>
      <c r="V1049" s="1447"/>
      <c r="W1049" s="1447"/>
      <c r="X1049" s="1447"/>
      <c r="Y1049" s="1447"/>
      <c r="Z1049" s="1447"/>
      <c r="AA1049" s="1447"/>
      <c r="AB1049" s="1447"/>
      <c r="AC1049" s="1447"/>
      <c r="AD1049" s="1447"/>
      <c r="AE1049" s="1448"/>
      <c r="AF1049" s="58"/>
      <c r="AG1049" s="1519" t="str">
        <f>IF(X1052&gt;0,"Yes","No")</f>
        <v>Yes</v>
      </c>
      <c r="AH1049" s="1520"/>
      <c r="AI1049" s="62"/>
      <c r="AJ1049" s="1354">
        <f>IF((X1052=0),0,(2*AY1006)*AJ992)</f>
        <v>46181532.239999995</v>
      </c>
      <c r="AK1049" s="1355"/>
      <c r="AL1049" s="1355"/>
      <c r="AM1049" s="1355"/>
      <c r="AN1049" s="1355"/>
      <c r="AO1049" s="1355"/>
      <c r="AP1049" s="1355"/>
      <c r="AQ1049" s="1356"/>
      <c r="AR1049" s="1179"/>
      <c r="AS1049" s="1179"/>
      <c r="AT1049" s="1179"/>
      <c r="AU1049" s="13"/>
      <c r="AV1049" s="1179"/>
      <c r="AW1049" s="1179"/>
      <c r="AX1049" s="1179"/>
      <c r="AY1049" s="1179"/>
      <c r="AZ1049" s="856">
        <f>AZ1045*BA1049</f>
        <v>0</v>
      </c>
      <c r="BA1049" s="1071">
        <v>0.15</v>
      </c>
      <c r="BB1049" s="3" t="s">
        <v>1708</v>
      </c>
      <c r="BC1049" s="3" t="s">
        <v>1716</v>
      </c>
      <c r="BD1049" s="3"/>
    </row>
    <row r="1050" spans="1:56" ht="13.15" customHeight="1">
      <c r="A1050" s="13"/>
      <c r="B1050" s="58"/>
      <c r="C1050" s="345"/>
      <c r="D1050" s="1459" t="s">
        <v>1717</v>
      </c>
      <c r="E1050" s="1460"/>
      <c r="F1050" s="1460"/>
      <c r="G1050" s="1460"/>
      <c r="H1050" s="1460"/>
      <c r="I1050" s="1460"/>
      <c r="J1050" s="1460"/>
      <c r="K1050" s="1460"/>
      <c r="L1050" s="1460"/>
      <c r="M1050" s="1460"/>
      <c r="N1050" s="1460"/>
      <c r="O1050" s="1460"/>
      <c r="P1050" s="1460"/>
      <c r="Q1050" s="1460"/>
      <c r="R1050" s="1460"/>
      <c r="S1050" s="1460"/>
      <c r="T1050" s="1460"/>
      <c r="U1050" s="1460"/>
      <c r="V1050" s="1460"/>
      <c r="W1050" s="1460"/>
      <c r="X1050" s="1460"/>
      <c r="Y1050" s="1460"/>
      <c r="Z1050" s="1460"/>
      <c r="AA1050" s="1460"/>
      <c r="AB1050" s="1460"/>
      <c r="AC1050" s="1460"/>
      <c r="AD1050" s="1460"/>
      <c r="AE1050" s="1461"/>
      <c r="AF1050" s="58"/>
      <c r="AG1050" s="1196"/>
      <c r="AH1050" s="1196"/>
      <c r="AI1050" s="62"/>
      <c r="AJ1050" s="1357"/>
      <c r="AK1050" s="1358"/>
      <c r="AL1050" s="1358"/>
      <c r="AM1050" s="1358"/>
      <c r="AN1050" s="1358"/>
      <c r="AO1050" s="1358"/>
      <c r="AP1050" s="1358"/>
      <c r="AQ1050" s="1359"/>
      <c r="AR1050" s="1179"/>
      <c r="AS1050" s="1179"/>
      <c r="AT1050" s="1179"/>
      <c r="AU1050" s="1179"/>
      <c r="AV1050" s="1179"/>
      <c r="AW1050" s="1179"/>
      <c r="AX1050" s="1179"/>
      <c r="AY1050" s="1179"/>
      <c r="AZ1050" s="856"/>
      <c r="BA1050" s="3"/>
      <c r="BB1050" s="3"/>
      <c r="BC1050" s="3"/>
      <c r="BD1050" s="3"/>
    </row>
    <row r="1051" spans="1:56" ht="13.15" customHeight="1">
      <c r="A1051" s="13"/>
      <c r="B1051" s="58"/>
      <c r="C1051" s="62"/>
      <c r="D1051" s="1459"/>
      <c r="E1051" s="1460"/>
      <c r="F1051" s="1460"/>
      <c r="G1051" s="1460"/>
      <c r="H1051" s="1460"/>
      <c r="I1051" s="1460"/>
      <c r="J1051" s="1460"/>
      <c r="K1051" s="1460"/>
      <c r="L1051" s="1460"/>
      <c r="M1051" s="1460"/>
      <c r="N1051" s="1460"/>
      <c r="O1051" s="1460"/>
      <c r="P1051" s="1460"/>
      <c r="Q1051" s="1460"/>
      <c r="R1051" s="1460"/>
      <c r="S1051" s="1460"/>
      <c r="T1051" s="1460"/>
      <c r="U1051" s="1460"/>
      <c r="V1051" s="1460"/>
      <c r="W1051" s="1460"/>
      <c r="X1051" s="1460"/>
      <c r="Y1051" s="1460"/>
      <c r="Z1051" s="1460"/>
      <c r="AA1051" s="1460"/>
      <c r="AB1051" s="1460"/>
      <c r="AC1051" s="1460"/>
      <c r="AD1051" s="1460"/>
      <c r="AE1051" s="1461"/>
      <c r="AF1051" s="817"/>
      <c r="AG1051" s="818"/>
      <c r="AH1051" s="818"/>
      <c r="AI1051" s="819"/>
      <c r="AJ1051" s="1357"/>
      <c r="AK1051" s="1358"/>
      <c r="AL1051" s="1358"/>
      <c r="AM1051" s="1358"/>
      <c r="AN1051" s="1358"/>
      <c r="AO1051" s="1358"/>
      <c r="AP1051" s="1358"/>
      <c r="AQ1051" s="1359"/>
      <c r="AR1051" s="1179"/>
      <c r="AS1051" s="1179"/>
      <c r="AT1051" s="1179"/>
      <c r="AU1051" s="1179"/>
      <c r="AV1051" s="1179"/>
      <c r="AW1051" s="1179"/>
      <c r="AX1051" s="1179"/>
      <c r="AY1051" s="1179"/>
      <c r="AZ1051" s="856">
        <f>ROUNDDOWN(MIN(SUM(AZ1046,AZ1047,AZ1048,AZ1049),BD1051),0)</f>
        <v>2500000</v>
      </c>
      <c r="BA1051" s="3" t="s">
        <v>1718</v>
      </c>
      <c r="BB1051" s="3"/>
      <c r="BC1051" s="3"/>
      <c r="BD1051" s="3" cm="1">
        <f t="array" ref="BD1051">_xlfn.IFS(BA1040,3000000,AND(BA1041&gt;=25%,BA1042&gt;=15),2800000,TRUE,2500000)</f>
        <v>2500000</v>
      </c>
    </row>
    <row r="1052" spans="1:56" ht="13.15" customHeight="1">
      <c r="A1052" s="13"/>
      <c r="B1052" s="59"/>
      <c r="C1052" s="60"/>
      <c r="D1052" s="97" t="s">
        <v>1711</v>
      </c>
      <c r="E1052" s="6"/>
      <c r="F1052" s="6"/>
      <c r="G1052" s="6"/>
      <c r="H1052" s="6"/>
      <c r="I1052" s="1521">
        <f>AY1003</f>
        <v>193</v>
      </c>
      <c r="J1052" s="1522"/>
      <c r="K1052" s="13"/>
      <c r="L1052" s="6"/>
      <c r="M1052" s="6"/>
      <c r="N1052" s="6"/>
      <c r="O1052" s="6"/>
      <c r="P1052" s="6"/>
      <c r="Q1052" s="6"/>
      <c r="R1052" s="6"/>
      <c r="S1052" s="6"/>
      <c r="T1052" s="6"/>
      <c r="U1052" s="6"/>
      <c r="V1052" s="98" t="s">
        <v>1719</v>
      </c>
      <c r="X1052" s="1519">
        <f>CM753</f>
        <v>35</v>
      </c>
      <c r="Y1052" s="1520"/>
      <c r="AF1052" s="820"/>
      <c r="AG1052" s="821"/>
      <c r="AH1052" s="821"/>
      <c r="AI1052" s="822"/>
      <c r="AJ1052" s="1360"/>
      <c r="AK1052" s="1361"/>
      <c r="AL1052" s="1361"/>
      <c r="AM1052" s="1361"/>
      <c r="AN1052" s="1361"/>
      <c r="AO1052" s="1361"/>
      <c r="AP1052" s="1361"/>
      <c r="AQ1052" s="1362"/>
      <c r="AR1052" s="1179"/>
      <c r="AS1052" s="1179"/>
      <c r="AT1052" s="1179"/>
      <c r="AU1052" s="1179"/>
      <c r="AV1052" s="1179"/>
      <c r="AW1052" s="1179"/>
      <c r="AX1052" s="1179"/>
      <c r="AY1052" s="1179"/>
      <c r="AZ1052" s="856">
        <f>ROUNDDOWN(MAX(0,BA1052*(SUM(AG1093,AL1093,AZ1045)-BD1052))+BF1052,0)</f>
        <v>0</v>
      </c>
      <c r="BA1052" s="1071">
        <f>IF(L1042,7%,5%)</f>
        <v>0.05</v>
      </c>
      <c r="BB1052" s="3" t="s">
        <v>1720</v>
      </c>
      <c r="BC1052" s="3"/>
      <c r="BD1052" s="3">
        <v>6666667</v>
      </c>
    </row>
    <row r="1053" spans="1:56" ht="13.15" customHeight="1">
      <c r="A1053" s="13"/>
      <c r="B1053" s="77"/>
      <c r="C1053" s="1197"/>
      <c r="D1053" s="1517" t="s">
        <v>1721</v>
      </c>
      <c r="E1053" s="1517"/>
      <c r="F1053" s="1517"/>
      <c r="G1053" s="1517"/>
      <c r="H1053" s="1517"/>
      <c r="I1053" s="1517"/>
      <c r="J1053" s="1517"/>
      <c r="K1053" s="1517"/>
      <c r="L1053" s="1517"/>
      <c r="M1053" s="1517"/>
      <c r="N1053" s="1517"/>
      <c r="O1053" s="1517"/>
      <c r="P1053" s="1517"/>
      <c r="Q1053" s="1517"/>
      <c r="R1053" s="1517"/>
      <c r="S1053" s="1517"/>
      <c r="T1053" s="1517"/>
      <c r="U1053" s="1517"/>
      <c r="V1053" s="1517"/>
      <c r="W1053" s="1517"/>
      <c r="X1053" s="1517"/>
      <c r="Y1053" s="1517"/>
      <c r="Z1053" s="1517"/>
      <c r="AA1053" s="1517"/>
      <c r="AB1053" s="1517"/>
      <c r="AC1053" s="1517"/>
      <c r="AD1053" s="1517"/>
      <c r="AE1053" s="1517"/>
      <c r="AF1053" s="1517"/>
      <c r="AG1053" s="1517"/>
      <c r="AH1053" s="1517"/>
      <c r="AI1053" s="1518"/>
      <c r="AJ1053" s="1528">
        <f>SUM(AJ992:AQ1052)</f>
        <v>191900454.63999999</v>
      </c>
      <c r="AK1053" s="1529"/>
      <c r="AL1053" s="1529"/>
      <c r="AM1053" s="1529"/>
      <c r="AN1053" s="1529"/>
      <c r="AO1053" s="1529"/>
      <c r="AP1053" s="1529"/>
      <c r="AQ1053" s="1530"/>
      <c r="AR1053" s="1179"/>
      <c r="AS1053" s="1179"/>
      <c r="AT1053" s="1179"/>
      <c r="AU1053" s="1179"/>
      <c r="AV1053" s="1179"/>
      <c r="AW1053" s="1179"/>
      <c r="AX1053" s="1179"/>
      <c r="AY1053" s="1179"/>
      <c r="AZ1053" s="1070">
        <v>6000000</v>
      </c>
      <c r="BA1053" s="3" t="s">
        <v>1722</v>
      </c>
      <c r="BB1053" s="3"/>
      <c r="BC1053" s="3"/>
      <c r="BD1053" s="3"/>
    </row>
    <row r="1054" spans="1:56" ht="13.1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3.15" customHeight="1">
      <c r="A1055" s="13"/>
      <c r="B1055" s="1179"/>
      <c r="C1055" s="1179"/>
      <c r="D1055" s="1179"/>
      <c r="E1055" s="1179"/>
      <c r="F1055" s="1179"/>
      <c r="G1055" s="1062" t="s">
        <v>1723</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1724</v>
      </c>
      <c r="BC1055" s="3"/>
      <c r="BD1055" s="3"/>
    </row>
    <row r="1056" spans="1:56" ht="13.15" customHeight="1">
      <c r="A1056" s="13"/>
      <c r="B1056" s="1179"/>
      <c r="C1056" s="1179"/>
      <c r="D1056" s="1179"/>
      <c r="E1056" s="1179"/>
      <c r="F1056" s="1179"/>
      <c r="G1056" s="1065" t="s">
        <v>1725</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783">
        <f>'Sources and Uses Budget'!S107+'Sources and Uses Budget'!T107</f>
        <v>81876243</v>
      </c>
      <c r="AB1056" s="1783"/>
      <c r="AC1056" s="1783"/>
      <c r="AD1056" s="1783"/>
      <c r="AE1056" s="1783"/>
      <c r="AF1056" s="1783"/>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10679510.1</v>
      </c>
      <c r="BB1056" s="3" t="s">
        <v>1726</v>
      </c>
      <c r="BC1056" s="3"/>
      <c r="BD1056" s="3"/>
    </row>
    <row r="1057" spans="1:54" ht="13.15" customHeight="1">
      <c r="A1057" s="13"/>
      <c r="B1057" s="1179"/>
      <c r="C1057" s="1179"/>
      <c r="D1057" s="1179"/>
      <c r="E1057" s="1179"/>
      <c r="F1057" s="1179"/>
      <c r="G1057" s="1065"/>
      <c r="H1057" s="1065" t="s">
        <v>1727</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784">
        <f>IFERROR((AA1056-BA1059)/(AJ1053-AJ1045-AJ1049),"")</f>
        <v>0.55456644793982945</v>
      </c>
      <c r="AB1057" s="1785"/>
      <c r="AC1057" s="1785"/>
      <c r="AD1057" s="1785"/>
      <c r="AE1057" s="1785"/>
      <c r="AF1057" s="1786"/>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3.15" customHeight="1">
      <c r="A1058" s="13"/>
      <c r="B1058" s="1179"/>
      <c r="C1058" s="1179"/>
      <c r="D1058" s="1179"/>
      <c r="E1058" s="1179"/>
      <c r="F1058" s="1179"/>
      <c r="G1058" s="178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87"/>
      <c r="I1058" s="1787"/>
      <c r="J1058" s="1787"/>
      <c r="K1058" s="1787"/>
      <c r="L1058" s="1787"/>
      <c r="M1058" s="1787"/>
      <c r="N1058" s="1787"/>
      <c r="O1058" s="1787"/>
      <c r="P1058" s="1787"/>
      <c r="Q1058" s="1787"/>
      <c r="R1058" s="1787"/>
      <c r="S1058" s="1787"/>
      <c r="T1058" s="1787"/>
      <c r="U1058" s="1787"/>
      <c r="V1058" s="1787"/>
      <c r="W1058" s="1787"/>
      <c r="X1058" s="1787"/>
      <c r="Y1058" s="1787"/>
      <c r="Z1058" s="1787"/>
      <c r="AA1058" s="1787"/>
      <c r="AB1058" s="1787"/>
      <c r="AC1058" s="1787"/>
      <c r="AD1058" s="1787"/>
      <c r="AE1058" s="1787"/>
      <c r="AF1058" s="1787"/>
      <c r="AG1058" s="1787"/>
      <c r="AH1058" s="1787"/>
      <c r="AI1058" s="1787"/>
      <c r="AJ1058" s="1787"/>
      <c r="AK1058" s="1787"/>
      <c r="AL1058" s="1787"/>
      <c r="AM1058" s="1787"/>
      <c r="AN1058" s="1787"/>
      <c r="AO1058" s="1179"/>
      <c r="AP1058" s="1179"/>
      <c r="AQ1058" s="1179"/>
      <c r="AR1058" s="1179"/>
      <c r="AS1058" s="1179"/>
      <c r="AT1058" s="1179"/>
      <c r="AU1058" s="1179"/>
      <c r="AV1058" s="13"/>
      <c r="AW1058" s="13"/>
      <c r="AX1058" s="13"/>
      <c r="AY1058" s="13"/>
      <c r="BA1058" s="1074">
        <f>'Sources and Uses Budget'!$S$104+'Sources and Uses Budget'!$T$104</f>
        <v>10679509</v>
      </c>
      <c r="BB1058" s="3" t="s">
        <v>1728</v>
      </c>
    </row>
    <row r="1059" spans="1:54" ht="13.15" customHeight="1">
      <c r="A1059" s="13"/>
      <c r="B1059" s="13"/>
      <c r="C1059" s="1198"/>
      <c r="D1059" s="1201"/>
      <c r="E1059" s="1201"/>
      <c r="F1059" s="1201"/>
      <c r="G1059" s="1787"/>
      <c r="H1059" s="1787"/>
      <c r="I1059" s="1787"/>
      <c r="J1059" s="1787"/>
      <c r="K1059" s="1787"/>
      <c r="L1059" s="1787"/>
      <c r="M1059" s="1787"/>
      <c r="N1059" s="1787"/>
      <c r="O1059" s="1787"/>
      <c r="P1059" s="1787"/>
      <c r="Q1059" s="1787"/>
      <c r="R1059" s="1787"/>
      <c r="S1059" s="1787"/>
      <c r="T1059" s="1787"/>
      <c r="U1059" s="1787"/>
      <c r="V1059" s="1787"/>
      <c r="W1059" s="1787"/>
      <c r="X1059" s="1787"/>
      <c r="Y1059" s="1787"/>
      <c r="Z1059" s="1787"/>
      <c r="AA1059" s="1787"/>
      <c r="AB1059" s="1787"/>
      <c r="AC1059" s="1787"/>
      <c r="AD1059" s="1787"/>
      <c r="AE1059" s="1787"/>
      <c r="AF1059" s="1787"/>
      <c r="AG1059" s="1787"/>
      <c r="AH1059" s="1787"/>
      <c r="AI1059" s="1787"/>
      <c r="AJ1059" s="1787"/>
      <c r="AK1059" s="1787"/>
      <c r="AL1059" s="1787"/>
      <c r="AM1059" s="1787"/>
      <c r="AN1059" s="1787"/>
      <c r="AO1059" s="1179"/>
      <c r="AP1059" s="1179"/>
      <c r="AQ1059" s="1179"/>
      <c r="AR1059" s="1179"/>
      <c r="AS1059" s="1179"/>
      <c r="AT1059" s="1179"/>
      <c r="AU1059" s="1179"/>
      <c r="AV1059" s="13"/>
      <c r="AW1059" s="13"/>
      <c r="AX1059" s="13"/>
      <c r="AY1059" s="13"/>
      <c r="BA1059" s="1075">
        <f>MAX($BA$1058-$BA$1055,0)</f>
        <v>8179509</v>
      </c>
      <c r="BB1059" s="3" t="s">
        <v>1729</v>
      </c>
    </row>
    <row r="1060" spans="1:54" ht="13.15" customHeight="1">
      <c r="A1060" s="1202"/>
      <c r="B1060" s="1061"/>
      <c r="C1060" s="1061"/>
      <c r="D1060" s="1061"/>
      <c r="E1060" s="1061"/>
      <c r="F1060" s="1061"/>
      <c r="G1060" s="1787"/>
      <c r="H1060" s="1787"/>
      <c r="I1060" s="1787"/>
      <c r="J1060" s="1787"/>
      <c r="K1060" s="1787"/>
      <c r="L1060" s="1787"/>
      <c r="M1060" s="1787"/>
      <c r="N1060" s="1787"/>
      <c r="O1060" s="1787"/>
      <c r="P1060" s="1787"/>
      <c r="Q1060" s="1787"/>
      <c r="R1060" s="1787"/>
      <c r="S1060" s="1787"/>
      <c r="T1060" s="1787"/>
      <c r="U1060" s="1787"/>
      <c r="V1060" s="1787"/>
      <c r="W1060" s="1787"/>
      <c r="X1060" s="1787"/>
      <c r="Y1060" s="1787"/>
      <c r="Z1060" s="1787"/>
      <c r="AA1060" s="1787"/>
      <c r="AB1060" s="1787"/>
      <c r="AC1060" s="1787"/>
      <c r="AD1060" s="1787"/>
      <c r="AE1060" s="1787"/>
      <c r="AF1060" s="1787"/>
      <c r="AG1060" s="1787"/>
      <c r="AH1060" s="1787"/>
      <c r="AI1060" s="1787"/>
      <c r="AJ1060" s="1787"/>
      <c r="AK1060" s="1787"/>
      <c r="AL1060" s="1787"/>
      <c r="AM1060" s="1787"/>
      <c r="AN1060" s="1787"/>
      <c r="AO1060" s="1061"/>
      <c r="AP1060" s="1061"/>
      <c r="AQ1060" s="1179"/>
      <c r="AR1060" s="1179"/>
      <c r="AS1060" s="1179"/>
      <c r="AT1060" s="1179"/>
      <c r="AU1060" s="1179"/>
      <c r="AV1060" s="1179"/>
      <c r="AW1060" s="1179"/>
      <c r="AX1060" s="1179"/>
      <c r="AY1060" s="1179"/>
    </row>
    <row r="1061" spans="1:54" ht="13.15" customHeight="1">
      <c r="A1061" s="1334" t="s">
        <v>1730</v>
      </c>
      <c r="B1061" s="1334"/>
      <c r="C1061" s="1334"/>
      <c r="D1061" s="1334"/>
      <c r="E1061" s="1334"/>
      <c r="F1061" s="1334"/>
      <c r="G1061" s="1334"/>
      <c r="H1061" s="1334"/>
      <c r="I1061" s="1334"/>
      <c r="J1061" s="1334"/>
      <c r="K1061" s="1334"/>
      <c r="L1061" s="1334"/>
      <c r="M1061" s="1334"/>
      <c r="N1061" s="1334"/>
      <c r="O1061" s="1334"/>
      <c r="P1061" s="1334"/>
      <c r="Q1061" s="1334"/>
      <c r="R1061" s="1334"/>
      <c r="S1061" s="1334"/>
      <c r="T1061" s="1334"/>
      <c r="U1061" s="1334"/>
      <c r="V1061" s="1334"/>
      <c r="W1061" s="1334"/>
      <c r="X1061" s="1334"/>
      <c r="Y1061" s="1334"/>
      <c r="Z1061" s="1334"/>
      <c r="AA1061" s="1334"/>
      <c r="AB1061" s="1334"/>
      <c r="AC1061" s="1334"/>
      <c r="AD1061" s="1334"/>
      <c r="AE1061" s="1334"/>
      <c r="AF1061" s="1334"/>
      <c r="AG1061" s="1334"/>
      <c r="AH1061" s="1334"/>
      <c r="AI1061" s="1334"/>
      <c r="AJ1061" s="1334"/>
      <c r="AK1061" s="1334"/>
      <c r="AL1061" s="1334"/>
      <c r="AM1061" s="1334"/>
      <c r="AN1061" s="1334"/>
      <c r="AO1061" s="1334"/>
      <c r="AP1061" s="1334"/>
      <c r="AQ1061" s="1334"/>
      <c r="AR1061" s="12"/>
      <c r="AS1061" s="12"/>
      <c r="AT1061" s="12"/>
      <c r="AV1061" s="1179"/>
      <c r="AW1061" s="1179"/>
      <c r="AX1061" s="1179"/>
      <c r="AY1061" s="1179"/>
    </row>
    <row r="1062" spans="1:54" ht="13.1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3.15" customHeight="1">
      <c r="A1063" s="49" t="s">
        <v>1731</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3.15" customHeight="1">
      <c r="A1064" s="133" t="s">
        <v>1732</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3.15" customHeight="1">
      <c r="A1065" s="1294" t="s">
        <v>843</v>
      </c>
      <c r="B1065" s="1294"/>
      <c r="C1065" s="1295">
        <v>1</v>
      </c>
      <c r="D1065" s="1295"/>
      <c r="E1065" s="13" t="s">
        <v>1733</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3.15" customHeight="1">
      <c r="A1066" s="133"/>
      <c r="B1066" s="13"/>
      <c r="C1066" s="1295"/>
      <c r="D1066" s="1295"/>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3.15" customHeight="1">
      <c r="A1067" s="1294" t="s">
        <v>807</v>
      </c>
      <c r="B1067" s="1294"/>
      <c r="C1067" s="1295">
        <v>2</v>
      </c>
      <c r="D1067" s="1295"/>
      <c r="E1067" s="1298" t="s">
        <v>1734</v>
      </c>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c r="AL1067" s="1298"/>
      <c r="AM1067" s="1298"/>
      <c r="AN1067" s="1298"/>
      <c r="AO1067" s="1298"/>
      <c r="AP1067" s="1298"/>
      <c r="AQ1067" s="1298"/>
      <c r="AR1067" s="1298"/>
      <c r="AS1067" s="13"/>
      <c r="AT1067" s="13"/>
      <c r="AV1067" s="1179"/>
      <c r="AW1067" s="1179"/>
      <c r="AX1067" s="1179"/>
      <c r="AY1067" s="1179"/>
    </row>
    <row r="1068" spans="1:54" ht="13.15" customHeight="1">
      <c r="A1068" s="133"/>
      <c r="B1068" s="13"/>
      <c r="C1068" s="1295"/>
      <c r="D1068" s="1295"/>
      <c r="E1068" s="1298"/>
      <c r="F1068" s="1298"/>
      <c r="G1068" s="1298"/>
      <c r="H1068" s="1298"/>
      <c r="I1068" s="1298"/>
      <c r="J1068" s="1298"/>
      <c r="K1068" s="1298"/>
      <c r="L1068" s="1298"/>
      <c r="M1068" s="1298"/>
      <c r="N1068" s="1298"/>
      <c r="O1068" s="1298"/>
      <c r="P1068" s="1298"/>
      <c r="Q1068" s="1298"/>
      <c r="R1068" s="1298"/>
      <c r="S1068" s="1298"/>
      <c r="T1068" s="1298"/>
      <c r="U1068" s="1298"/>
      <c r="V1068" s="1298"/>
      <c r="W1068" s="1298"/>
      <c r="X1068" s="1298"/>
      <c r="Y1068" s="1298"/>
      <c r="Z1068" s="1298"/>
      <c r="AA1068" s="1298"/>
      <c r="AB1068" s="1298"/>
      <c r="AC1068" s="1298"/>
      <c r="AD1068" s="1298"/>
      <c r="AE1068" s="1298"/>
      <c r="AF1068" s="1298"/>
      <c r="AG1068" s="1298"/>
      <c r="AH1068" s="1298"/>
      <c r="AI1068" s="1298"/>
      <c r="AJ1068" s="1298"/>
      <c r="AK1068" s="1298"/>
      <c r="AL1068" s="1298"/>
      <c r="AM1068" s="1298"/>
      <c r="AN1068" s="1298"/>
      <c r="AO1068" s="1298"/>
      <c r="AP1068" s="1298"/>
      <c r="AQ1068" s="1298"/>
      <c r="AR1068" s="1298"/>
      <c r="AS1068" s="13"/>
      <c r="AT1068" s="13"/>
      <c r="AV1068" s="1179"/>
      <c r="AW1068" s="1179"/>
      <c r="AX1068" s="1179"/>
      <c r="AY1068" s="1179"/>
    </row>
    <row r="1069" spans="1:54" ht="13.15" customHeight="1">
      <c r="A1069" s="133"/>
      <c r="B1069" s="13"/>
      <c r="C1069" s="1295"/>
      <c r="D1069" s="1295"/>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3.15" customHeight="1">
      <c r="A1070" s="1294" t="s">
        <v>807</v>
      </c>
      <c r="B1070" s="1294"/>
      <c r="C1070" s="1297">
        <v>3</v>
      </c>
      <c r="D1070" s="1297"/>
      <c r="E1070" s="1254" t="s">
        <v>1735</v>
      </c>
      <c r="F1070" s="1254"/>
      <c r="G1070" s="1254"/>
      <c r="H1070" s="1254"/>
      <c r="I1070" s="1254"/>
      <c r="J1070" s="1254"/>
      <c r="K1070" s="1254"/>
      <c r="L1070" s="1254"/>
      <c r="M1070" s="1254"/>
      <c r="N1070" s="1254"/>
      <c r="O1070" s="1254"/>
      <c r="P1070" s="1254"/>
      <c r="Q1070" s="1254"/>
      <c r="R1070" s="1254"/>
      <c r="S1070" s="1254"/>
      <c r="T1070" s="1254"/>
      <c r="U1070" s="1254"/>
      <c r="V1070" s="1254"/>
      <c r="W1070" s="1254"/>
      <c r="X1070" s="1254"/>
      <c r="Y1070" s="1254"/>
      <c r="Z1070" s="1254"/>
      <c r="AA1070" s="1254"/>
      <c r="AB1070" s="1254"/>
      <c r="AC1070" s="1254"/>
      <c r="AD1070" s="1254"/>
      <c r="AE1070" s="1254"/>
      <c r="AF1070" s="1254"/>
      <c r="AG1070" s="1254"/>
      <c r="AH1070" s="1254"/>
      <c r="AI1070" s="1254"/>
      <c r="AJ1070" s="1254"/>
      <c r="AK1070" s="1254"/>
      <c r="AL1070" s="1254"/>
      <c r="AM1070" s="1254"/>
      <c r="AN1070" s="1254"/>
      <c r="AO1070" s="1254"/>
      <c r="AP1070" s="1254"/>
      <c r="AQ1070" s="1254"/>
      <c r="AR1070" s="1254"/>
      <c r="AS1070" s="13"/>
      <c r="AT1070" s="1179"/>
      <c r="AV1070" s="1179"/>
      <c r="AW1070" s="1179"/>
      <c r="AX1070" s="1179"/>
      <c r="AY1070" s="1179"/>
    </row>
    <row r="1071" spans="1:54" ht="13.15" customHeight="1">
      <c r="A1071" s="1"/>
      <c r="B1071" s="1"/>
      <c r="C1071" s="1297"/>
      <c r="D1071" s="1297"/>
      <c r="E1071" s="1254"/>
      <c r="F1071" s="1254"/>
      <c r="G1071" s="1254"/>
      <c r="H1071" s="1254"/>
      <c r="I1071" s="1254"/>
      <c r="J1071" s="1254"/>
      <c r="K1071" s="1254"/>
      <c r="L1071" s="1254"/>
      <c r="M1071" s="1254"/>
      <c r="N1071" s="1254"/>
      <c r="O1071" s="1254"/>
      <c r="P1071" s="1254"/>
      <c r="Q1071" s="1254"/>
      <c r="R1071" s="1254"/>
      <c r="S1071" s="1254"/>
      <c r="T1071" s="1254"/>
      <c r="U1071" s="1254"/>
      <c r="V1071" s="1254"/>
      <c r="W1071" s="1254"/>
      <c r="X1071" s="1254"/>
      <c r="Y1071" s="1254"/>
      <c r="Z1071" s="1254"/>
      <c r="AA1071" s="1254"/>
      <c r="AB1071" s="1254"/>
      <c r="AC1071" s="1254"/>
      <c r="AD1071" s="1254"/>
      <c r="AE1071" s="1254"/>
      <c r="AF1071" s="1254"/>
      <c r="AG1071" s="1254"/>
      <c r="AH1071" s="1254"/>
      <c r="AI1071" s="1254"/>
      <c r="AJ1071" s="1254"/>
      <c r="AK1071" s="1254"/>
      <c r="AL1071" s="1254"/>
      <c r="AM1071" s="1254"/>
      <c r="AN1071" s="1254"/>
      <c r="AO1071" s="1254"/>
      <c r="AP1071" s="1254"/>
      <c r="AQ1071" s="1254"/>
      <c r="AR1071" s="1254"/>
      <c r="AS1071" s="13"/>
      <c r="AT1071" s="1179"/>
      <c r="AV1071" s="1179"/>
      <c r="AW1071" s="1179"/>
      <c r="AX1071" s="1179"/>
      <c r="AY1071" s="1179"/>
    </row>
    <row r="1072" spans="1:54" ht="13.15" customHeight="1">
      <c r="A1072" s="1"/>
      <c r="B1072" s="1"/>
      <c r="C1072" s="1297"/>
      <c r="D1072" s="1297"/>
      <c r="E1072" s="1254"/>
      <c r="F1072" s="1254"/>
      <c r="G1072" s="1254"/>
      <c r="H1072" s="1254"/>
      <c r="I1072" s="1254"/>
      <c r="J1072" s="1254"/>
      <c r="K1072" s="1254"/>
      <c r="L1072" s="1254"/>
      <c r="M1072" s="1254"/>
      <c r="N1072" s="1254"/>
      <c r="O1072" s="1254"/>
      <c r="P1072" s="1254"/>
      <c r="Q1072" s="1254"/>
      <c r="R1072" s="1254"/>
      <c r="S1072" s="1254"/>
      <c r="T1072" s="1254"/>
      <c r="U1072" s="1254"/>
      <c r="V1072" s="1254"/>
      <c r="W1072" s="1254"/>
      <c r="X1072" s="1254"/>
      <c r="Y1072" s="1254"/>
      <c r="Z1072" s="1254"/>
      <c r="AA1072" s="1254"/>
      <c r="AB1072" s="1254"/>
      <c r="AC1072" s="1254"/>
      <c r="AD1072" s="1254"/>
      <c r="AE1072" s="1254"/>
      <c r="AF1072" s="1254"/>
      <c r="AG1072" s="1254"/>
      <c r="AH1072" s="1254"/>
      <c r="AI1072" s="1254"/>
      <c r="AJ1072" s="1254"/>
      <c r="AK1072" s="1254"/>
      <c r="AL1072" s="1254"/>
      <c r="AM1072" s="1254"/>
      <c r="AN1072" s="1254"/>
      <c r="AO1072" s="1254"/>
      <c r="AP1072" s="1254"/>
      <c r="AQ1072" s="1254"/>
      <c r="AR1072" s="1254"/>
      <c r="AS1072" s="13"/>
      <c r="AT1072" s="1179"/>
      <c r="AV1072" s="1179"/>
      <c r="AW1072" s="1179"/>
      <c r="AX1072" s="1179"/>
      <c r="AY1072" s="1179"/>
    </row>
    <row r="1073" spans="1:51" ht="13.15" customHeight="1">
      <c r="A1073" s="1"/>
      <c r="B1073" s="1"/>
      <c r="C1073" s="1297"/>
      <c r="D1073" s="1297"/>
      <c r="E1073" s="1254"/>
      <c r="F1073" s="1254"/>
      <c r="G1073" s="1254"/>
      <c r="H1073" s="1254"/>
      <c r="I1073" s="1254"/>
      <c r="J1073" s="1254"/>
      <c r="K1073" s="1254"/>
      <c r="L1073" s="1254"/>
      <c r="M1073" s="1254"/>
      <c r="N1073" s="1254"/>
      <c r="O1073" s="1254"/>
      <c r="P1073" s="1254"/>
      <c r="Q1073" s="1254"/>
      <c r="R1073" s="1254"/>
      <c r="S1073" s="1254"/>
      <c r="T1073" s="1254"/>
      <c r="U1073" s="1254"/>
      <c r="V1073" s="1254"/>
      <c r="W1073" s="1254"/>
      <c r="X1073" s="1254"/>
      <c r="Y1073" s="1254"/>
      <c r="Z1073" s="1254"/>
      <c r="AA1073" s="1254"/>
      <c r="AB1073" s="1254"/>
      <c r="AC1073" s="1254"/>
      <c r="AD1073" s="1254"/>
      <c r="AE1073" s="1254"/>
      <c r="AF1073" s="1254"/>
      <c r="AG1073" s="1254"/>
      <c r="AH1073" s="1254"/>
      <c r="AI1073" s="1254"/>
      <c r="AJ1073" s="1254"/>
      <c r="AK1073" s="1254"/>
      <c r="AL1073" s="1254"/>
      <c r="AM1073" s="1254"/>
      <c r="AN1073" s="1254"/>
      <c r="AO1073" s="1254"/>
      <c r="AP1073" s="1254"/>
      <c r="AQ1073" s="1254"/>
      <c r="AR1073" s="1254"/>
      <c r="AS1073" s="13"/>
      <c r="AT1073" s="1179"/>
      <c r="AV1073" s="1179"/>
      <c r="AW1073" s="1179"/>
      <c r="AX1073" s="1179"/>
      <c r="AY1073" s="1179"/>
    </row>
    <row r="1074" spans="1:51" ht="13.15" customHeight="1">
      <c r="A1074" s="2"/>
      <c r="B1074" s="21"/>
      <c r="C1074" s="1297"/>
      <c r="D1074" s="129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3.15" customHeight="1">
      <c r="A1075" s="1294" t="s">
        <v>807</v>
      </c>
      <c r="B1075" s="1294"/>
      <c r="C1075" s="1297">
        <v>4</v>
      </c>
      <c r="D1075" s="1297"/>
      <c r="E1075" s="1254" t="s">
        <v>1736</v>
      </c>
      <c r="F1075" s="1254"/>
      <c r="G1075" s="1254"/>
      <c r="H1075" s="1254"/>
      <c r="I1075" s="1254"/>
      <c r="J1075" s="1254"/>
      <c r="K1075" s="1254"/>
      <c r="L1075" s="1254"/>
      <c r="M1075" s="1254"/>
      <c r="N1075" s="1254"/>
      <c r="O1075" s="1254"/>
      <c r="P1075" s="1254"/>
      <c r="Q1075" s="1254"/>
      <c r="R1075" s="1254"/>
      <c r="S1075" s="1254"/>
      <c r="T1075" s="1254"/>
      <c r="U1075" s="1254"/>
      <c r="V1075" s="1254"/>
      <c r="W1075" s="1254"/>
      <c r="X1075" s="1254"/>
      <c r="Y1075" s="1254"/>
      <c r="Z1075" s="1254"/>
      <c r="AA1075" s="1254"/>
      <c r="AB1075" s="1254"/>
      <c r="AC1075" s="1254"/>
      <c r="AD1075" s="1254"/>
      <c r="AE1075" s="1254"/>
      <c r="AF1075" s="1254"/>
      <c r="AG1075" s="1254"/>
      <c r="AH1075" s="1254"/>
      <c r="AI1075" s="1254"/>
      <c r="AJ1075" s="1254"/>
      <c r="AK1075" s="1254"/>
      <c r="AL1075" s="1254"/>
      <c r="AM1075" s="1254"/>
      <c r="AN1075" s="1254"/>
      <c r="AO1075" s="1254"/>
      <c r="AP1075" s="1254"/>
      <c r="AQ1075" s="1254"/>
      <c r="AR1075" s="1254"/>
      <c r="AS1075" s="13"/>
      <c r="AT1075" s="1179"/>
    </row>
    <row r="1076" spans="1:51" ht="13.15" customHeight="1">
      <c r="A1076" s="1"/>
      <c r="B1076" s="1"/>
      <c r="C1076" s="1297"/>
      <c r="D1076" s="1297"/>
      <c r="E1076" s="1254"/>
      <c r="F1076" s="1254"/>
      <c r="G1076" s="1254"/>
      <c r="H1076" s="1254"/>
      <c r="I1076" s="1254"/>
      <c r="J1076" s="1254"/>
      <c r="K1076" s="1254"/>
      <c r="L1076" s="1254"/>
      <c r="M1076" s="1254"/>
      <c r="N1076" s="1254"/>
      <c r="O1076" s="1254"/>
      <c r="P1076" s="1254"/>
      <c r="Q1076" s="1254"/>
      <c r="R1076" s="1254"/>
      <c r="S1076" s="1254"/>
      <c r="T1076" s="1254"/>
      <c r="U1076" s="1254"/>
      <c r="V1076" s="1254"/>
      <c r="W1076" s="1254"/>
      <c r="X1076" s="1254"/>
      <c r="Y1076" s="1254"/>
      <c r="Z1076" s="1254"/>
      <c r="AA1076" s="1254"/>
      <c r="AB1076" s="1254"/>
      <c r="AC1076" s="1254"/>
      <c r="AD1076" s="1254"/>
      <c r="AE1076" s="1254"/>
      <c r="AF1076" s="1254"/>
      <c r="AG1076" s="1254"/>
      <c r="AH1076" s="1254"/>
      <c r="AI1076" s="1254"/>
      <c r="AJ1076" s="1254"/>
      <c r="AK1076" s="1254"/>
      <c r="AL1076" s="1254"/>
      <c r="AM1076" s="1254"/>
      <c r="AN1076" s="1254"/>
      <c r="AO1076" s="1254"/>
      <c r="AP1076" s="1254"/>
      <c r="AQ1076" s="1254"/>
      <c r="AR1076" s="1254"/>
      <c r="AS1076" s="13"/>
      <c r="AT1076" s="1179"/>
    </row>
    <row r="1077" spans="1:51" ht="13.15" customHeight="1">
      <c r="A1077" s="1"/>
      <c r="B1077" s="1"/>
      <c r="C1077" s="1297"/>
      <c r="D1077" s="1297"/>
      <c r="E1077" s="1254"/>
      <c r="F1077" s="1254"/>
      <c r="G1077" s="1254"/>
      <c r="H1077" s="1254"/>
      <c r="I1077" s="1254"/>
      <c r="J1077" s="1254"/>
      <c r="K1077" s="1254"/>
      <c r="L1077" s="1254"/>
      <c r="M1077" s="1254"/>
      <c r="N1077" s="1254"/>
      <c r="O1077" s="1254"/>
      <c r="P1077" s="1254"/>
      <c r="Q1077" s="1254"/>
      <c r="R1077" s="1254"/>
      <c r="S1077" s="1254"/>
      <c r="T1077" s="1254"/>
      <c r="U1077" s="1254"/>
      <c r="V1077" s="1254"/>
      <c r="W1077" s="1254"/>
      <c r="X1077" s="1254"/>
      <c r="Y1077" s="1254"/>
      <c r="Z1077" s="1254"/>
      <c r="AA1077" s="1254"/>
      <c r="AB1077" s="1254"/>
      <c r="AC1077" s="1254"/>
      <c r="AD1077" s="1254"/>
      <c r="AE1077" s="1254"/>
      <c r="AF1077" s="1254"/>
      <c r="AG1077" s="1254"/>
      <c r="AH1077" s="1254"/>
      <c r="AI1077" s="1254"/>
      <c r="AJ1077" s="1254"/>
      <c r="AK1077" s="1254"/>
      <c r="AL1077" s="1254"/>
      <c r="AM1077" s="1254"/>
      <c r="AN1077" s="1254"/>
      <c r="AO1077" s="1254"/>
      <c r="AP1077" s="1254"/>
      <c r="AQ1077" s="1254"/>
      <c r="AR1077" s="1254"/>
      <c r="AS1077" s="13"/>
      <c r="AT1077" s="1179"/>
    </row>
    <row r="1078" spans="1:51" ht="13.15" customHeight="1">
      <c r="A1078" s="1"/>
      <c r="B1078" s="1"/>
      <c r="C1078" s="1297"/>
      <c r="D1078" s="1297"/>
      <c r="E1078" s="1254"/>
      <c r="F1078" s="1254"/>
      <c r="G1078" s="1254"/>
      <c r="H1078" s="1254"/>
      <c r="I1078" s="1254"/>
      <c r="J1078" s="1254"/>
      <c r="K1078" s="1254"/>
      <c r="L1078" s="1254"/>
      <c r="M1078" s="1254"/>
      <c r="N1078" s="1254"/>
      <c r="O1078" s="1254"/>
      <c r="P1078" s="1254"/>
      <c r="Q1078" s="1254"/>
      <c r="R1078" s="1254"/>
      <c r="S1078" s="1254"/>
      <c r="T1078" s="1254"/>
      <c r="U1078" s="1254"/>
      <c r="V1078" s="1254"/>
      <c r="W1078" s="1254"/>
      <c r="X1078" s="1254"/>
      <c r="Y1078" s="1254"/>
      <c r="Z1078" s="1254"/>
      <c r="AA1078" s="1254"/>
      <c r="AB1078" s="1254"/>
      <c r="AC1078" s="1254"/>
      <c r="AD1078" s="1254"/>
      <c r="AE1078" s="1254"/>
      <c r="AF1078" s="1254"/>
      <c r="AG1078" s="1254"/>
      <c r="AH1078" s="1254"/>
      <c r="AI1078" s="1254"/>
      <c r="AJ1078" s="1254"/>
      <c r="AK1078" s="1254"/>
      <c r="AL1078" s="1254"/>
      <c r="AM1078" s="1254"/>
      <c r="AN1078" s="1254"/>
      <c r="AO1078" s="1254"/>
      <c r="AP1078" s="1254"/>
      <c r="AQ1078" s="1254"/>
      <c r="AR1078" s="1254"/>
      <c r="AS1078" s="13"/>
      <c r="AT1078" s="1179"/>
    </row>
    <row r="1079" spans="1:51" ht="13.15" customHeight="1">
      <c r="A1079" s="1"/>
      <c r="B1079" s="1"/>
      <c r="C1079" s="1297"/>
      <c r="D1079" s="1297"/>
      <c r="E1079" s="1254"/>
      <c r="F1079" s="1254"/>
      <c r="G1079" s="1254"/>
      <c r="H1079" s="1254"/>
      <c r="I1079" s="1254"/>
      <c r="J1079" s="1254"/>
      <c r="K1079" s="1254"/>
      <c r="L1079" s="1254"/>
      <c r="M1079" s="1254"/>
      <c r="N1079" s="1254"/>
      <c r="O1079" s="1254"/>
      <c r="P1079" s="1254"/>
      <c r="Q1079" s="1254"/>
      <c r="R1079" s="1254"/>
      <c r="S1079" s="1254"/>
      <c r="T1079" s="1254"/>
      <c r="U1079" s="1254"/>
      <c r="V1079" s="1254"/>
      <c r="W1079" s="1254"/>
      <c r="X1079" s="1254"/>
      <c r="Y1079" s="1254"/>
      <c r="Z1079" s="1254"/>
      <c r="AA1079" s="1254"/>
      <c r="AB1079" s="1254"/>
      <c r="AC1079" s="1254"/>
      <c r="AD1079" s="1254"/>
      <c r="AE1079" s="1254"/>
      <c r="AF1079" s="1254"/>
      <c r="AG1079" s="1254"/>
      <c r="AH1079" s="1254"/>
      <c r="AI1079" s="1254"/>
      <c r="AJ1079" s="1254"/>
      <c r="AK1079" s="1254"/>
      <c r="AL1079" s="1254"/>
      <c r="AM1079" s="1254"/>
      <c r="AN1079" s="1254"/>
      <c r="AO1079" s="1254"/>
      <c r="AP1079" s="1254"/>
      <c r="AQ1079" s="1254"/>
      <c r="AR1079" s="1254"/>
      <c r="AS1079" s="13"/>
      <c r="AT1079" s="1179"/>
    </row>
    <row r="1080" spans="1:51" ht="13.15" customHeight="1">
      <c r="A1080" s="1"/>
      <c r="B1080" s="1"/>
      <c r="C1080" s="1297"/>
      <c r="D1080" s="129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15" customHeight="1">
      <c r="A1081" s="1294" t="s">
        <v>807</v>
      </c>
      <c r="B1081" s="1294"/>
      <c r="C1081" s="1297">
        <v>5</v>
      </c>
      <c r="D1081" s="1297"/>
      <c r="E1081" s="1254" t="s">
        <v>1737</v>
      </c>
      <c r="F1081" s="1254"/>
      <c r="G1081" s="1254"/>
      <c r="H1081" s="1254"/>
      <c r="I1081" s="1254"/>
      <c r="J1081" s="1254"/>
      <c r="K1081" s="1254"/>
      <c r="L1081" s="1254"/>
      <c r="M1081" s="1254"/>
      <c r="N1081" s="1254"/>
      <c r="O1081" s="1254"/>
      <c r="P1081" s="1254"/>
      <c r="Q1081" s="1254"/>
      <c r="R1081" s="1254"/>
      <c r="S1081" s="1254"/>
      <c r="T1081" s="1254"/>
      <c r="U1081" s="1254"/>
      <c r="V1081" s="1254"/>
      <c r="W1081" s="1254"/>
      <c r="X1081" s="1254"/>
      <c r="Y1081" s="1254"/>
      <c r="Z1081" s="1254"/>
      <c r="AA1081" s="1254"/>
      <c r="AB1081" s="1254"/>
      <c r="AC1081" s="1254"/>
      <c r="AD1081" s="1254"/>
      <c r="AE1081" s="1254"/>
      <c r="AF1081" s="1254"/>
      <c r="AG1081" s="1254"/>
      <c r="AH1081" s="1254"/>
      <c r="AI1081" s="1254"/>
      <c r="AJ1081" s="1254"/>
      <c r="AK1081" s="1254"/>
      <c r="AL1081" s="1254"/>
      <c r="AM1081" s="1254"/>
      <c r="AN1081" s="1254"/>
      <c r="AO1081" s="1254"/>
      <c r="AP1081" s="1254"/>
      <c r="AQ1081" s="1254"/>
      <c r="AR1081" s="1254"/>
      <c r="AS1081" s="13"/>
    </row>
    <row r="1082" spans="1:51" ht="13.15" customHeight="1">
      <c r="A1082" s="3"/>
      <c r="B1082" s="3"/>
      <c r="C1082" s="1297"/>
      <c r="D1082" s="1297"/>
      <c r="E1082" s="1254"/>
      <c r="F1082" s="1254"/>
      <c r="G1082" s="1254"/>
      <c r="H1082" s="1254"/>
      <c r="I1082" s="1254"/>
      <c r="J1082" s="1254"/>
      <c r="K1082" s="1254"/>
      <c r="L1082" s="1254"/>
      <c r="M1082" s="1254"/>
      <c r="N1082" s="1254"/>
      <c r="O1082" s="1254"/>
      <c r="P1082" s="1254"/>
      <c r="Q1082" s="1254"/>
      <c r="R1082" s="1254"/>
      <c r="S1082" s="1254"/>
      <c r="T1082" s="1254"/>
      <c r="U1082" s="1254"/>
      <c r="V1082" s="1254"/>
      <c r="W1082" s="1254"/>
      <c r="X1082" s="1254"/>
      <c r="Y1082" s="1254"/>
      <c r="Z1082" s="1254"/>
      <c r="AA1082" s="1254"/>
      <c r="AB1082" s="1254"/>
      <c r="AC1082" s="1254"/>
      <c r="AD1082" s="1254"/>
      <c r="AE1082" s="1254"/>
      <c r="AF1082" s="1254"/>
      <c r="AG1082" s="1254"/>
      <c r="AH1082" s="1254"/>
      <c r="AI1082" s="1254"/>
      <c r="AJ1082" s="1254"/>
      <c r="AK1082" s="1254"/>
      <c r="AL1082" s="1254"/>
      <c r="AM1082" s="1254"/>
      <c r="AN1082" s="1254"/>
      <c r="AO1082" s="1254"/>
      <c r="AP1082" s="1254"/>
      <c r="AQ1082" s="1254"/>
      <c r="AR1082" s="1254"/>
      <c r="AS1082" s="13"/>
    </row>
    <row r="1083" spans="1:51" ht="13.15" customHeight="1">
      <c r="A1083" s="3"/>
      <c r="B1083" s="3"/>
      <c r="C1083" s="1297"/>
      <c r="D1083" s="1297"/>
      <c r="E1083" s="1254"/>
      <c r="F1083" s="1254"/>
      <c r="G1083" s="1254"/>
      <c r="H1083" s="1254"/>
      <c r="I1083" s="1254"/>
      <c r="J1083" s="1254"/>
      <c r="K1083" s="1254"/>
      <c r="L1083" s="1254"/>
      <c r="M1083" s="1254"/>
      <c r="N1083" s="1254"/>
      <c r="O1083" s="1254"/>
      <c r="P1083" s="1254"/>
      <c r="Q1083" s="1254"/>
      <c r="R1083" s="1254"/>
      <c r="S1083" s="1254"/>
      <c r="T1083" s="1254"/>
      <c r="U1083" s="1254"/>
      <c r="V1083" s="1254"/>
      <c r="W1083" s="1254"/>
      <c r="X1083" s="1254"/>
      <c r="Y1083" s="1254"/>
      <c r="Z1083" s="1254"/>
      <c r="AA1083" s="1254"/>
      <c r="AB1083" s="1254"/>
      <c r="AC1083" s="1254"/>
      <c r="AD1083" s="1254"/>
      <c r="AE1083" s="1254"/>
      <c r="AF1083" s="1254"/>
      <c r="AG1083" s="1254"/>
      <c r="AH1083" s="1254"/>
      <c r="AI1083" s="1254"/>
      <c r="AJ1083" s="1254"/>
      <c r="AK1083" s="1254"/>
      <c r="AL1083" s="1254"/>
      <c r="AM1083" s="1254"/>
      <c r="AN1083" s="1254"/>
      <c r="AO1083" s="1254"/>
      <c r="AP1083" s="1254"/>
      <c r="AQ1083" s="1254"/>
      <c r="AR1083" s="1254"/>
      <c r="AS1083" s="13"/>
    </row>
    <row r="1084" spans="1:51" ht="13.15" customHeight="1">
      <c r="A1084" s="84"/>
      <c r="B1084" s="21"/>
      <c r="C1084" s="1297"/>
      <c r="D1084" s="129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15" customHeight="1">
      <c r="A1085" s="1294" t="s">
        <v>807</v>
      </c>
      <c r="B1085" s="1294"/>
      <c r="C1085" s="1297">
        <v>6</v>
      </c>
      <c r="D1085" s="1297"/>
      <c r="E1085" s="1254" t="s">
        <v>1738</v>
      </c>
      <c r="F1085" s="1254"/>
      <c r="G1085" s="1254"/>
      <c r="H1085" s="1254"/>
      <c r="I1085" s="1254"/>
      <c r="J1085" s="1254"/>
      <c r="K1085" s="1254"/>
      <c r="L1085" s="1254"/>
      <c r="M1085" s="1254"/>
      <c r="N1085" s="1254"/>
      <c r="O1085" s="1254"/>
      <c r="P1085" s="1254"/>
      <c r="Q1085" s="1254"/>
      <c r="R1085" s="1254"/>
      <c r="S1085" s="1254"/>
      <c r="T1085" s="1254"/>
      <c r="U1085" s="1254"/>
      <c r="V1085" s="1254"/>
      <c r="W1085" s="1254"/>
      <c r="X1085" s="1254"/>
      <c r="Y1085" s="1254"/>
      <c r="Z1085" s="1254"/>
      <c r="AA1085" s="1254"/>
      <c r="AB1085" s="1254"/>
      <c r="AC1085" s="1254"/>
      <c r="AD1085" s="1254"/>
      <c r="AE1085" s="1254"/>
      <c r="AF1085" s="1254"/>
      <c r="AG1085" s="1254"/>
      <c r="AH1085" s="1254"/>
      <c r="AI1085" s="1254"/>
      <c r="AJ1085" s="1254"/>
      <c r="AK1085" s="1254"/>
      <c r="AL1085" s="1254"/>
      <c r="AM1085" s="1254"/>
      <c r="AN1085" s="1254"/>
      <c r="AO1085" s="1254"/>
      <c r="AP1085" s="1254"/>
      <c r="AQ1085" s="1254"/>
      <c r="AR1085" s="1254"/>
      <c r="AS1085" s="13"/>
    </row>
    <row r="1086" spans="1:51" ht="13.15" customHeight="1">
      <c r="A1086" s="1"/>
      <c r="B1086" s="1"/>
      <c r="C1086" s="1"/>
      <c r="D1086" s="1"/>
      <c r="E1086" s="1254"/>
      <c r="F1086" s="1254"/>
      <c r="G1086" s="1254"/>
      <c r="H1086" s="1254"/>
      <c r="I1086" s="1254"/>
      <c r="J1086" s="1254"/>
      <c r="K1086" s="1254"/>
      <c r="L1086" s="1254"/>
      <c r="M1086" s="1254"/>
      <c r="N1086" s="1254"/>
      <c r="O1086" s="1254"/>
      <c r="P1086" s="1254"/>
      <c r="Q1086" s="1254"/>
      <c r="R1086" s="1254"/>
      <c r="S1086" s="1254"/>
      <c r="T1086" s="1254"/>
      <c r="U1086" s="1254"/>
      <c r="V1086" s="1254"/>
      <c r="W1086" s="1254"/>
      <c r="X1086" s="1254"/>
      <c r="Y1086" s="1254"/>
      <c r="Z1086" s="1254"/>
      <c r="AA1086" s="1254"/>
      <c r="AB1086" s="1254"/>
      <c r="AC1086" s="1254"/>
      <c r="AD1086" s="1254"/>
      <c r="AE1086" s="1254"/>
      <c r="AF1086" s="1254"/>
      <c r="AG1086" s="1254"/>
      <c r="AH1086" s="1254"/>
      <c r="AI1086" s="1254"/>
      <c r="AJ1086" s="1254"/>
      <c r="AK1086" s="1254"/>
      <c r="AL1086" s="1254"/>
      <c r="AM1086" s="1254"/>
      <c r="AN1086" s="1254"/>
      <c r="AO1086" s="1254"/>
      <c r="AP1086" s="1254"/>
      <c r="AQ1086" s="1254"/>
      <c r="AR1086" s="1254"/>
      <c r="AS1086" s="13"/>
    </row>
    <row r="1087" spans="1:51" ht="13.15" customHeight="1">
      <c r="A1087" s="1"/>
      <c r="B1087" s="1"/>
      <c r="C1087" s="1297"/>
      <c r="D1087" s="1297"/>
      <c r="E1087" s="1254"/>
      <c r="F1087" s="1254"/>
      <c r="G1087" s="1254"/>
      <c r="H1087" s="1254"/>
      <c r="I1087" s="1254"/>
      <c r="J1087" s="1254"/>
      <c r="K1087" s="1254"/>
      <c r="L1087" s="1254"/>
      <c r="M1087" s="1254"/>
      <c r="N1087" s="1254"/>
      <c r="O1087" s="1254"/>
      <c r="P1087" s="1254"/>
      <c r="Q1087" s="1254"/>
      <c r="R1087" s="1254"/>
      <c r="S1087" s="1254"/>
      <c r="T1087" s="1254"/>
      <c r="U1087" s="1254"/>
      <c r="V1087" s="1254"/>
      <c r="W1087" s="1254"/>
      <c r="X1087" s="1254"/>
      <c r="Y1087" s="1254"/>
      <c r="Z1087" s="1254"/>
      <c r="AA1087" s="1254"/>
      <c r="AB1087" s="1254"/>
      <c r="AC1087" s="1254"/>
      <c r="AD1087" s="1254"/>
      <c r="AE1087" s="1254"/>
      <c r="AF1087" s="1254"/>
      <c r="AG1087" s="1254"/>
      <c r="AH1087" s="1254"/>
      <c r="AI1087" s="1254"/>
      <c r="AJ1087" s="1254"/>
      <c r="AK1087" s="1254"/>
      <c r="AL1087" s="1254"/>
      <c r="AM1087" s="1254"/>
      <c r="AN1087" s="1254"/>
      <c r="AO1087" s="1254"/>
      <c r="AP1087" s="1254"/>
      <c r="AQ1087" s="1254"/>
      <c r="AR1087" s="1254"/>
      <c r="AS1087" s="13"/>
    </row>
    <row r="1088" spans="1:51" ht="13.15" customHeight="1">
      <c r="A1088" s="84"/>
      <c r="B1088" s="21"/>
      <c r="C1088" s="1297"/>
      <c r="D1088" s="129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15" customHeight="1">
      <c r="A1089" s="1294" t="s">
        <v>807</v>
      </c>
      <c r="B1089" s="1294"/>
      <c r="C1089" s="1297">
        <v>7</v>
      </c>
      <c r="D1089" s="1297"/>
      <c r="E1089" s="1254" t="s">
        <v>1739</v>
      </c>
      <c r="F1089" s="1254"/>
      <c r="G1089" s="1254"/>
      <c r="H1089" s="1254"/>
      <c r="I1089" s="1254"/>
      <c r="J1089" s="1254"/>
      <c r="K1089" s="1254"/>
      <c r="L1089" s="1254"/>
      <c r="M1089" s="1254"/>
      <c r="N1089" s="1254"/>
      <c r="O1089" s="1254"/>
      <c r="P1089" s="1254"/>
      <c r="Q1089" s="1254"/>
      <c r="R1089" s="1254"/>
      <c r="S1089" s="1254"/>
      <c r="T1089" s="1254"/>
      <c r="U1089" s="1254"/>
      <c r="V1089" s="1254"/>
      <c r="W1089" s="1254"/>
      <c r="X1089" s="1254"/>
      <c r="Y1089" s="1254"/>
      <c r="Z1089" s="1254"/>
      <c r="AA1089" s="1254"/>
      <c r="AB1089" s="1254"/>
      <c r="AC1089" s="1254"/>
      <c r="AD1089" s="1254"/>
      <c r="AE1089" s="1254"/>
      <c r="AF1089" s="1254"/>
      <c r="AG1089" s="1254"/>
      <c r="AH1089" s="1254"/>
      <c r="AI1089" s="1254"/>
      <c r="AJ1089" s="1254"/>
      <c r="AK1089" s="1254"/>
      <c r="AL1089" s="1254"/>
      <c r="AM1089" s="1254"/>
      <c r="AN1089" s="1254"/>
      <c r="AO1089" s="1254"/>
      <c r="AP1089" s="1254"/>
      <c r="AQ1089" s="1254"/>
      <c r="AR1089" s="1254"/>
      <c r="AS1089" s="13"/>
    </row>
    <row r="1090" spans="1:45" ht="13.15" customHeight="1">
      <c r="A1090" s="1"/>
      <c r="B1090" s="1"/>
      <c r="C1090" s="1297"/>
      <c r="D1090" s="1297"/>
      <c r="E1090" s="1254"/>
      <c r="F1090" s="1254"/>
      <c r="G1090" s="1254"/>
      <c r="H1090" s="1254"/>
      <c r="I1090" s="1254"/>
      <c r="J1090" s="1254"/>
      <c r="K1090" s="1254"/>
      <c r="L1090" s="1254"/>
      <c r="M1090" s="1254"/>
      <c r="N1090" s="1254"/>
      <c r="O1090" s="1254"/>
      <c r="P1090" s="1254"/>
      <c r="Q1090" s="1254"/>
      <c r="R1090" s="1254"/>
      <c r="S1090" s="1254"/>
      <c r="T1090" s="1254"/>
      <c r="U1090" s="1254"/>
      <c r="V1090" s="1254"/>
      <c r="W1090" s="1254"/>
      <c r="X1090" s="1254"/>
      <c r="Y1090" s="1254"/>
      <c r="Z1090" s="1254"/>
      <c r="AA1090" s="1254"/>
      <c r="AB1090" s="1254"/>
      <c r="AC1090" s="1254"/>
      <c r="AD1090" s="1254"/>
      <c r="AE1090" s="1254"/>
      <c r="AF1090" s="1254"/>
      <c r="AG1090" s="1254"/>
      <c r="AH1090" s="1254"/>
      <c r="AI1090" s="1254"/>
      <c r="AJ1090" s="1254"/>
      <c r="AK1090" s="1254"/>
      <c r="AL1090" s="1254"/>
      <c r="AM1090" s="1254"/>
      <c r="AN1090" s="1254"/>
      <c r="AO1090" s="1254"/>
      <c r="AP1090" s="1254"/>
      <c r="AQ1090" s="1254"/>
      <c r="AR1090" s="1254"/>
      <c r="AS1090" s="13"/>
    </row>
    <row r="1091" spans="1:45" ht="13.15" customHeight="1">
      <c r="A1091" s="1"/>
      <c r="B1091" s="1"/>
      <c r="C1091" s="1297"/>
      <c r="D1091" s="1297"/>
      <c r="E1091" s="1254"/>
      <c r="F1091" s="1254"/>
      <c r="G1091" s="1254"/>
      <c r="H1091" s="1254"/>
      <c r="I1091" s="1254"/>
      <c r="J1091" s="1254"/>
      <c r="K1091" s="1254"/>
      <c r="L1091" s="1254"/>
      <c r="M1091" s="1254"/>
      <c r="N1091" s="1254"/>
      <c r="O1091" s="1254"/>
      <c r="P1091" s="1254"/>
      <c r="Q1091" s="1254"/>
      <c r="R1091" s="1254"/>
      <c r="S1091" s="1254"/>
      <c r="T1091" s="1254"/>
      <c r="U1091" s="1254"/>
      <c r="V1091" s="1254"/>
      <c r="W1091" s="1254"/>
      <c r="X1091" s="1254"/>
      <c r="Y1091" s="1254"/>
      <c r="Z1091" s="1254"/>
      <c r="AA1091" s="1254"/>
      <c r="AB1091" s="1254"/>
      <c r="AC1091" s="1254"/>
      <c r="AD1091" s="1254"/>
      <c r="AE1091" s="1254"/>
      <c r="AF1091" s="1254"/>
      <c r="AG1091" s="1254"/>
      <c r="AH1091" s="1254"/>
      <c r="AI1091" s="1254"/>
      <c r="AJ1091" s="1254"/>
      <c r="AK1091" s="1254"/>
      <c r="AL1091" s="1254"/>
      <c r="AM1091" s="1254"/>
      <c r="AN1091" s="1254"/>
      <c r="AO1091" s="1254"/>
      <c r="AP1091" s="1254"/>
      <c r="AQ1091" s="1254"/>
      <c r="AR1091" s="1254"/>
      <c r="AS1091" s="13"/>
    </row>
    <row r="1092" spans="1:45" ht="13.15" customHeight="1">
      <c r="A1092" s="1"/>
      <c r="B1092" s="1"/>
      <c r="C1092" s="1297"/>
      <c r="D1092" s="129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15" customHeight="1">
      <c r="A1093" s="84"/>
      <c r="B1093" s="21"/>
      <c r="C1093" s="1297"/>
      <c r="D1093" s="129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15" customHeight="1">
      <c r="A1094" s="1294" t="s">
        <v>807</v>
      </c>
      <c r="B1094" s="1294"/>
      <c r="C1094" s="1297">
        <v>8</v>
      </c>
      <c r="D1094" s="1297"/>
      <c r="E1094" s="1254" t="s">
        <v>1740</v>
      </c>
      <c r="F1094" s="1254"/>
      <c r="G1094" s="1254"/>
      <c r="H1094" s="1254"/>
      <c r="I1094" s="1254"/>
      <c r="J1094" s="1254"/>
      <c r="K1094" s="1254"/>
      <c r="L1094" s="1254"/>
      <c r="M1094" s="1254"/>
      <c r="N1094" s="1254"/>
      <c r="O1094" s="1254"/>
      <c r="P1094" s="1254"/>
      <c r="Q1094" s="1254"/>
      <c r="R1094" s="1254"/>
      <c r="S1094" s="1254"/>
      <c r="T1094" s="1254"/>
      <c r="U1094" s="1254"/>
      <c r="V1094" s="1254"/>
      <c r="W1094" s="1254"/>
      <c r="X1094" s="1254"/>
      <c r="Y1094" s="1254"/>
      <c r="Z1094" s="1254"/>
      <c r="AA1094" s="1254"/>
      <c r="AB1094" s="1254"/>
      <c r="AC1094" s="1254"/>
      <c r="AD1094" s="1254"/>
      <c r="AE1094" s="1254"/>
      <c r="AF1094" s="1254"/>
      <c r="AG1094" s="1254"/>
      <c r="AH1094" s="1254"/>
      <c r="AI1094" s="1254"/>
      <c r="AJ1094" s="1254"/>
      <c r="AK1094" s="1254"/>
      <c r="AL1094" s="1254"/>
      <c r="AM1094" s="1254"/>
      <c r="AN1094" s="1254"/>
      <c r="AO1094" s="1254"/>
      <c r="AP1094" s="1254"/>
      <c r="AQ1094" s="1254"/>
      <c r="AR1094" s="1254"/>
    </row>
    <row r="1095" spans="1:45" ht="13.15" customHeight="1">
      <c r="A1095" s="84"/>
      <c r="B1095" s="21"/>
      <c r="C1095" s="1297"/>
      <c r="D1095" s="1297"/>
      <c r="E1095" s="1254"/>
      <c r="F1095" s="1254"/>
      <c r="G1095" s="1254"/>
      <c r="H1095" s="1254"/>
      <c r="I1095" s="1254"/>
      <c r="J1095" s="1254"/>
      <c r="K1095" s="1254"/>
      <c r="L1095" s="1254"/>
      <c r="M1095" s="1254"/>
      <c r="N1095" s="1254"/>
      <c r="O1095" s="1254"/>
      <c r="P1095" s="1254"/>
      <c r="Q1095" s="1254"/>
      <c r="R1095" s="1254"/>
      <c r="S1095" s="1254"/>
      <c r="T1095" s="1254"/>
      <c r="U1095" s="1254"/>
      <c r="V1095" s="1254"/>
      <c r="W1095" s="1254"/>
      <c r="X1095" s="1254"/>
      <c r="Y1095" s="1254"/>
      <c r="Z1095" s="1254"/>
      <c r="AA1095" s="1254"/>
      <c r="AB1095" s="1254"/>
      <c r="AC1095" s="1254"/>
      <c r="AD1095" s="1254"/>
      <c r="AE1095" s="1254"/>
      <c r="AF1095" s="1254"/>
      <c r="AG1095" s="1254"/>
      <c r="AH1095" s="1254"/>
      <c r="AI1095" s="1254"/>
      <c r="AJ1095" s="1254"/>
      <c r="AK1095" s="1254"/>
      <c r="AL1095" s="1254"/>
      <c r="AM1095" s="1254"/>
      <c r="AN1095" s="1254"/>
      <c r="AO1095" s="1254"/>
      <c r="AP1095" s="1254"/>
      <c r="AQ1095" s="1254"/>
      <c r="AR1095" s="1254"/>
    </row>
    <row r="1096" spans="1:45" ht="13.15" customHeight="1">
      <c r="A1096" s="84"/>
      <c r="B1096" s="21"/>
      <c r="C1096" s="1297"/>
      <c r="D1096" s="129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15" customHeight="1">
      <c r="A1097" s="1294" t="s">
        <v>807</v>
      </c>
      <c r="B1097" s="1294"/>
      <c r="C1097" s="1295">
        <v>9</v>
      </c>
      <c r="D1097" s="1295"/>
      <c r="E1097" s="1254" t="s">
        <v>1741</v>
      </c>
      <c r="F1097" s="1254"/>
      <c r="G1097" s="1254"/>
      <c r="H1097" s="1254"/>
      <c r="I1097" s="1254"/>
      <c r="J1097" s="1254"/>
      <c r="K1097" s="1254"/>
      <c r="L1097" s="1254"/>
      <c r="M1097" s="1254"/>
      <c r="N1097" s="1254"/>
      <c r="O1097" s="1254"/>
      <c r="P1097" s="1254"/>
      <c r="Q1097" s="1254"/>
      <c r="R1097" s="1254"/>
      <c r="S1097" s="1254"/>
      <c r="T1097" s="1254"/>
      <c r="U1097" s="1254"/>
      <c r="V1097" s="1254"/>
      <c r="W1097" s="1254"/>
      <c r="X1097" s="1254"/>
      <c r="Y1097" s="1254"/>
      <c r="Z1097" s="1254"/>
      <c r="AA1097" s="1254"/>
      <c r="AB1097" s="1254"/>
      <c r="AC1097" s="1254"/>
      <c r="AD1097" s="1254"/>
      <c r="AE1097" s="1254"/>
      <c r="AF1097" s="1254"/>
      <c r="AG1097" s="1254"/>
      <c r="AH1097" s="1254"/>
      <c r="AI1097" s="1254"/>
      <c r="AJ1097" s="1254"/>
      <c r="AK1097" s="1254"/>
      <c r="AL1097" s="1254"/>
      <c r="AM1097" s="1254"/>
      <c r="AN1097" s="1254"/>
      <c r="AO1097" s="1254"/>
      <c r="AP1097" s="1254"/>
      <c r="AQ1097" s="1254"/>
      <c r="AR1097" s="1254"/>
    </row>
    <row r="1098" spans="1:45" ht="13.15" customHeight="1">
      <c r="A1098" s="1"/>
      <c r="B1098" s="1"/>
      <c r="C1098" s="1295"/>
      <c r="D1098" s="1295"/>
      <c r="E1098" s="1254"/>
      <c r="F1098" s="1254"/>
      <c r="G1098" s="1254"/>
      <c r="H1098" s="1254"/>
      <c r="I1098" s="1254"/>
      <c r="J1098" s="1254"/>
      <c r="K1098" s="1254"/>
      <c r="L1098" s="1254"/>
      <c r="M1098" s="1254"/>
      <c r="N1098" s="1254"/>
      <c r="O1098" s="1254"/>
      <c r="P1098" s="1254"/>
      <c r="Q1098" s="1254"/>
      <c r="R1098" s="1254"/>
      <c r="S1098" s="1254"/>
      <c r="T1098" s="1254"/>
      <c r="U1098" s="1254"/>
      <c r="V1098" s="1254"/>
      <c r="W1098" s="1254"/>
      <c r="X1098" s="1254"/>
      <c r="Y1098" s="1254"/>
      <c r="Z1098" s="1254"/>
      <c r="AA1098" s="1254"/>
      <c r="AB1098" s="1254"/>
      <c r="AC1098" s="1254"/>
      <c r="AD1098" s="1254"/>
      <c r="AE1098" s="1254"/>
      <c r="AF1098" s="1254"/>
      <c r="AG1098" s="1254"/>
      <c r="AH1098" s="1254"/>
      <c r="AI1098" s="1254"/>
      <c r="AJ1098" s="1254"/>
      <c r="AK1098" s="1254"/>
      <c r="AL1098" s="1254"/>
      <c r="AM1098" s="1254"/>
      <c r="AN1098" s="1254"/>
      <c r="AO1098" s="1254"/>
      <c r="AP1098" s="1254"/>
      <c r="AQ1098" s="1254"/>
      <c r="AR1098" s="1254"/>
    </row>
    <row r="1099" spans="1:45" ht="13.15" customHeight="1">
      <c r="A1099" s="84"/>
      <c r="B1099" s="21"/>
      <c r="C1099" s="1295"/>
      <c r="D1099" s="1295"/>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15" customHeight="1">
      <c r="A1100" s="1294" t="s">
        <v>807</v>
      </c>
      <c r="B1100" s="1294"/>
      <c r="C1100" s="1295">
        <v>10</v>
      </c>
      <c r="D1100" s="1295"/>
      <c r="E1100" s="1296" t="s">
        <v>1742</v>
      </c>
      <c r="F1100" s="1296"/>
      <c r="G1100" s="1296"/>
      <c r="H1100" s="1296"/>
      <c r="I1100" s="1296"/>
      <c r="J1100" s="1296"/>
      <c r="K1100" s="1296"/>
      <c r="L1100" s="1296"/>
      <c r="M1100" s="1296"/>
      <c r="N1100" s="1296"/>
      <c r="O1100" s="1296"/>
      <c r="P1100" s="1296"/>
      <c r="Q1100" s="1296"/>
      <c r="R1100" s="1296"/>
      <c r="S1100" s="1296"/>
      <c r="T1100" s="1296"/>
      <c r="U1100" s="1296"/>
      <c r="V1100" s="1296"/>
      <c r="W1100" s="1296"/>
      <c r="X1100" s="1296"/>
      <c r="Y1100" s="1296"/>
      <c r="Z1100" s="1296"/>
      <c r="AA1100" s="1296"/>
      <c r="AB1100" s="1296"/>
      <c r="AC1100" s="1296"/>
      <c r="AD1100" s="1296"/>
      <c r="AE1100" s="1296"/>
      <c r="AF1100" s="1296"/>
      <c r="AG1100" s="1296"/>
      <c r="AH1100" s="1296"/>
      <c r="AI1100" s="1296"/>
      <c r="AJ1100" s="1296"/>
      <c r="AK1100" s="1296"/>
      <c r="AL1100" s="1296"/>
      <c r="AM1100" s="1296"/>
      <c r="AN1100" s="1296"/>
      <c r="AO1100" s="1296"/>
      <c r="AP1100" s="1296"/>
      <c r="AQ1100" s="1296"/>
      <c r="AR1100" s="1296"/>
    </row>
    <row r="1101" spans="1:45" ht="13.15" customHeight="1">
      <c r="A1101" s="1"/>
      <c r="B1101" s="1"/>
      <c r="C1101" s="1203"/>
      <c r="D1101" s="1050"/>
      <c r="E1101" s="1296"/>
      <c r="F1101" s="1296"/>
      <c r="G1101" s="1296"/>
      <c r="H1101" s="1296"/>
      <c r="I1101" s="1296"/>
      <c r="J1101" s="1296"/>
      <c r="K1101" s="1296"/>
      <c r="L1101" s="1296"/>
      <c r="M1101" s="1296"/>
      <c r="N1101" s="1296"/>
      <c r="O1101" s="1296"/>
      <c r="P1101" s="1296"/>
      <c r="Q1101" s="1296"/>
      <c r="R1101" s="1296"/>
      <c r="S1101" s="1296"/>
      <c r="T1101" s="1296"/>
      <c r="U1101" s="1296"/>
      <c r="V1101" s="1296"/>
      <c r="W1101" s="1296"/>
      <c r="X1101" s="1296"/>
      <c r="Y1101" s="1296"/>
      <c r="Z1101" s="1296"/>
      <c r="AA1101" s="1296"/>
      <c r="AB1101" s="1296"/>
      <c r="AC1101" s="1296"/>
      <c r="AD1101" s="1296"/>
      <c r="AE1101" s="1296"/>
      <c r="AF1101" s="1296"/>
      <c r="AG1101" s="1296"/>
      <c r="AH1101" s="1296"/>
      <c r="AI1101" s="1296"/>
      <c r="AJ1101" s="1296"/>
      <c r="AK1101" s="1296"/>
      <c r="AL1101" s="1296"/>
      <c r="AM1101" s="1296"/>
      <c r="AN1101" s="1296"/>
      <c r="AO1101" s="1296"/>
      <c r="AP1101" s="1296"/>
      <c r="AQ1101" s="1296"/>
      <c r="AR1101" s="1296"/>
    </row>
    <row r="1102" spans="1:45" ht="13.1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3.15" customHeight="1">
      <c r="A1103" s="1294" t="s">
        <v>807</v>
      </c>
      <c r="B1103" s="1294"/>
      <c r="C1103" s="1295">
        <v>11</v>
      </c>
      <c r="D1103" s="1295"/>
      <c r="E1103" s="1296" t="s">
        <v>1743</v>
      </c>
      <c r="F1103" s="1296"/>
      <c r="G1103" s="1296"/>
      <c r="H1103" s="1296"/>
      <c r="I1103" s="1296"/>
      <c r="J1103" s="1296"/>
      <c r="K1103" s="1296"/>
      <c r="L1103" s="1296"/>
      <c r="M1103" s="1296"/>
      <c r="N1103" s="1296"/>
      <c r="O1103" s="1296"/>
      <c r="P1103" s="1296"/>
      <c r="Q1103" s="1296"/>
      <c r="R1103" s="1296"/>
      <c r="S1103" s="1296"/>
      <c r="T1103" s="1296"/>
      <c r="U1103" s="1296"/>
      <c r="V1103" s="1296"/>
      <c r="W1103" s="1296"/>
      <c r="X1103" s="1296"/>
      <c r="Y1103" s="1296"/>
      <c r="Z1103" s="1296"/>
      <c r="AA1103" s="1296"/>
      <c r="AB1103" s="1296"/>
      <c r="AC1103" s="1296"/>
      <c r="AD1103" s="1296"/>
      <c r="AE1103" s="1296"/>
      <c r="AF1103" s="1296"/>
      <c r="AG1103" s="1296"/>
      <c r="AH1103" s="1296"/>
      <c r="AI1103" s="1296"/>
      <c r="AJ1103" s="1296"/>
      <c r="AK1103" s="1296"/>
      <c r="AL1103" s="1296"/>
      <c r="AM1103" s="1296"/>
      <c r="AN1103" s="1296"/>
      <c r="AO1103" s="1296"/>
      <c r="AP1103" s="1296"/>
      <c r="AQ1103" s="1296"/>
      <c r="AR1103" s="1296"/>
    </row>
    <row r="1104" spans="1:45" ht="13.15" customHeight="1">
      <c r="A1104" s="1"/>
      <c r="B1104" s="1"/>
      <c r="C1104" s="1203"/>
      <c r="D1104" s="1050"/>
      <c r="E1104" s="1296"/>
      <c r="F1104" s="1296"/>
      <c r="G1104" s="1296"/>
      <c r="H1104" s="1296"/>
      <c r="I1104" s="1296"/>
      <c r="J1104" s="1296"/>
      <c r="K1104" s="1296"/>
      <c r="L1104" s="1296"/>
      <c r="M1104" s="1296"/>
      <c r="N1104" s="1296"/>
      <c r="O1104" s="1296"/>
      <c r="P1104" s="1296"/>
      <c r="Q1104" s="1296"/>
      <c r="R1104" s="1296"/>
      <c r="S1104" s="1296"/>
      <c r="T1104" s="1296"/>
      <c r="U1104" s="1296"/>
      <c r="V1104" s="1296"/>
      <c r="W1104" s="1296"/>
      <c r="X1104" s="1296"/>
      <c r="Y1104" s="1296"/>
      <c r="Z1104" s="1296"/>
      <c r="AA1104" s="1296"/>
      <c r="AB1104" s="1296"/>
      <c r="AC1104" s="1296"/>
      <c r="AD1104" s="1296"/>
      <c r="AE1104" s="1296"/>
      <c r="AF1104" s="1296"/>
      <c r="AG1104" s="1296"/>
      <c r="AH1104" s="1296"/>
      <c r="AI1104" s="1296"/>
      <c r="AJ1104" s="1296"/>
      <c r="AK1104" s="1296"/>
      <c r="AL1104" s="1296"/>
      <c r="AM1104" s="1296"/>
      <c r="AN1104" s="1296"/>
      <c r="AO1104" s="1296"/>
      <c r="AP1104" s="1296"/>
      <c r="AQ1104" s="1296"/>
      <c r="AR1104" s="1296"/>
    </row>
    <row r="1105" spans="1:37" ht="13.1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3.1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3.1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3.1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3.1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3.1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3.1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3.1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3.1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3.1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3.1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3.1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3.1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3.1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3.1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3.1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3.1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3.1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4" t="s">
        <v>807</v>
      </c>
      <c r="B1125" s="1294"/>
      <c r="C1125" s="1203">
        <v>9</v>
      </c>
      <c r="D1125" s="1224" t="s">
        <v>1744</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84"/>
      <c r="B1126" s="21"/>
      <c r="C1126" s="1203"/>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10.15"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6" workbookViewId="0">
      <selection activeCell="C84" sqref="C84"/>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3.5">
      <c r="A1" s="117" t="s">
        <v>1745</v>
      </c>
      <c r="B1" s="91"/>
      <c r="C1" s="91"/>
      <c r="D1" s="91"/>
      <c r="E1" s="92"/>
      <c r="F1" s="1791" t="s">
        <v>1746</v>
      </c>
      <c r="G1" s="1792"/>
      <c r="H1" s="1792"/>
      <c r="I1" s="1792"/>
      <c r="J1" s="1792"/>
      <c r="K1" s="1792"/>
      <c r="L1" s="1792"/>
      <c r="M1" s="1792"/>
      <c r="N1" s="1792"/>
      <c r="O1" s="1792"/>
      <c r="P1" s="1792"/>
      <c r="Q1" s="1792"/>
      <c r="R1" s="1793"/>
      <c r="S1" s="80"/>
      <c r="T1" s="79"/>
      <c r="U1" s="81"/>
    </row>
    <row r="2" spans="1:21" s="101" customFormat="1" ht="71.25" customHeight="1">
      <c r="A2" s="100"/>
      <c r="B2" s="101" t="s">
        <v>1747</v>
      </c>
      <c r="C2" s="101" t="s">
        <v>1748</v>
      </c>
      <c r="D2" s="101" t="s">
        <v>1749</v>
      </c>
      <c r="E2" s="101" t="s">
        <v>1750</v>
      </c>
      <c r="F2" s="102" t="str">
        <f>Application!B627&amp;Application!C627</f>
        <v>1)Cal Bank &amp; Trust</v>
      </c>
      <c r="G2" s="102" t="str">
        <f>Application!B628&amp;Application!C628</f>
        <v>2)Deferred Developer Fee</v>
      </c>
      <c r="H2" s="102" t="str">
        <f>Application!B629&amp;Application!C629</f>
        <v>3)Stifel</v>
      </c>
      <c r="I2" s="102" t="str">
        <f>Application!B630&amp;Application!C630</f>
        <v>4)</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1751</v>
      </c>
      <c r="S2" s="101" t="s">
        <v>1752</v>
      </c>
      <c r="T2" s="101" t="s">
        <v>1753</v>
      </c>
      <c r="U2" s="103"/>
    </row>
    <row r="3" spans="1:21" s="105" customFormat="1">
      <c r="A3" s="104" t="s">
        <v>1754</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1755</v>
      </c>
      <c r="B4" s="245">
        <f>SUM(C4+D4)</f>
        <v>4500000</v>
      </c>
      <c r="C4" s="873">
        <v>4500000</v>
      </c>
      <c r="D4" s="873"/>
      <c r="E4" s="873">
        <f>C4</f>
        <v>4500000</v>
      </c>
      <c r="F4" s="873"/>
      <c r="G4" s="873"/>
      <c r="H4" s="873"/>
      <c r="I4" s="873"/>
      <c r="J4" s="873"/>
      <c r="K4" s="873"/>
      <c r="L4" s="873"/>
      <c r="M4" s="873"/>
      <c r="N4" s="873"/>
      <c r="O4" s="873"/>
      <c r="P4" s="873"/>
      <c r="Q4" s="873"/>
      <c r="R4" s="416">
        <f>SUM(E4:Q4)</f>
        <v>4500000</v>
      </c>
      <c r="S4" s="1206"/>
      <c r="T4" s="1206"/>
      <c r="U4" s="1205"/>
    </row>
    <row r="5" spans="1:21" s="105" customFormat="1">
      <c r="A5" s="195" t="s">
        <v>688</v>
      </c>
      <c r="B5" s="245">
        <f>SUM(C5+D5)</f>
        <v>0</v>
      </c>
      <c r="C5" s="873"/>
      <c r="D5" s="873"/>
      <c r="E5" s="873"/>
      <c r="F5" s="873"/>
      <c r="G5" s="873"/>
      <c r="H5" s="873"/>
      <c r="I5" s="873"/>
      <c r="J5" s="873"/>
      <c r="K5" s="873"/>
      <c r="L5" s="873"/>
      <c r="M5" s="873"/>
      <c r="N5" s="873"/>
      <c r="O5" s="873"/>
      <c r="P5" s="873"/>
      <c r="Q5" s="873"/>
      <c r="R5" s="416">
        <f>SUM(E5:Q5)</f>
        <v>0</v>
      </c>
      <c r="S5" s="1206"/>
      <c r="T5" s="1206"/>
      <c r="U5" s="1205"/>
    </row>
    <row r="6" spans="1:21" s="105" customFormat="1">
      <c r="A6" s="195" t="s">
        <v>1756</v>
      </c>
      <c r="B6" s="245">
        <f>SUM(C6+D6)</f>
        <v>9675</v>
      </c>
      <c r="C6" s="873">
        <v>9675</v>
      </c>
      <c r="D6" s="873"/>
      <c r="E6" s="873">
        <f>C6</f>
        <v>9675</v>
      </c>
      <c r="F6" s="873"/>
      <c r="G6" s="873"/>
      <c r="H6" s="873"/>
      <c r="I6" s="873"/>
      <c r="J6" s="873"/>
      <c r="K6" s="873"/>
      <c r="L6" s="873"/>
      <c r="M6" s="873"/>
      <c r="N6" s="873"/>
      <c r="O6" s="873"/>
      <c r="P6" s="873"/>
      <c r="Q6" s="873"/>
      <c r="R6" s="416">
        <f>SUM(E6:Q6)</f>
        <v>9675</v>
      </c>
      <c r="S6" s="1206"/>
      <c r="T6" s="1206"/>
      <c r="U6" s="1205"/>
    </row>
    <row r="7" spans="1:21" s="105" customFormat="1">
      <c r="A7" s="195" t="s">
        <v>1757</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c r="A8" s="106" t="s">
        <v>1758</v>
      </c>
      <c r="B8" s="245">
        <f>SUM(C8:D8)</f>
        <v>4509675</v>
      </c>
      <c r="C8" s="245">
        <f t="shared" ref="C8:Q8" si="0">SUM(C4:C7)</f>
        <v>4509675</v>
      </c>
      <c r="D8" s="245">
        <f t="shared" si="0"/>
        <v>0</v>
      </c>
      <c r="E8" s="245">
        <f t="shared" si="0"/>
        <v>4509675</v>
      </c>
      <c r="F8" s="245">
        <f t="shared" si="0"/>
        <v>0</v>
      </c>
      <c r="G8" s="245">
        <f t="shared" si="0"/>
        <v>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4509675</v>
      </c>
      <c r="S8" s="1206"/>
      <c r="T8" s="1206"/>
      <c r="U8" s="1205"/>
    </row>
    <row r="9" spans="1:21" s="105" customFormat="1">
      <c r="A9" s="195" t="s">
        <v>1759</v>
      </c>
      <c r="B9" s="245">
        <f>SUM(C9+D9)</f>
        <v>0</v>
      </c>
      <c r="C9" s="873"/>
      <c r="D9" s="873"/>
      <c r="E9" s="873"/>
      <c r="F9" s="873"/>
      <c r="G9" s="873"/>
      <c r="H9" s="873"/>
      <c r="I9" s="873"/>
      <c r="J9" s="873"/>
      <c r="K9" s="873"/>
      <c r="L9" s="873"/>
      <c r="M9" s="873"/>
      <c r="N9" s="873"/>
      <c r="O9" s="873"/>
      <c r="P9" s="873"/>
      <c r="Q9" s="873"/>
      <c r="R9" s="416">
        <f>SUM(E9:Q9)</f>
        <v>0</v>
      </c>
      <c r="S9" s="1206"/>
      <c r="T9" s="873"/>
      <c r="U9" s="1205"/>
    </row>
    <row r="10" spans="1:21" s="105" customFormat="1">
      <c r="A10" s="195" t="s">
        <v>1760</v>
      </c>
      <c r="B10" s="245">
        <f>SUM(C10+D10)</f>
        <v>0</v>
      </c>
      <c r="C10" s="873"/>
      <c r="D10" s="873"/>
      <c r="E10" s="873"/>
      <c r="F10" s="873"/>
      <c r="G10" s="873"/>
      <c r="H10" s="873"/>
      <c r="I10" s="873"/>
      <c r="J10" s="873"/>
      <c r="K10" s="873"/>
      <c r="L10" s="873"/>
      <c r="M10" s="873"/>
      <c r="N10" s="873"/>
      <c r="O10" s="873"/>
      <c r="P10" s="873"/>
      <c r="Q10" s="873"/>
      <c r="R10" s="416">
        <f>SUM(E10:Q10)</f>
        <v>0</v>
      </c>
      <c r="S10" s="873"/>
      <c r="T10" s="873"/>
      <c r="U10" s="1205"/>
    </row>
    <row r="11" spans="1:21" s="105" customFormat="1">
      <c r="A11" s="106" t="s">
        <v>1761</v>
      </c>
      <c r="B11" s="245">
        <f>SUM(C11:D11)</f>
        <v>0</v>
      </c>
      <c r="C11" s="245">
        <f t="shared" ref="C11:Q11" si="1">SUM(C9:C10)</f>
        <v>0</v>
      </c>
      <c r="D11" s="245">
        <f t="shared" si="1"/>
        <v>0</v>
      </c>
      <c r="E11" s="245">
        <f t="shared" si="1"/>
        <v>0</v>
      </c>
      <c r="F11" s="245">
        <f t="shared" si="1"/>
        <v>0</v>
      </c>
      <c r="G11" s="245">
        <f t="shared" si="1"/>
        <v>0</v>
      </c>
      <c r="H11" s="245">
        <f t="shared" si="1"/>
        <v>0</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0</v>
      </c>
      <c r="S11" s="1206"/>
      <c r="T11" s="107">
        <f>SUM(T9:T10)</f>
        <v>0</v>
      </c>
      <c r="U11" s="1205"/>
    </row>
    <row r="12" spans="1:21" s="105" customFormat="1">
      <c r="A12" s="106" t="s">
        <v>1762</v>
      </c>
      <c r="B12" s="245">
        <f t="shared" ref="B12:Q12" si="2">SUM(B8+B11)</f>
        <v>4509675</v>
      </c>
      <c r="C12" s="245">
        <f t="shared" si="2"/>
        <v>4509675</v>
      </c>
      <c r="D12" s="245">
        <f t="shared" si="2"/>
        <v>0</v>
      </c>
      <c r="E12" s="245">
        <f t="shared" si="2"/>
        <v>4509675</v>
      </c>
      <c r="F12" s="245">
        <f t="shared" si="2"/>
        <v>0</v>
      </c>
      <c r="G12" s="245">
        <f t="shared" si="2"/>
        <v>0</v>
      </c>
      <c r="H12" s="245">
        <f t="shared" si="2"/>
        <v>0</v>
      </c>
      <c r="I12" s="245">
        <f t="shared" si="2"/>
        <v>0</v>
      </c>
      <c r="J12" s="245">
        <f t="shared" si="2"/>
        <v>0</v>
      </c>
      <c r="K12" s="245">
        <f t="shared" si="2"/>
        <v>0</v>
      </c>
      <c r="L12" s="245">
        <f t="shared" si="2"/>
        <v>0</v>
      </c>
      <c r="M12" s="245">
        <f t="shared" si="2"/>
        <v>0</v>
      </c>
      <c r="N12" s="245">
        <f t="shared" si="2"/>
        <v>0</v>
      </c>
      <c r="O12" s="245">
        <f t="shared" si="2"/>
        <v>0</v>
      </c>
      <c r="P12" s="245"/>
      <c r="Q12" s="245">
        <f t="shared" si="2"/>
        <v>0</v>
      </c>
      <c r="R12" s="245">
        <f>SUM(R8+R11)</f>
        <v>4509675</v>
      </c>
      <c r="S12" s="1206"/>
      <c r="T12" s="1206"/>
      <c r="U12" s="1205"/>
    </row>
    <row r="13" spans="1:21" s="105" customFormat="1">
      <c r="A13" s="197" t="s">
        <v>1763</v>
      </c>
      <c r="B13" s="245">
        <f>SUM(C13+D13)</f>
        <v>118333</v>
      </c>
      <c r="C13" s="873">
        <v>118333</v>
      </c>
      <c r="D13" s="873"/>
      <c r="E13" s="873">
        <f>C13</f>
        <v>118333</v>
      </c>
      <c r="F13" s="873"/>
      <c r="G13" s="873"/>
      <c r="H13" s="873"/>
      <c r="I13" s="873"/>
      <c r="J13" s="873"/>
      <c r="K13" s="873"/>
      <c r="L13" s="873"/>
      <c r="M13" s="873"/>
      <c r="N13" s="873"/>
      <c r="O13" s="873"/>
      <c r="P13" s="873"/>
      <c r="Q13" s="873"/>
      <c r="R13" s="416">
        <f>SUM(E13:Q13)</f>
        <v>118333</v>
      </c>
      <c r="S13" s="873"/>
      <c r="T13" s="873"/>
      <c r="U13" s="1205"/>
    </row>
    <row r="14" spans="1:21" s="105" customFormat="1" ht="24">
      <c r="A14" s="198" t="s">
        <v>1764</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c r="A15" s="198" t="s">
        <v>1765</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c r="A16" s="104" t="s">
        <v>1766</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1767</v>
      </c>
      <c r="B17" s="245">
        <f t="shared" ref="B17:B25" si="3">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c r="A18" s="195" t="s">
        <v>1768</v>
      </c>
      <c r="B18" s="245">
        <f t="shared" si="3"/>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c r="A19" s="195" t="s">
        <v>1769</v>
      </c>
      <c r="B19" s="245">
        <f t="shared" si="3"/>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c r="A20" s="195" t="s">
        <v>1770</v>
      </c>
      <c r="B20" s="245">
        <f t="shared" si="3"/>
        <v>0</v>
      </c>
      <c r="C20" s="873"/>
      <c r="D20" s="873"/>
      <c r="E20" s="873"/>
      <c r="F20" s="873"/>
      <c r="G20" s="873"/>
      <c r="H20" s="873"/>
      <c r="I20" s="873"/>
      <c r="J20" s="873"/>
      <c r="K20" s="873"/>
      <c r="L20" s="873"/>
      <c r="M20" s="873"/>
      <c r="N20" s="873"/>
      <c r="O20" s="873"/>
      <c r="P20" s="873"/>
      <c r="Q20" s="873"/>
      <c r="R20" s="416">
        <f t="shared" ref="R20:R27" si="4">SUM(E20:Q20)</f>
        <v>0</v>
      </c>
      <c r="S20" s="873"/>
      <c r="T20" s="873"/>
      <c r="U20" s="1205"/>
    </row>
    <row r="21" spans="1:21" s="105" customFormat="1">
      <c r="A21" s="195" t="s">
        <v>1771</v>
      </c>
      <c r="B21" s="245">
        <f t="shared" si="3"/>
        <v>0</v>
      </c>
      <c r="C21" s="873"/>
      <c r="D21" s="873"/>
      <c r="E21" s="873"/>
      <c r="F21" s="873"/>
      <c r="G21" s="873"/>
      <c r="H21" s="873"/>
      <c r="I21" s="873"/>
      <c r="J21" s="873"/>
      <c r="K21" s="873"/>
      <c r="L21" s="873"/>
      <c r="M21" s="873"/>
      <c r="N21" s="873"/>
      <c r="O21" s="873"/>
      <c r="P21" s="873"/>
      <c r="Q21" s="873"/>
      <c r="R21" s="416">
        <f t="shared" si="4"/>
        <v>0</v>
      </c>
      <c r="S21" s="873"/>
      <c r="T21" s="873"/>
      <c r="U21" s="1205"/>
    </row>
    <row r="22" spans="1:21" s="105" customFormat="1">
      <c r="A22" s="195" t="s">
        <v>1772</v>
      </c>
      <c r="B22" s="245">
        <f t="shared" si="3"/>
        <v>0</v>
      </c>
      <c r="C22" s="873"/>
      <c r="D22" s="873"/>
      <c r="E22" s="873"/>
      <c r="F22" s="873"/>
      <c r="G22" s="873"/>
      <c r="H22" s="873"/>
      <c r="I22" s="873"/>
      <c r="J22" s="873"/>
      <c r="K22" s="873"/>
      <c r="L22" s="873"/>
      <c r="M22" s="873"/>
      <c r="N22" s="873"/>
      <c r="O22" s="873"/>
      <c r="P22" s="873"/>
      <c r="Q22" s="873"/>
      <c r="R22" s="416">
        <f t="shared" si="4"/>
        <v>0</v>
      </c>
      <c r="S22" s="873"/>
      <c r="T22" s="873"/>
      <c r="U22" s="1205"/>
    </row>
    <row r="23" spans="1:21" s="105" customFormat="1">
      <c r="A23" s="195" t="s">
        <v>1773</v>
      </c>
      <c r="B23" s="245">
        <f t="shared" si="3"/>
        <v>0</v>
      </c>
      <c r="C23" s="873"/>
      <c r="D23" s="873"/>
      <c r="E23" s="873"/>
      <c r="F23" s="873"/>
      <c r="G23" s="873"/>
      <c r="H23" s="873"/>
      <c r="I23" s="873"/>
      <c r="J23" s="873"/>
      <c r="K23" s="873"/>
      <c r="L23" s="873"/>
      <c r="M23" s="873"/>
      <c r="N23" s="873"/>
      <c r="O23" s="873"/>
      <c r="P23" s="873"/>
      <c r="Q23" s="873"/>
      <c r="R23" s="416">
        <f t="shared" si="4"/>
        <v>0</v>
      </c>
      <c r="S23" s="873"/>
      <c r="T23" s="873"/>
      <c r="U23" s="1205"/>
    </row>
    <row r="24" spans="1:21" s="105" customFormat="1">
      <c r="A24" s="409" t="s">
        <v>1774</v>
      </c>
      <c r="B24" s="245">
        <f t="shared" si="3"/>
        <v>0</v>
      </c>
      <c r="C24" s="873"/>
      <c r="D24" s="873"/>
      <c r="E24" s="873"/>
      <c r="F24" s="873"/>
      <c r="G24" s="873"/>
      <c r="H24" s="873"/>
      <c r="I24" s="873"/>
      <c r="J24" s="873"/>
      <c r="K24" s="873"/>
      <c r="L24" s="873"/>
      <c r="M24" s="873"/>
      <c r="N24" s="873"/>
      <c r="O24" s="873"/>
      <c r="P24" s="873"/>
      <c r="Q24" s="873"/>
      <c r="R24" s="416">
        <f t="shared" si="4"/>
        <v>0</v>
      </c>
      <c r="S24" s="873"/>
      <c r="T24" s="873"/>
      <c r="U24" s="1205"/>
    </row>
    <row r="25" spans="1:21" s="105" customFormat="1">
      <c r="A25" s="1038"/>
      <c r="B25" s="245">
        <f t="shared" si="3"/>
        <v>0</v>
      </c>
      <c r="C25" s="873"/>
      <c r="D25" s="873"/>
      <c r="E25" s="873"/>
      <c r="F25" s="873"/>
      <c r="G25" s="873"/>
      <c r="H25" s="873"/>
      <c r="I25" s="873"/>
      <c r="J25" s="873"/>
      <c r="K25" s="873"/>
      <c r="L25" s="873"/>
      <c r="M25" s="873"/>
      <c r="N25" s="873"/>
      <c r="O25" s="873"/>
      <c r="P25" s="873"/>
      <c r="Q25" s="873"/>
      <c r="R25" s="416">
        <f t="shared" si="4"/>
        <v>0</v>
      </c>
      <c r="S25" s="873"/>
      <c r="T25" s="873"/>
      <c r="U25" s="1205"/>
    </row>
    <row r="26" spans="1:21" s="105" customFormat="1">
      <c r="A26" s="106" t="s">
        <v>1775</v>
      </c>
      <c r="B26" s="245">
        <f t="shared" ref="B26" si="5">SUM(C26+D26)</f>
        <v>0</v>
      </c>
      <c r="C26" s="245">
        <f>SUM(C17:C25)</f>
        <v>0</v>
      </c>
      <c r="D26" s="245">
        <f t="shared" ref="D26:Q26" si="6">SUM(D17:D25)</f>
        <v>0</v>
      </c>
      <c r="E26" s="245">
        <f t="shared" si="6"/>
        <v>0</v>
      </c>
      <c r="F26" s="245">
        <f t="shared" si="6"/>
        <v>0</v>
      </c>
      <c r="G26" s="245">
        <f t="shared" si="6"/>
        <v>0</v>
      </c>
      <c r="H26" s="245">
        <f t="shared" si="6"/>
        <v>0</v>
      </c>
      <c r="I26" s="245">
        <f t="shared" si="6"/>
        <v>0</v>
      </c>
      <c r="J26" s="245">
        <f t="shared" si="6"/>
        <v>0</v>
      </c>
      <c r="K26" s="245">
        <f t="shared" si="6"/>
        <v>0</v>
      </c>
      <c r="L26" s="245">
        <f t="shared" si="6"/>
        <v>0</v>
      </c>
      <c r="M26" s="245">
        <f t="shared" si="6"/>
        <v>0</v>
      </c>
      <c r="N26" s="245">
        <f t="shared" si="6"/>
        <v>0</v>
      </c>
      <c r="O26" s="245">
        <f t="shared" si="6"/>
        <v>0</v>
      </c>
      <c r="P26" s="245">
        <f t="shared" si="6"/>
        <v>0</v>
      </c>
      <c r="Q26" s="245">
        <f t="shared" si="6"/>
        <v>0</v>
      </c>
      <c r="R26" s="245">
        <f>SUM(R17:R25)</f>
        <v>0</v>
      </c>
      <c r="S26" s="107">
        <f>SUM(S17:S25)</f>
        <v>0</v>
      </c>
      <c r="T26" s="107">
        <f>SUM(T17:T25)</f>
        <v>0</v>
      </c>
      <c r="U26" s="1205"/>
    </row>
    <row r="27" spans="1:21" s="105" customFormat="1">
      <c r="A27" s="106" t="s">
        <v>1776</v>
      </c>
      <c r="B27" s="245">
        <f>SUM(C27:D27)</f>
        <v>0</v>
      </c>
      <c r="C27" s="873"/>
      <c r="D27" s="873"/>
      <c r="E27" s="873"/>
      <c r="F27" s="873"/>
      <c r="G27" s="873"/>
      <c r="H27" s="873"/>
      <c r="I27" s="873"/>
      <c r="J27" s="873"/>
      <c r="K27" s="873"/>
      <c r="L27" s="873"/>
      <c r="M27" s="873"/>
      <c r="N27" s="873"/>
      <c r="O27" s="873"/>
      <c r="P27" s="873"/>
      <c r="Q27" s="873"/>
      <c r="R27" s="416">
        <f t="shared" si="4"/>
        <v>0</v>
      </c>
      <c r="S27" s="873"/>
      <c r="T27" s="873"/>
      <c r="U27" s="1205"/>
    </row>
    <row r="28" spans="1:21" s="105" customFormat="1">
      <c r="A28" s="104" t="s">
        <v>1777</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1767</v>
      </c>
      <c r="B29" s="245">
        <f t="shared" ref="B29:B37" si="7">SUM(C29+D29)</f>
        <v>7993382</v>
      </c>
      <c r="C29" s="873">
        <f>9528502-C37</f>
        <v>7993382</v>
      </c>
      <c r="D29" s="873"/>
      <c r="E29" s="873"/>
      <c r="F29" s="873">
        <f>C29-2471097</f>
        <v>5522285</v>
      </c>
      <c r="G29" s="873"/>
      <c r="H29" s="873">
        <v>2471097</v>
      </c>
      <c r="I29" s="873"/>
      <c r="J29" s="873"/>
      <c r="K29" s="873"/>
      <c r="L29" s="873"/>
      <c r="M29" s="873"/>
      <c r="N29" s="873"/>
      <c r="O29" s="873"/>
      <c r="P29" s="873"/>
      <c r="Q29" s="873"/>
      <c r="R29" s="416">
        <f t="shared" ref="R29:R37" si="8">SUM(E29:Q29)</f>
        <v>7993382</v>
      </c>
      <c r="S29" s="873">
        <f>R29</f>
        <v>7993382</v>
      </c>
      <c r="T29" s="873"/>
      <c r="U29" s="1205"/>
    </row>
    <row r="30" spans="1:21" s="105" customFormat="1">
      <c r="A30" s="195" t="s">
        <v>1768</v>
      </c>
      <c r="B30" s="245">
        <f t="shared" si="7"/>
        <v>34069614</v>
      </c>
      <c r="C30" s="873">
        <v>34069614</v>
      </c>
      <c r="D30" s="873"/>
      <c r="E30" s="873">
        <f>36611394-E12-E13</f>
        <v>31983386</v>
      </c>
      <c r="F30" s="873">
        <f>C30-E30</f>
        <v>2086228</v>
      </c>
      <c r="G30" s="873"/>
      <c r="H30" s="873"/>
      <c r="I30" s="873"/>
      <c r="J30" s="873"/>
      <c r="K30" s="873"/>
      <c r="L30" s="873"/>
      <c r="M30" s="873"/>
      <c r="N30" s="873"/>
      <c r="O30" s="873"/>
      <c r="P30" s="873"/>
      <c r="Q30" s="873"/>
      <c r="R30" s="416">
        <f t="shared" si="8"/>
        <v>34069614</v>
      </c>
      <c r="S30" s="873">
        <f t="shared" ref="S30:S37" si="9">R30</f>
        <v>34069614</v>
      </c>
      <c r="T30" s="873"/>
      <c r="U30" s="1205"/>
    </row>
    <row r="31" spans="1:21" s="105" customFormat="1">
      <c r="A31" s="195" t="s">
        <v>1769</v>
      </c>
      <c r="B31" s="245">
        <f t="shared" si="7"/>
        <v>2511000</v>
      </c>
      <c r="C31" s="873">
        <v>2511000</v>
      </c>
      <c r="D31" s="873"/>
      <c r="E31" s="873"/>
      <c r="F31" s="873">
        <f t="shared" ref="F31:F37" si="10">C31</f>
        <v>2511000</v>
      </c>
      <c r="G31" s="873"/>
      <c r="H31" s="873"/>
      <c r="I31" s="873"/>
      <c r="J31" s="873"/>
      <c r="K31" s="873"/>
      <c r="L31" s="873"/>
      <c r="M31" s="873"/>
      <c r="N31" s="873"/>
      <c r="O31" s="873"/>
      <c r="P31" s="873"/>
      <c r="Q31" s="873"/>
      <c r="R31" s="416">
        <f t="shared" si="8"/>
        <v>2511000</v>
      </c>
      <c r="S31" s="873">
        <f t="shared" si="9"/>
        <v>2511000</v>
      </c>
      <c r="T31" s="873"/>
      <c r="U31" s="1205"/>
    </row>
    <row r="32" spans="1:21" s="105" customFormat="1">
      <c r="A32" s="195" t="s">
        <v>1770</v>
      </c>
      <c r="B32" s="245">
        <f t="shared" si="7"/>
        <v>1182753</v>
      </c>
      <c r="C32" s="873">
        <v>1182753</v>
      </c>
      <c r="D32" s="873"/>
      <c r="E32" s="873"/>
      <c r="F32" s="873">
        <f t="shared" si="10"/>
        <v>1182753</v>
      </c>
      <c r="G32" s="873"/>
      <c r="H32" s="873"/>
      <c r="I32" s="873"/>
      <c r="J32" s="873"/>
      <c r="K32" s="873"/>
      <c r="L32" s="873"/>
      <c r="M32" s="873"/>
      <c r="N32" s="873"/>
      <c r="O32" s="873"/>
      <c r="P32" s="873"/>
      <c r="Q32" s="873"/>
      <c r="R32" s="416">
        <f t="shared" si="8"/>
        <v>1182753</v>
      </c>
      <c r="S32" s="873">
        <f t="shared" si="9"/>
        <v>1182753</v>
      </c>
      <c r="T32" s="873"/>
      <c r="U32" s="1205"/>
    </row>
    <row r="33" spans="1:21" s="105" customFormat="1">
      <c r="A33" s="195" t="s">
        <v>1771</v>
      </c>
      <c r="B33" s="245">
        <f t="shared" si="7"/>
        <v>557756</v>
      </c>
      <c r="C33" s="873">
        <f>591376-33620</f>
        <v>557756</v>
      </c>
      <c r="D33" s="873"/>
      <c r="E33" s="873"/>
      <c r="F33" s="873">
        <f t="shared" si="10"/>
        <v>557756</v>
      </c>
      <c r="G33" s="873"/>
      <c r="H33" s="873"/>
      <c r="I33" s="873"/>
      <c r="J33" s="873"/>
      <c r="K33" s="873"/>
      <c r="L33" s="873"/>
      <c r="M33" s="873"/>
      <c r="N33" s="873"/>
      <c r="O33" s="873"/>
      <c r="P33" s="873"/>
      <c r="Q33" s="873"/>
      <c r="R33" s="416">
        <f t="shared" si="8"/>
        <v>557756</v>
      </c>
      <c r="S33" s="873">
        <f t="shared" si="9"/>
        <v>557756</v>
      </c>
      <c r="T33" s="873"/>
      <c r="U33" s="1205"/>
    </row>
    <row r="34" spans="1:21" s="105" customFormat="1">
      <c r="A34" s="195" t="s">
        <v>1772</v>
      </c>
      <c r="B34" s="245">
        <f t="shared" si="7"/>
        <v>0</v>
      </c>
      <c r="C34" s="873"/>
      <c r="D34" s="873"/>
      <c r="E34" s="873"/>
      <c r="F34" s="873"/>
      <c r="G34" s="873"/>
      <c r="H34" s="873"/>
      <c r="I34" s="873"/>
      <c r="J34" s="873"/>
      <c r="K34" s="873"/>
      <c r="L34" s="873"/>
      <c r="M34" s="873"/>
      <c r="N34" s="873"/>
      <c r="O34" s="873"/>
      <c r="P34" s="873"/>
      <c r="Q34" s="873"/>
      <c r="R34" s="416">
        <f t="shared" si="8"/>
        <v>0</v>
      </c>
      <c r="S34" s="873">
        <f t="shared" si="9"/>
        <v>0</v>
      </c>
      <c r="T34" s="873"/>
      <c r="U34" s="1205"/>
    </row>
    <row r="35" spans="1:21" s="105" customFormat="1">
      <c r="A35" s="195" t="s">
        <v>1773</v>
      </c>
      <c r="B35" s="245">
        <f t="shared" si="7"/>
        <v>211942</v>
      </c>
      <c r="C35" s="873">
        <v>211942</v>
      </c>
      <c r="D35" s="873"/>
      <c r="E35" s="873"/>
      <c r="F35" s="873">
        <f t="shared" si="10"/>
        <v>211942</v>
      </c>
      <c r="G35" s="873"/>
      <c r="H35" s="873"/>
      <c r="I35" s="873"/>
      <c r="J35" s="873"/>
      <c r="K35" s="873"/>
      <c r="L35" s="873"/>
      <c r="M35" s="873"/>
      <c r="N35" s="873"/>
      <c r="O35" s="873"/>
      <c r="P35" s="873"/>
      <c r="Q35" s="873"/>
      <c r="R35" s="416">
        <f t="shared" si="8"/>
        <v>211942</v>
      </c>
      <c r="S35" s="873">
        <f t="shared" si="9"/>
        <v>211942</v>
      </c>
      <c r="T35" s="873"/>
      <c r="U35" s="1205"/>
    </row>
    <row r="36" spans="1:21" s="105" customFormat="1">
      <c r="A36" s="195" t="s">
        <v>1774</v>
      </c>
      <c r="B36" s="245">
        <f t="shared" si="7"/>
        <v>0</v>
      </c>
      <c r="C36" s="873"/>
      <c r="D36" s="873"/>
      <c r="E36" s="873"/>
      <c r="F36" s="873"/>
      <c r="G36" s="873"/>
      <c r="H36" s="873"/>
      <c r="I36" s="873"/>
      <c r="J36" s="873"/>
      <c r="K36" s="873"/>
      <c r="L36" s="873"/>
      <c r="M36" s="873"/>
      <c r="N36" s="873"/>
      <c r="O36" s="873"/>
      <c r="P36" s="873"/>
      <c r="Q36" s="873"/>
      <c r="R36" s="416">
        <f t="shared" si="8"/>
        <v>0</v>
      </c>
      <c r="S36" s="873">
        <f t="shared" si="9"/>
        <v>0</v>
      </c>
      <c r="T36" s="873"/>
      <c r="U36" s="1205"/>
    </row>
    <row r="37" spans="1:21" s="105" customFormat="1">
      <c r="A37" s="1038" t="s">
        <v>1778</v>
      </c>
      <c r="B37" s="245">
        <f t="shared" si="7"/>
        <v>1535120</v>
      </c>
      <c r="C37" s="873">
        <v>1535120</v>
      </c>
      <c r="D37" s="873"/>
      <c r="E37" s="873"/>
      <c r="F37" s="873">
        <f t="shared" si="10"/>
        <v>1535120</v>
      </c>
      <c r="G37" s="873"/>
      <c r="H37" s="873"/>
      <c r="I37" s="873"/>
      <c r="J37" s="873"/>
      <c r="K37" s="873"/>
      <c r="L37" s="873"/>
      <c r="M37" s="873"/>
      <c r="N37" s="873"/>
      <c r="O37" s="873"/>
      <c r="P37" s="873"/>
      <c r="Q37" s="873"/>
      <c r="R37" s="416">
        <f t="shared" si="8"/>
        <v>1535120</v>
      </c>
      <c r="S37" s="873">
        <f t="shared" si="9"/>
        <v>1535120</v>
      </c>
      <c r="T37" s="873"/>
      <c r="U37" s="1205"/>
    </row>
    <row r="38" spans="1:21" s="105" customFormat="1">
      <c r="A38" s="106" t="s">
        <v>1779</v>
      </c>
      <c r="B38" s="245">
        <f t="shared" ref="B38" si="11">SUM(C38+D38)</f>
        <v>48061567</v>
      </c>
      <c r="C38" s="245">
        <f>SUM(C29:C37)</f>
        <v>48061567</v>
      </c>
      <c r="D38" s="245">
        <f t="shared" ref="D38:Q38" si="12">SUM(D29:D37)</f>
        <v>0</v>
      </c>
      <c r="E38" s="245">
        <f t="shared" si="12"/>
        <v>31983386</v>
      </c>
      <c r="F38" s="245">
        <f t="shared" si="12"/>
        <v>13607084</v>
      </c>
      <c r="G38" s="245">
        <f t="shared" si="12"/>
        <v>0</v>
      </c>
      <c r="H38" s="245">
        <f t="shared" si="12"/>
        <v>2471097</v>
      </c>
      <c r="I38" s="245">
        <f t="shared" si="12"/>
        <v>0</v>
      </c>
      <c r="J38" s="245">
        <f t="shared" si="12"/>
        <v>0</v>
      </c>
      <c r="K38" s="245">
        <f t="shared" si="12"/>
        <v>0</v>
      </c>
      <c r="L38" s="245">
        <f t="shared" si="12"/>
        <v>0</v>
      </c>
      <c r="M38" s="245">
        <f t="shared" si="12"/>
        <v>0</v>
      </c>
      <c r="N38" s="245">
        <f t="shared" si="12"/>
        <v>0</v>
      </c>
      <c r="O38" s="245">
        <f t="shared" si="12"/>
        <v>0</v>
      </c>
      <c r="P38" s="245">
        <f t="shared" si="12"/>
        <v>0</v>
      </c>
      <c r="Q38" s="245">
        <f t="shared" si="12"/>
        <v>0</v>
      </c>
      <c r="R38" s="245">
        <f>SUM(R29:R37)</f>
        <v>48061567</v>
      </c>
      <c r="S38" s="107">
        <f>SUM(S29:S37)</f>
        <v>48061567</v>
      </c>
      <c r="T38" s="107">
        <f>SUM(T29:T37)</f>
        <v>0</v>
      </c>
      <c r="U38" s="1205"/>
    </row>
    <row r="39" spans="1:21" s="105" customFormat="1">
      <c r="A39" s="104" t="s">
        <v>1780</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1781</v>
      </c>
      <c r="B40" s="245">
        <f>SUM(C40+D40)</f>
        <v>1015830</v>
      </c>
      <c r="C40" s="873">
        <v>1015830</v>
      </c>
      <c r="D40" s="873"/>
      <c r="E40" s="873"/>
      <c r="F40" s="873">
        <f t="shared" ref="F40:F41" si="13">C40</f>
        <v>1015830</v>
      </c>
      <c r="G40" s="873"/>
      <c r="H40" s="873"/>
      <c r="I40" s="873"/>
      <c r="J40" s="873"/>
      <c r="K40" s="873"/>
      <c r="L40" s="873"/>
      <c r="M40" s="873"/>
      <c r="N40" s="873"/>
      <c r="O40" s="873"/>
      <c r="P40" s="873"/>
      <c r="Q40" s="873"/>
      <c r="R40" s="416">
        <f>SUM(E40:Q40)</f>
        <v>1015830</v>
      </c>
      <c r="S40" s="873">
        <f t="shared" ref="S40:S41" si="14">R40</f>
        <v>1015830</v>
      </c>
      <c r="T40" s="873"/>
      <c r="U40" s="1205"/>
    </row>
    <row r="41" spans="1:21" s="105" customFormat="1">
      <c r="A41" s="195" t="s">
        <v>1782</v>
      </c>
      <c r="B41" s="245">
        <f>SUM(C41+D41)</f>
        <v>666515</v>
      </c>
      <c r="C41" s="873">
        <v>666515</v>
      </c>
      <c r="D41" s="873"/>
      <c r="E41" s="873"/>
      <c r="F41" s="873">
        <f t="shared" si="13"/>
        <v>666515</v>
      </c>
      <c r="G41" s="873"/>
      <c r="H41" s="873"/>
      <c r="I41" s="873"/>
      <c r="J41" s="873"/>
      <c r="K41" s="873"/>
      <c r="L41" s="873"/>
      <c r="M41" s="873"/>
      <c r="N41" s="873"/>
      <c r="O41" s="873"/>
      <c r="P41" s="873"/>
      <c r="Q41" s="873"/>
      <c r="R41" s="416">
        <f>SUM(E41:Q41)</f>
        <v>666515</v>
      </c>
      <c r="S41" s="873">
        <f t="shared" si="14"/>
        <v>666515</v>
      </c>
      <c r="T41" s="873"/>
      <c r="U41" s="1205"/>
    </row>
    <row r="42" spans="1:21" s="105" customFormat="1">
      <c r="A42" s="106" t="s">
        <v>1783</v>
      </c>
      <c r="B42" s="245">
        <f>SUM(C42:D42)</f>
        <v>1682345</v>
      </c>
      <c r="C42" s="245">
        <f>SUM(C39:C41)</f>
        <v>1682345</v>
      </c>
      <c r="D42" s="245">
        <f>SUM(D39:D41)</f>
        <v>0</v>
      </c>
      <c r="E42" s="245">
        <f t="shared" ref="E42:T42" si="15">SUM(E40:E41)</f>
        <v>0</v>
      </c>
      <c r="F42" s="245">
        <f t="shared" si="15"/>
        <v>1682345</v>
      </c>
      <c r="G42" s="245">
        <f t="shared" si="15"/>
        <v>0</v>
      </c>
      <c r="H42" s="245">
        <f t="shared" si="15"/>
        <v>0</v>
      </c>
      <c r="I42" s="245">
        <f t="shared" si="15"/>
        <v>0</v>
      </c>
      <c r="J42" s="245">
        <f t="shared" si="15"/>
        <v>0</v>
      </c>
      <c r="K42" s="245">
        <f t="shared" si="15"/>
        <v>0</v>
      </c>
      <c r="L42" s="245">
        <f t="shared" si="15"/>
        <v>0</v>
      </c>
      <c r="M42" s="245">
        <f t="shared" si="15"/>
        <v>0</v>
      </c>
      <c r="N42" s="245">
        <f t="shared" si="15"/>
        <v>0</v>
      </c>
      <c r="O42" s="245">
        <f t="shared" si="15"/>
        <v>0</v>
      </c>
      <c r="P42" s="245">
        <f t="shared" si="15"/>
        <v>0</v>
      </c>
      <c r="Q42" s="245">
        <f t="shared" si="15"/>
        <v>0</v>
      </c>
      <c r="R42" s="245">
        <f>SUM(R40:R41)</f>
        <v>1682345</v>
      </c>
      <c r="S42" s="107">
        <f t="shared" si="15"/>
        <v>1682345</v>
      </c>
      <c r="T42" s="107">
        <f t="shared" si="15"/>
        <v>0</v>
      </c>
      <c r="U42" s="1205"/>
    </row>
    <row r="43" spans="1:21" s="105" customFormat="1">
      <c r="A43" s="106" t="s">
        <v>1784</v>
      </c>
      <c r="B43" s="245">
        <f>SUM(C43:D43)</f>
        <v>0</v>
      </c>
      <c r="C43" s="873"/>
      <c r="D43" s="873"/>
      <c r="E43" s="873"/>
      <c r="F43" s="873"/>
      <c r="G43" s="873"/>
      <c r="H43" s="873"/>
      <c r="I43" s="873"/>
      <c r="J43" s="873"/>
      <c r="K43" s="873"/>
      <c r="L43" s="873"/>
      <c r="M43" s="873"/>
      <c r="N43" s="873"/>
      <c r="O43" s="873"/>
      <c r="P43" s="873"/>
      <c r="Q43" s="873"/>
      <c r="R43" s="416">
        <f>SUM(E43:Q43)</f>
        <v>0</v>
      </c>
      <c r="S43" s="873"/>
      <c r="T43" s="873"/>
      <c r="U43" s="1205"/>
    </row>
    <row r="44" spans="1:21" s="105" customFormat="1">
      <c r="A44" s="104" t="s">
        <v>1785</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1786</v>
      </c>
      <c r="B45" s="245">
        <f t="shared" ref="B45:B53" si="16">SUM(C45+D45)</f>
        <v>4515097</v>
      </c>
      <c r="C45" s="873">
        <v>4515097</v>
      </c>
      <c r="D45" s="873"/>
      <c r="E45" s="873"/>
      <c r="F45" s="873">
        <v>4515097</v>
      </c>
      <c r="G45" s="873"/>
      <c r="H45" s="873"/>
      <c r="I45" s="873"/>
      <c r="J45" s="873"/>
      <c r="K45" s="873"/>
      <c r="L45" s="873"/>
      <c r="M45" s="873"/>
      <c r="N45" s="873"/>
      <c r="O45" s="873"/>
      <c r="P45" s="873"/>
      <c r="Q45" s="873"/>
      <c r="R45" s="416">
        <f t="shared" ref="R45:R53" si="17">SUM(E45:Q45)</f>
        <v>4515097</v>
      </c>
      <c r="S45" s="873">
        <v>4158285</v>
      </c>
      <c r="T45" s="873"/>
      <c r="U45" s="1205"/>
    </row>
    <row r="46" spans="1:21" s="105" customFormat="1">
      <c r="A46" s="195" t="s">
        <v>1787</v>
      </c>
      <c r="B46" s="245">
        <f t="shared" si="16"/>
        <v>680876</v>
      </c>
      <c r="C46" s="873">
        <v>680876</v>
      </c>
      <c r="D46" s="873"/>
      <c r="E46" s="873"/>
      <c r="F46" s="873">
        <f t="shared" ref="F46:F53" si="18">C46</f>
        <v>680876</v>
      </c>
      <c r="G46" s="873"/>
      <c r="H46" s="873"/>
      <c r="I46" s="873"/>
      <c r="J46" s="873"/>
      <c r="K46" s="873"/>
      <c r="L46" s="873"/>
      <c r="M46" s="873"/>
      <c r="N46" s="873"/>
      <c r="O46" s="873"/>
      <c r="P46" s="873"/>
      <c r="Q46" s="873"/>
      <c r="R46" s="416">
        <f t="shared" si="17"/>
        <v>680876</v>
      </c>
      <c r="S46" s="873">
        <f t="shared" ref="S46:S53" si="19">R46</f>
        <v>680876</v>
      </c>
      <c r="T46" s="873"/>
      <c r="U46" s="1205"/>
    </row>
    <row r="47" spans="1:21" s="105" customFormat="1">
      <c r="A47" s="1207" t="s">
        <v>1788</v>
      </c>
      <c r="B47" s="245">
        <f t="shared" si="16"/>
        <v>415167</v>
      </c>
      <c r="C47" s="873">
        <f>697338+10000-292171</f>
        <v>415167</v>
      </c>
      <c r="D47" s="873"/>
      <c r="E47" s="873"/>
      <c r="F47" s="873">
        <v>415167</v>
      </c>
      <c r="G47" s="873"/>
      <c r="H47" s="873"/>
      <c r="I47" s="873"/>
      <c r="J47" s="873"/>
      <c r="K47" s="873"/>
      <c r="L47" s="873"/>
      <c r="M47" s="873"/>
      <c r="N47" s="873"/>
      <c r="O47" s="873"/>
      <c r="P47" s="873"/>
      <c r="Q47" s="873"/>
      <c r="R47" s="416">
        <f t="shared" si="17"/>
        <v>415167</v>
      </c>
      <c r="S47" s="873">
        <f t="shared" si="19"/>
        <v>415167</v>
      </c>
      <c r="T47" s="873"/>
      <c r="U47" s="1205"/>
    </row>
    <row r="48" spans="1:21" s="105" customFormat="1">
      <c r="A48" s="195" t="s">
        <v>1789</v>
      </c>
      <c r="B48" s="245">
        <f t="shared" si="16"/>
        <v>0</v>
      </c>
      <c r="C48" s="873"/>
      <c r="D48" s="873"/>
      <c r="E48" s="873"/>
      <c r="F48" s="873">
        <f t="shared" si="18"/>
        <v>0</v>
      </c>
      <c r="G48" s="873"/>
      <c r="H48" s="873"/>
      <c r="I48" s="873"/>
      <c r="J48" s="873"/>
      <c r="K48" s="873"/>
      <c r="L48" s="873"/>
      <c r="M48" s="873"/>
      <c r="N48" s="873"/>
      <c r="O48" s="873"/>
      <c r="P48" s="873"/>
      <c r="Q48" s="873"/>
      <c r="R48" s="416">
        <f t="shared" si="17"/>
        <v>0</v>
      </c>
      <c r="S48" s="873">
        <f t="shared" si="19"/>
        <v>0</v>
      </c>
      <c r="T48" s="873"/>
      <c r="U48" s="1205"/>
    </row>
    <row r="49" spans="1:21" s="105" customFormat="1">
      <c r="A49" s="195" t="s">
        <v>1790</v>
      </c>
      <c r="B49" s="245">
        <f t="shared" si="16"/>
        <v>247977</v>
      </c>
      <c r="C49" s="873">
        <v>247977</v>
      </c>
      <c r="D49" s="873"/>
      <c r="E49" s="873"/>
      <c r="F49" s="873">
        <f t="shared" si="18"/>
        <v>247977</v>
      </c>
      <c r="G49" s="873"/>
      <c r="H49" s="873"/>
      <c r="I49" s="873"/>
      <c r="J49" s="873"/>
      <c r="K49" s="873"/>
      <c r="L49" s="873"/>
      <c r="M49" s="873"/>
      <c r="N49" s="873"/>
      <c r="O49" s="873"/>
      <c r="P49" s="873"/>
      <c r="Q49" s="873"/>
      <c r="R49" s="416">
        <f t="shared" si="17"/>
        <v>247977</v>
      </c>
      <c r="S49" s="873">
        <f t="shared" si="19"/>
        <v>247977</v>
      </c>
      <c r="T49" s="873"/>
      <c r="U49" s="1205"/>
    </row>
    <row r="50" spans="1:21" s="105" customFormat="1">
      <c r="A50" s="195" t="s">
        <v>1791</v>
      </c>
      <c r="B50" s="245">
        <f t="shared" si="16"/>
        <v>272742</v>
      </c>
      <c r="C50" s="873">
        <v>272742</v>
      </c>
      <c r="D50" s="873"/>
      <c r="E50" s="873"/>
      <c r="F50" s="873">
        <f t="shared" si="18"/>
        <v>272742</v>
      </c>
      <c r="G50" s="873"/>
      <c r="H50" s="873"/>
      <c r="I50" s="873"/>
      <c r="J50" s="873"/>
      <c r="K50" s="873"/>
      <c r="L50" s="873"/>
      <c r="M50" s="873"/>
      <c r="N50" s="873"/>
      <c r="O50" s="873"/>
      <c r="P50" s="873"/>
      <c r="Q50" s="873"/>
      <c r="R50" s="416">
        <f t="shared" si="17"/>
        <v>272742</v>
      </c>
      <c r="S50" s="873">
        <f t="shared" si="19"/>
        <v>272742</v>
      </c>
      <c r="T50" s="873"/>
      <c r="U50" s="1205"/>
    </row>
    <row r="51" spans="1:21" s="105" customFormat="1">
      <c r="A51" s="195" t="s">
        <v>1792</v>
      </c>
      <c r="B51" s="245">
        <f t="shared" si="16"/>
        <v>137188</v>
      </c>
      <c r="C51" s="873">
        <v>137188</v>
      </c>
      <c r="D51" s="873"/>
      <c r="E51" s="873"/>
      <c r="F51" s="873">
        <f t="shared" si="18"/>
        <v>137188</v>
      </c>
      <c r="G51" s="873"/>
      <c r="H51" s="873"/>
      <c r="I51" s="873"/>
      <c r="J51" s="873"/>
      <c r="K51" s="873"/>
      <c r="L51" s="873"/>
      <c r="M51" s="873"/>
      <c r="N51" s="873"/>
      <c r="O51" s="873"/>
      <c r="P51" s="873"/>
      <c r="Q51" s="873"/>
      <c r="R51" s="416">
        <f t="shared" si="17"/>
        <v>137188</v>
      </c>
      <c r="S51" s="873">
        <f t="shared" si="19"/>
        <v>137188</v>
      </c>
      <c r="T51" s="873"/>
      <c r="U51" s="1205"/>
    </row>
    <row r="52" spans="1:21" s="105" customFormat="1">
      <c r="A52" s="195" t="s">
        <v>1793</v>
      </c>
      <c r="B52" s="245">
        <f t="shared" si="16"/>
        <v>1382190</v>
      </c>
      <c r="C52" s="873">
        <v>1382190</v>
      </c>
      <c r="D52" s="873"/>
      <c r="E52" s="873"/>
      <c r="F52" s="873">
        <v>1382190</v>
      </c>
      <c r="G52" s="873"/>
      <c r="H52" s="873"/>
      <c r="I52" s="873"/>
      <c r="J52" s="873"/>
      <c r="K52" s="873"/>
      <c r="L52" s="873"/>
      <c r="M52" s="873"/>
      <c r="N52" s="873"/>
      <c r="O52" s="873"/>
      <c r="P52" s="873"/>
      <c r="Q52" s="873"/>
      <c r="R52" s="416">
        <f t="shared" si="17"/>
        <v>1382190</v>
      </c>
      <c r="S52" s="873">
        <f t="shared" si="19"/>
        <v>1382190</v>
      </c>
      <c r="T52" s="873"/>
      <c r="U52" s="1205"/>
    </row>
    <row r="53" spans="1:21" s="105" customFormat="1">
      <c r="A53" s="1038" t="s">
        <v>1794</v>
      </c>
      <c r="B53" s="245">
        <f t="shared" si="16"/>
        <v>3500000</v>
      </c>
      <c r="C53" s="873">
        <v>3500000</v>
      </c>
      <c r="D53" s="873"/>
      <c r="E53" s="873"/>
      <c r="F53" s="873">
        <f t="shared" si="18"/>
        <v>3500000</v>
      </c>
      <c r="G53" s="873"/>
      <c r="H53" s="873"/>
      <c r="I53" s="873"/>
      <c r="J53" s="873"/>
      <c r="K53" s="873"/>
      <c r="L53" s="873"/>
      <c r="M53" s="873"/>
      <c r="N53" s="873"/>
      <c r="O53" s="873"/>
      <c r="P53" s="873"/>
      <c r="Q53" s="873"/>
      <c r="R53" s="416">
        <f t="shared" si="17"/>
        <v>3500000</v>
      </c>
      <c r="S53" s="873">
        <f t="shared" si="19"/>
        <v>3500000</v>
      </c>
      <c r="T53" s="873"/>
      <c r="U53" s="1205"/>
    </row>
    <row r="54" spans="1:21" s="109" customFormat="1">
      <c r="A54" s="106" t="s">
        <v>1795</v>
      </c>
      <c r="B54" s="107">
        <f>SUM(C54:D54)</f>
        <v>11151237</v>
      </c>
      <c r="C54" s="107">
        <f t="shared" ref="C54:T54" si="20">SUM(C45:C53)</f>
        <v>11151237</v>
      </c>
      <c r="D54" s="107">
        <f t="shared" si="20"/>
        <v>0</v>
      </c>
      <c r="E54" s="107">
        <f t="shared" si="20"/>
        <v>0</v>
      </c>
      <c r="F54" s="107">
        <f t="shared" si="20"/>
        <v>11151237</v>
      </c>
      <c r="G54" s="107">
        <f t="shared" si="20"/>
        <v>0</v>
      </c>
      <c r="H54" s="107">
        <f t="shared" si="20"/>
        <v>0</v>
      </c>
      <c r="I54" s="107">
        <f t="shared" si="20"/>
        <v>0</v>
      </c>
      <c r="J54" s="107">
        <f t="shared" si="20"/>
        <v>0</v>
      </c>
      <c r="K54" s="107">
        <f t="shared" si="20"/>
        <v>0</v>
      </c>
      <c r="L54" s="107">
        <f t="shared" si="20"/>
        <v>0</v>
      </c>
      <c r="M54" s="107">
        <f t="shared" si="20"/>
        <v>0</v>
      </c>
      <c r="N54" s="107">
        <f t="shared" si="20"/>
        <v>0</v>
      </c>
      <c r="O54" s="107">
        <f t="shared" si="20"/>
        <v>0</v>
      </c>
      <c r="P54" s="107">
        <f t="shared" si="20"/>
        <v>0</v>
      </c>
      <c r="Q54" s="107">
        <f t="shared" si="20"/>
        <v>0</v>
      </c>
      <c r="R54" s="245">
        <f t="shared" si="20"/>
        <v>11151237</v>
      </c>
      <c r="S54" s="107">
        <f t="shared" si="20"/>
        <v>10794425</v>
      </c>
      <c r="T54" s="107">
        <f t="shared" si="20"/>
        <v>0</v>
      </c>
      <c r="U54" s="108"/>
    </row>
    <row r="55" spans="1:21" s="105" customFormat="1">
      <c r="A55" s="104" t="s">
        <v>1360</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1796</v>
      </c>
      <c r="B56" s="245">
        <f t="shared" ref="B56:B61" si="21">SUM(C56+D56)</f>
        <v>403394</v>
      </c>
      <c r="C56" s="873">
        <v>403394</v>
      </c>
      <c r="D56" s="873"/>
      <c r="E56" s="873"/>
      <c r="F56" s="873">
        <f t="shared" ref="F56:F61" si="22">C56</f>
        <v>403394</v>
      </c>
      <c r="G56" s="873"/>
      <c r="H56" s="873"/>
      <c r="I56" s="873"/>
      <c r="J56" s="873"/>
      <c r="K56" s="873"/>
      <c r="L56" s="873"/>
      <c r="M56" s="873"/>
      <c r="N56" s="873"/>
      <c r="O56" s="873"/>
      <c r="P56" s="873"/>
      <c r="Q56" s="873"/>
      <c r="R56" s="416">
        <f t="shared" ref="R56:R61" si="23">SUM(E56:Q56)</f>
        <v>403394</v>
      </c>
      <c r="S56" s="1206"/>
      <c r="T56" s="1206"/>
      <c r="U56" s="1205"/>
    </row>
    <row r="57" spans="1:21" s="130" customFormat="1">
      <c r="A57" s="1207" t="s">
        <v>1788</v>
      </c>
      <c r="B57" s="1208">
        <f t="shared" si="21"/>
        <v>0</v>
      </c>
      <c r="C57" s="1209"/>
      <c r="D57" s="1209"/>
      <c r="E57" s="1209"/>
      <c r="F57" s="1209">
        <f t="shared" si="22"/>
        <v>0</v>
      </c>
      <c r="G57" s="1209"/>
      <c r="H57" s="1209"/>
      <c r="I57" s="1209"/>
      <c r="J57" s="1209"/>
      <c r="K57" s="1209"/>
      <c r="L57" s="1209"/>
      <c r="M57" s="1209"/>
      <c r="N57" s="1209"/>
      <c r="O57" s="1209"/>
      <c r="P57" s="1209"/>
      <c r="Q57" s="1209"/>
      <c r="R57" s="416">
        <f t="shared" si="23"/>
        <v>0</v>
      </c>
      <c r="S57" s="1210"/>
      <c r="T57" s="1210"/>
      <c r="U57" s="1211"/>
    </row>
    <row r="58" spans="1:21" s="105" customFormat="1">
      <c r="A58" s="195" t="s">
        <v>1791</v>
      </c>
      <c r="B58" s="245">
        <f t="shared" si="21"/>
        <v>0</v>
      </c>
      <c r="C58" s="873"/>
      <c r="D58" s="873"/>
      <c r="E58" s="873"/>
      <c r="F58" s="873">
        <f t="shared" si="22"/>
        <v>0</v>
      </c>
      <c r="G58" s="873"/>
      <c r="H58" s="873"/>
      <c r="I58" s="873"/>
      <c r="J58" s="873"/>
      <c r="K58" s="873"/>
      <c r="L58" s="873"/>
      <c r="M58" s="873"/>
      <c r="N58" s="873"/>
      <c r="O58" s="873"/>
      <c r="P58" s="873"/>
      <c r="Q58" s="873"/>
      <c r="R58" s="416">
        <f t="shared" si="23"/>
        <v>0</v>
      </c>
      <c r="S58" s="1206"/>
      <c r="T58" s="1206"/>
      <c r="U58" s="1205"/>
    </row>
    <row r="59" spans="1:21" s="105" customFormat="1">
      <c r="A59" s="195" t="s">
        <v>1792</v>
      </c>
      <c r="B59" s="245">
        <f t="shared" si="21"/>
        <v>0</v>
      </c>
      <c r="C59" s="873"/>
      <c r="D59" s="873"/>
      <c r="E59" s="873"/>
      <c r="F59" s="873">
        <f t="shared" si="22"/>
        <v>0</v>
      </c>
      <c r="G59" s="873"/>
      <c r="H59" s="873"/>
      <c r="I59" s="873"/>
      <c r="J59" s="873"/>
      <c r="K59" s="873"/>
      <c r="L59" s="873"/>
      <c r="M59" s="873"/>
      <c r="N59" s="873"/>
      <c r="O59" s="873"/>
      <c r="P59" s="873"/>
      <c r="Q59" s="873"/>
      <c r="R59" s="416">
        <f t="shared" si="23"/>
        <v>0</v>
      </c>
      <c r="S59" s="1206"/>
      <c r="T59" s="1206"/>
      <c r="U59" s="1205"/>
    </row>
    <row r="60" spans="1:21" s="105" customFormat="1">
      <c r="A60" s="195" t="s">
        <v>1793</v>
      </c>
      <c r="B60" s="245">
        <f t="shared" si="21"/>
        <v>0</v>
      </c>
      <c r="C60" s="873"/>
      <c r="D60" s="873"/>
      <c r="E60" s="873"/>
      <c r="F60" s="873">
        <f t="shared" si="22"/>
        <v>0</v>
      </c>
      <c r="G60" s="873"/>
      <c r="H60" s="873"/>
      <c r="I60" s="873"/>
      <c r="J60" s="873"/>
      <c r="K60" s="873"/>
      <c r="L60" s="873"/>
      <c r="M60" s="873"/>
      <c r="N60" s="873"/>
      <c r="O60" s="873"/>
      <c r="P60" s="873"/>
      <c r="Q60" s="873"/>
      <c r="R60" s="416">
        <f t="shared" si="23"/>
        <v>0</v>
      </c>
      <c r="S60" s="1206"/>
      <c r="T60" s="1206"/>
      <c r="U60" s="1205"/>
    </row>
    <row r="61" spans="1:21" s="105" customFormat="1">
      <c r="A61" s="1038" t="s">
        <v>1797</v>
      </c>
      <c r="B61" s="245">
        <f t="shared" si="21"/>
        <v>168314</v>
      </c>
      <c r="C61" s="873">
        <f>259654-83341+1-8000</f>
        <v>168314</v>
      </c>
      <c r="D61" s="873"/>
      <c r="E61" s="873"/>
      <c r="F61" s="873">
        <f t="shared" si="22"/>
        <v>168314</v>
      </c>
      <c r="G61" s="873"/>
      <c r="H61" s="873"/>
      <c r="I61" s="873"/>
      <c r="J61" s="873"/>
      <c r="K61" s="873"/>
      <c r="L61" s="873"/>
      <c r="M61" s="873"/>
      <c r="N61" s="873"/>
      <c r="O61" s="873"/>
      <c r="P61" s="873"/>
      <c r="Q61" s="873"/>
      <c r="R61" s="416">
        <f t="shared" si="23"/>
        <v>168314</v>
      </c>
      <c r="S61" s="1206"/>
      <c r="T61" s="1206"/>
      <c r="U61" s="1205"/>
    </row>
    <row r="62" spans="1:21" s="105" customFormat="1" ht="13.9" customHeight="1">
      <c r="A62" s="106" t="s">
        <v>1798</v>
      </c>
      <c r="B62" s="245">
        <f>SUM(C62:D62)</f>
        <v>571708</v>
      </c>
      <c r="C62" s="245">
        <f t="shared" ref="C62:R62" si="24">SUM(C56:C61)</f>
        <v>571708</v>
      </c>
      <c r="D62" s="245">
        <f t="shared" si="24"/>
        <v>0</v>
      </c>
      <c r="E62" s="245">
        <f t="shared" si="24"/>
        <v>0</v>
      </c>
      <c r="F62" s="245">
        <f t="shared" si="24"/>
        <v>571708</v>
      </c>
      <c r="G62" s="245">
        <f t="shared" si="24"/>
        <v>0</v>
      </c>
      <c r="H62" s="245">
        <f t="shared" si="24"/>
        <v>0</v>
      </c>
      <c r="I62" s="245">
        <f t="shared" si="24"/>
        <v>0</v>
      </c>
      <c r="J62" s="245">
        <f t="shared" si="24"/>
        <v>0</v>
      </c>
      <c r="K62" s="245">
        <f t="shared" si="24"/>
        <v>0</v>
      </c>
      <c r="L62" s="245">
        <f t="shared" si="24"/>
        <v>0</v>
      </c>
      <c r="M62" s="245">
        <f t="shared" si="24"/>
        <v>0</v>
      </c>
      <c r="N62" s="245">
        <f t="shared" si="24"/>
        <v>0</v>
      </c>
      <c r="O62" s="245">
        <f t="shared" si="24"/>
        <v>0</v>
      </c>
      <c r="P62" s="245">
        <f t="shared" si="24"/>
        <v>0</v>
      </c>
      <c r="Q62" s="245">
        <f t="shared" si="24"/>
        <v>0</v>
      </c>
      <c r="R62" s="245">
        <f t="shared" si="24"/>
        <v>571708</v>
      </c>
      <c r="S62" s="1206"/>
      <c r="T62" s="1206"/>
      <c r="U62" s="1205"/>
    </row>
    <row r="63" spans="1:21" s="105" customFormat="1">
      <c r="A63" s="110" t="s">
        <v>1799</v>
      </c>
      <c r="B63" s="245">
        <f t="shared" ref="B63:R63" si="25">SUM(B8+B11+B13+B14+B15+B26+B27+B38+B42+B43+B54+B62)</f>
        <v>66094865</v>
      </c>
      <c r="C63" s="245">
        <f t="shared" si="25"/>
        <v>66094865</v>
      </c>
      <c r="D63" s="245">
        <f t="shared" si="25"/>
        <v>0</v>
      </c>
      <c r="E63" s="245">
        <f t="shared" si="25"/>
        <v>36611394</v>
      </c>
      <c r="F63" s="245">
        <f t="shared" si="25"/>
        <v>27012374</v>
      </c>
      <c r="G63" s="245">
        <f t="shared" si="25"/>
        <v>0</v>
      </c>
      <c r="H63" s="245">
        <f t="shared" si="25"/>
        <v>2471097</v>
      </c>
      <c r="I63" s="245">
        <f t="shared" si="25"/>
        <v>0</v>
      </c>
      <c r="J63" s="245">
        <f t="shared" si="25"/>
        <v>0</v>
      </c>
      <c r="K63" s="245">
        <f t="shared" si="25"/>
        <v>0</v>
      </c>
      <c r="L63" s="245">
        <f t="shared" si="25"/>
        <v>0</v>
      </c>
      <c r="M63" s="245">
        <f t="shared" si="25"/>
        <v>0</v>
      </c>
      <c r="N63" s="245">
        <f t="shared" si="25"/>
        <v>0</v>
      </c>
      <c r="O63" s="245">
        <f t="shared" si="25"/>
        <v>0</v>
      </c>
      <c r="P63" s="245">
        <f t="shared" si="25"/>
        <v>0</v>
      </c>
      <c r="Q63" s="245">
        <f t="shared" si="25"/>
        <v>0</v>
      </c>
      <c r="R63" s="245">
        <f t="shared" si="25"/>
        <v>66094865</v>
      </c>
      <c r="S63" s="245">
        <f>SUM(S10+S13+S14+S15+S26+S27+S38+S42+S43+S54)</f>
        <v>60538337</v>
      </c>
      <c r="T63" s="245">
        <f>SUM(T11+T13+T14+T15+T26+T27+T38+T42+T43+T54)</f>
        <v>0</v>
      </c>
      <c r="U63" s="1205"/>
    </row>
    <row r="64" spans="1:21" s="105" customFormat="1" ht="24">
      <c r="A64" s="104" t="s">
        <v>1800</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1801</v>
      </c>
      <c r="B65" s="245">
        <f>SUM(C65+D65)</f>
        <v>387804</v>
      </c>
      <c r="C65" s="873">
        <f>600000-212196</f>
        <v>387804</v>
      </c>
      <c r="D65" s="873"/>
      <c r="E65" s="873"/>
      <c r="F65" s="873">
        <f>C65</f>
        <v>387804</v>
      </c>
      <c r="G65" s="873"/>
      <c r="H65" s="873"/>
      <c r="I65" s="873"/>
      <c r="J65" s="873"/>
      <c r="K65" s="873"/>
      <c r="L65" s="873"/>
      <c r="M65" s="873"/>
      <c r="N65" s="873"/>
      <c r="O65" s="873"/>
      <c r="P65" s="873"/>
      <c r="Q65" s="873"/>
      <c r="R65" s="416">
        <f>SUM(E65:Q65)</f>
        <v>387804</v>
      </c>
      <c r="S65" s="873">
        <v>320662</v>
      </c>
      <c r="T65" s="873"/>
      <c r="U65" s="1205"/>
    </row>
    <row r="66" spans="1:21" s="105" customFormat="1" ht="24" customHeight="1">
      <c r="A66" s="195" t="s">
        <v>1802</v>
      </c>
      <c r="B66" s="245">
        <f>SUM(C66+D66)</f>
        <v>60000</v>
      </c>
      <c r="C66" s="873">
        <v>60000</v>
      </c>
      <c r="D66" s="873"/>
      <c r="E66" s="873"/>
      <c r="F66" s="873">
        <f>C66</f>
        <v>60000</v>
      </c>
      <c r="G66" s="873"/>
      <c r="H66" s="873"/>
      <c r="I66" s="873"/>
      <c r="J66" s="873"/>
      <c r="K66" s="873"/>
      <c r="L66" s="873"/>
      <c r="M66" s="873"/>
      <c r="N66" s="873"/>
      <c r="O66" s="873"/>
      <c r="P66" s="873"/>
      <c r="Q66" s="873"/>
      <c r="R66" s="416">
        <f>SUM(E66:Q66)</f>
        <v>60000</v>
      </c>
      <c r="S66" s="873">
        <f t="shared" ref="S66:S69" si="26">R66</f>
        <v>60000</v>
      </c>
      <c r="T66" s="873"/>
      <c r="U66" s="1205"/>
    </row>
    <row r="67" spans="1:21" s="105" customFormat="1" ht="24" customHeight="1">
      <c r="A67" s="195" t="s">
        <v>1803</v>
      </c>
      <c r="B67" s="245">
        <f>SUM(C67+D67)</f>
        <v>0</v>
      </c>
      <c r="C67" s="873"/>
      <c r="D67" s="873"/>
      <c r="E67" s="873"/>
      <c r="F67" s="873"/>
      <c r="G67" s="873"/>
      <c r="H67" s="873"/>
      <c r="I67" s="873"/>
      <c r="J67" s="873"/>
      <c r="K67" s="873"/>
      <c r="L67" s="873"/>
      <c r="M67" s="873"/>
      <c r="N67" s="873"/>
      <c r="O67" s="873"/>
      <c r="P67" s="873"/>
      <c r="Q67" s="873"/>
      <c r="R67" s="416">
        <f>SUM(E67:Q67)</f>
        <v>0</v>
      </c>
      <c r="S67" s="873">
        <f t="shared" si="26"/>
        <v>0</v>
      </c>
      <c r="T67" s="873"/>
      <c r="U67" s="1205"/>
    </row>
    <row r="68" spans="1:21" s="105" customFormat="1" ht="12" customHeight="1">
      <c r="A68" s="195" t="s">
        <v>1804</v>
      </c>
      <c r="B68" s="245">
        <f>SUM(C68+D68)</f>
        <v>0</v>
      </c>
      <c r="C68" s="873"/>
      <c r="D68" s="873"/>
      <c r="E68" s="873"/>
      <c r="F68" s="873"/>
      <c r="G68" s="873"/>
      <c r="H68" s="873"/>
      <c r="I68" s="873"/>
      <c r="J68" s="873"/>
      <c r="K68" s="873"/>
      <c r="L68" s="873"/>
      <c r="M68" s="873"/>
      <c r="N68" s="873"/>
      <c r="O68" s="873"/>
      <c r="P68" s="873"/>
      <c r="Q68" s="873"/>
      <c r="R68" s="416">
        <f>SUM(E68:Q68)</f>
        <v>0</v>
      </c>
      <c r="S68" s="873">
        <f t="shared" si="26"/>
        <v>0</v>
      </c>
      <c r="T68" s="873"/>
      <c r="U68" s="1205"/>
    </row>
    <row r="69" spans="1:21" s="105" customFormat="1">
      <c r="A69" s="1038" t="s">
        <v>1805</v>
      </c>
      <c r="B69" s="245">
        <f>SUM(C69+D69)</f>
        <v>0</v>
      </c>
      <c r="C69" s="873"/>
      <c r="D69" s="873"/>
      <c r="E69" s="873"/>
      <c r="F69" s="873"/>
      <c r="G69" s="873"/>
      <c r="H69" s="873"/>
      <c r="I69" s="873"/>
      <c r="J69" s="873"/>
      <c r="K69" s="873"/>
      <c r="L69" s="873"/>
      <c r="M69" s="873"/>
      <c r="N69" s="873"/>
      <c r="O69" s="873"/>
      <c r="P69" s="873"/>
      <c r="Q69" s="873"/>
      <c r="R69" s="416">
        <f>SUM(E69:Q69)</f>
        <v>0</v>
      </c>
      <c r="S69" s="873">
        <f t="shared" si="26"/>
        <v>0</v>
      </c>
      <c r="T69" s="873"/>
      <c r="U69" s="1205"/>
    </row>
    <row r="70" spans="1:21" s="105" customFormat="1">
      <c r="A70" s="106" t="s">
        <v>1806</v>
      </c>
      <c r="B70" s="245">
        <f>SUM(C70:D70)</f>
        <v>447804</v>
      </c>
      <c r="C70" s="245">
        <f>SUM(C65:C69)</f>
        <v>447804</v>
      </c>
      <c r="D70" s="245">
        <f>SUM(D65:D69)</f>
        <v>0</v>
      </c>
      <c r="E70" s="245">
        <f t="shared" ref="E70:T70" si="27">SUM(E65:E69)</f>
        <v>0</v>
      </c>
      <c r="F70" s="245">
        <f t="shared" si="27"/>
        <v>447804</v>
      </c>
      <c r="G70" s="245">
        <f t="shared" si="27"/>
        <v>0</v>
      </c>
      <c r="H70" s="245">
        <f t="shared" si="27"/>
        <v>0</v>
      </c>
      <c r="I70" s="245">
        <f t="shared" si="27"/>
        <v>0</v>
      </c>
      <c r="J70" s="245">
        <f t="shared" si="27"/>
        <v>0</v>
      </c>
      <c r="K70" s="245">
        <f t="shared" si="27"/>
        <v>0</v>
      </c>
      <c r="L70" s="245">
        <f t="shared" si="27"/>
        <v>0</v>
      </c>
      <c r="M70" s="245">
        <f t="shared" si="27"/>
        <v>0</v>
      </c>
      <c r="N70" s="245">
        <f t="shared" si="27"/>
        <v>0</v>
      </c>
      <c r="O70" s="245">
        <f t="shared" si="27"/>
        <v>0</v>
      </c>
      <c r="P70" s="245">
        <f t="shared" si="27"/>
        <v>0</v>
      </c>
      <c r="Q70" s="245">
        <f t="shared" si="27"/>
        <v>0</v>
      </c>
      <c r="R70" s="245">
        <f t="shared" si="27"/>
        <v>447804</v>
      </c>
      <c r="S70" s="107">
        <f t="shared" si="27"/>
        <v>380662</v>
      </c>
      <c r="T70" s="107">
        <f t="shared" si="27"/>
        <v>0</v>
      </c>
      <c r="U70" s="1205"/>
    </row>
    <row r="71" spans="1:21" s="105" customFormat="1">
      <c r="A71" s="104" t="s">
        <v>1807</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1808</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c r="A73" s="195" t="s">
        <v>1809</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1810</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c r="A75" s="195" t="s">
        <v>1811</v>
      </c>
      <c r="B75" s="245">
        <f>SUM(C75+D75)</f>
        <v>997510</v>
      </c>
      <c r="C75" s="873">
        <f>989510+8000</f>
        <v>997510</v>
      </c>
      <c r="D75" s="873"/>
      <c r="E75" s="873"/>
      <c r="F75" s="873">
        <f>C75</f>
        <v>997510</v>
      </c>
      <c r="G75" s="873"/>
      <c r="H75" s="873"/>
      <c r="I75" s="873"/>
      <c r="J75" s="873"/>
      <c r="K75" s="873"/>
      <c r="L75" s="873"/>
      <c r="M75" s="873"/>
      <c r="N75" s="873"/>
      <c r="O75" s="873"/>
      <c r="P75" s="873"/>
      <c r="Q75" s="873"/>
      <c r="R75" s="416">
        <f>SUM(E75:Q75)</f>
        <v>997510</v>
      </c>
      <c r="S75" s="1206"/>
      <c r="T75" s="1206"/>
      <c r="U75" s="1205"/>
    </row>
    <row r="76" spans="1:21" s="105" customFormat="1">
      <c r="A76" s="1038" t="s">
        <v>1812</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c r="A77" s="106" t="s">
        <v>1813</v>
      </c>
      <c r="B77" s="245">
        <f>SUM(C77:D77)</f>
        <v>997510</v>
      </c>
      <c r="C77" s="245">
        <f>SUM(C72:C76)</f>
        <v>997510</v>
      </c>
      <c r="D77" s="245">
        <f>SUM(D72:D76)</f>
        <v>0</v>
      </c>
      <c r="E77" s="245">
        <f t="shared" ref="E77:Q77" si="28">SUM(E72:E76)</f>
        <v>0</v>
      </c>
      <c r="F77" s="245">
        <f t="shared" si="28"/>
        <v>997510</v>
      </c>
      <c r="G77" s="245">
        <f t="shared" si="28"/>
        <v>0</v>
      </c>
      <c r="H77" s="245">
        <f t="shared" si="28"/>
        <v>0</v>
      </c>
      <c r="I77" s="245">
        <f t="shared" si="28"/>
        <v>0</v>
      </c>
      <c r="J77" s="245">
        <f t="shared" si="28"/>
        <v>0</v>
      </c>
      <c r="K77" s="245">
        <f t="shared" si="28"/>
        <v>0</v>
      </c>
      <c r="L77" s="245">
        <f t="shared" si="28"/>
        <v>0</v>
      </c>
      <c r="M77" s="245">
        <f t="shared" si="28"/>
        <v>0</v>
      </c>
      <c r="N77" s="245">
        <f t="shared" si="28"/>
        <v>0</v>
      </c>
      <c r="O77" s="245">
        <f t="shared" si="28"/>
        <v>0</v>
      </c>
      <c r="P77" s="245">
        <f t="shared" si="28"/>
        <v>0</v>
      </c>
      <c r="Q77" s="245">
        <f t="shared" si="28"/>
        <v>0</v>
      </c>
      <c r="R77" s="245">
        <f>SUM(R72:R76)</f>
        <v>997510</v>
      </c>
      <c r="S77" s="1206"/>
      <c r="T77" s="1206"/>
      <c r="U77" s="1205"/>
    </row>
    <row r="78" spans="1:21" s="105" customFormat="1">
      <c r="A78" s="104" t="s">
        <v>1814</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1815</v>
      </c>
      <c r="B79" s="245">
        <f>SUM(C79:D79)</f>
        <v>2403078</v>
      </c>
      <c r="C79" s="873">
        <v>2403078</v>
      </c>
      <c r="D79" s="873"/>
      <c r="E79" s="873"/>
      <c r="F79" s="873">
        <f>C79</f>
        <v>2403078</v>
      </c>
      <c r="G79" s="873"/>
      <c r="H79" s="873"/>
      <c r="I79" s="873"/>
      <c r="J79" s="873"/>
      <c r="K79" s="873"/>
      <c r="L79" s="873"/>
      <c r="M79" s="873"/>
      <c r="N79" s="873"/>
      <c r="O79" s="873"/>
      <c r="P79" s="873"/>
      <c r="Q79" s="873"/>
      <c r="R79" s="416">
        <f>SUM(E79:Q79)</f>
        <v>2403078</v>
      </c>
      <c r="S79" s="873">
        <f t="shared" ref="S79:S80" si="29">R79</f>
        <v>2403078</v>
      </c>
      <c r="T79" s="873"/>
      <c r="U79" s="1205"/>
    </row>
    <row r="80" spans="1:21" s="105" customFormat="1">
      <c r="A80" s="195" t="s">
        <v>1816</v>
      </c>
      <c r="B80" s="245">
        <f>SUM(C80:D80)</f>
        <v>632831</v>
      </c>
      <c r="C80" s="873">
        <v>632831</v>
      </c>
      <c r="D80" s="873"/>
      <c r="E80" s="873"/>
      <c r="F80" s="873">
        <f>C80</f>
        <v>632831</v>
      </c>
      <c r="G80" s="873"/>
      <c r="H80" s="873"/>
      <c r="I80" s="873"/>
      <c r="J80" s="873"/>
      <c r="K80" s="873"/>
      <c r="L80" s="873"/>
      <c r="M80" s="873"/>
      <c r="N80" s="873"/>
      <c r="O80" s="873"/>
      <c r="P80" s="873"/>
      <c r="Q80" s="873"/>
      <c r="R80" s="416">
        <f>SUM(E80:Q80)</f>
        <v>632831</v>
      </c>
      <c r="S80" s="873">
        <f t="shared" si="29"/>
        <v>632831</v>
      </c>
      <c r="T80" s="873"/>
      <c r="U80" s="1205"/>
    </row>
    <row r="81" spans="1:21" s="105" customFormat="1">
      <c r="A81" s="106" t="s">
        <v>1817</v>
      </c>
      <c r="B81" s="245">
        <f>SUM(C81:D81)</f>
        <v>3035909</v>
      </c>
      <c r="C81" s="1212">
        <f>SUM(C79:C80)</f>
        <v>3035909</v>
      </c>
      <c r="D81" s="1212">
        <f t="shared" ref="D81:T81" si="30">SUM(D79:D80)</f>
        <v>0</v>
      </c>
      <c r="E81" s="1212">
        <f t="shared" si="30"/>
        <v>0</v>
      </c>
      <c r="F81" s="1212">
        <f t="shared" si="30"/>
        <v>3035909</v>
      </c>
      <c r="G81" s="1212">
        <f t="shared" si="30"/>
        <v>0</v>
      </c>
      <c r="H81" s="1212">
        <f t="shared" si="30"/>
        <v>0</v>
      </c>
      <c r="I81" s="1212">
        <f t="shared" si="30"/>
        <v>0</v>
      </c>
      <c r="J81" s="1212">
        <f t="shared" si="30"/>
        <v>0</v>
      </c>
      <c r="K81" s="1212">
        <f t="shared" si="30"/>
        <v>0</v>
      </c>
      <c r="L81" s="1212">
        <f t="shared" si="30"/>
        <v>0</v>
      </c>
      <c r="M81" s="1212">
        <f t="shared" si="30"/>
        <v>0</v>
      </c>
      <c r="N81" s="1212">
        <f t="shared" si="30"/>
        <v>0</v>
      </c>
      <c r="O81" s="1212">
        <f t="shared" si="30"/>
        <v>0</v>
      </c>
      <c r="P81" s="1212">
        <f t="shared" si="30"/>
        <v>0</v>
      </c>
      <c r="Q81" s="1212">
        <f t="shared" si="30"/>
        <v>0</v>
      </c>
      <c r="R81" s="1212">
        <f t="shared" si="30"/>
        <v>3035909</v>
      </c>
      <c r="S81" s="1212">
        <f t="shared" si="30"/>
        <v>3035909</v>
      </c>
      <c r="T81" s="1212">
        <f t="shared" si="30"/>
        <v>0</v>
      </c>
      <c r="U81" s="1205"/>
    </row>
    <row r="82" spans="1:21" s="105" customFormat="1">
      <c r="A82" s="104" t="s">
        <v>1818</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9" customHeight="1">
      <c r="A83" s="195" t="s">
        <v>1819</v>
      </c>
      <c r="B83" s="245">
        <f t="shared" ref="B83:B95" si="31">SUM(C83+D83)</f>
        <v>180571</v>
      </c>
      <c r="C83" s="873">
        <f>97230+83341</f>
        <v>180571</v>
      </c>
      <c r="D83" s="873"/>
      <c r="E83" s="873"/>
      <c r="F83" s="873">
        <f t="shared" ref="F83:F90" si="32">C83</f>
        <v>180571</v>
      </c>
      <c r="G83" s="873"/>
      <c r="H83" s="873"/>
      <c r="I83" s="873"/>
      <c r="J83" s="873"/>
      <c r="K83" s="873"/>
      <c r="L83" s="873"/>
      <c r="M83" s="873"/>
      <c r="N83" s="873"/>
      <c r="O83" s="873"/>
      <c r="P83" s="873"/>
      <c r="Q83" s="873"/>
      <c r="R83" s="416">
        <f t="shared" ref="R83:R95" si="33">SUM(E83:Q83)</f>
        <v>180571</v>
      </c>
      <c r="S83" s="1206"/>
      <c r="T83" s="1206"/>
      <c r="U83" s="1205"/>
    </row>
    <row r="84" spans="1:21" s="105" customFormat="1">
      <c r="A84" s="195" t="s">
        <v>1820</v>
      </c>
      <c r="B84" s="245">
        <f t="shared" si="31"/>
        <v>83395</v>
      </c>
      <c r="C84" s="873">
        <v>83395</v>
      </c>
      <c r="D84" s="873"/>
      <c r="E84" s="873"/>
      <c r="F84" s="873">
        <f t="shared" si="32"/>
        <v>83395</v>
      </c>
      <c r="G84" s="873"/>
      <c r="H84" s="873"/>
      <c r="I84" s="873"/>
      <c r="J84" s="873"/>
      <c r="K84" s="873"/>
      <c r="L84" s="873"/>
      <c r="M84" s="873"/>
      <c r="N84" s="873"/>
      <c r="O84" s="873"/>
      <c r="P84" s="873"/>
      <c r="Q84" s="873"/>
      <c r="R84" s="416">
        <f t="shared" si="33"/>
        <v>83395</v>
      </c>
      <c r="S84" s="873">
        <f t="shared" ref="S84:S87" si="34">R84</f>
        <v>83395</v>
      </c>
      <c r="T84" s="873"/>
      <c r="U84" s="1205"/>
    </row>
    <row r="85" spans="1:21" s="105" customFormat="1">
      <c r="A85" s="195" t="s">
        <v>1821</v>
      </c>
      <c r="B85" s="245">
        <f t="shared" si="31"/>
        <v>4608685</v>
      </c>
      <c r="C85" s="873">
        <v>4608685</v>
      </c>
      <c r="D85" s="873"/>
      <c r="E85" s="873"/>
      <c r="F85" s="873">
        <f t="shared" si="32"/>
        <v>4608685</v>
      </c>
      <c r="G85" s="873"/>
      <c r="H85" s="873"/>
      <c r="I85" s="873"/>
      <c r="J85" s="873"/>
      <c r="K85" s="873"/>
      <c r="L85" s="873"/>
      <c r="M85" s="873"/>
      <c r="N85" s="873"/>
      <c r="O85" s="873"/>
      <c r="P85" s="873"/>
      <c r="Q85" s="873"/>
      <c r="R85" s="416">
        <f t="shared" si="33"/>
        <v>4608685</v>
      </c>
      <c r="S85" s="873">
        <f t="shared" si="34"/>
        <v>4608685</v>
      </c>
      <c r="T85" s="873"/>
      <c r="U85" s="1205"/>
    </row>
    <row r="86" spans="1:21" s="105" customFormat="1">
      <c r="A86" s="195" t="s">
        <v>1822</v>
      </c>
      <c r="B86" s="245">
        <f t="shared" si="31"/>
        <v>2514746</v>
      </c>
      <c r="C86" s="873">
        <v>2514746</v>
      </c>
      <c r="D86" s="873"/>
      <c r="E86" s="873"/>
      <c r="F86" s="873">
        <f t="shared" si="32"/>
        <v>2514746</v>
      </c>
      <c r="G86" s="873"/>
      <c r="H86" s="873"/>
      <c r="I86" s="873"/>
      <c r="J86" s="873"/>
      <c r="K86" s="873"/>
      <c r="L86" s="873"/>
      <c r="M86" s="873"/>
      <c r="N86" s="873"/>
      <c r="O86" s="873"/>
      <c r="P86" s="873"/>
      <c r="Q86" s="873"/>
      <c r="R86" s="416">
        <f t="shared" si="33"/>
        <v>2514746</v>
      </c>
      <c r="S86" s="873">
        <f t="shared" si="34"/>
        <v>2514746</v>
      </c>
      <c r="T86" s="873"/>
      <c r="U86" s="1205"/>
    </row>
    <row r="87" spans="1:21" s="105" customFormat="1">
      <c r="A87" s="195" t="s">
        <v>1823</v>
      </c>
      <c r="B87" s="245">
        <f t="shared" si="31"/>
        <v>0</v>
      </c>
      <c r="C87" s="873"/>
      <c r="D87" s="873"/>
      <c r="E87" s="873"/>
      <c r="F87" s="873">
        <f t="shared" si="32"/>
        <v>0</v>
      </c>
      <c r="G87" s="873"/>
      <c r="H87" s="873"/>
      <c r="I87" s="873"/>
      <c r="J87" s="873"/>
      <c r="K87" s="873"/>
      <c r="L87" s="873"/>
      <c r="M87" s="873"/>
      <c r="N87" s="873"/>
      <c r="O87" s="873"/>
      <c r="P87" s="873"/>
      <c r="Q87" s="873"/>
      <c r="R87" s="416">
        <f t="shared" si="33"/>
        <v>0</v>
      </c>
      <c r="S87" s="873">
        <f t="shared" si="34"/>
        <v>0</v>
      </c>
      <c r="T87" s="873"/>
      <c r="U87" s="1205"/>
    </row>
    <row r="88" spans="1:21" s="105" customFormat="1">
      <c r="A88" s="195" t="s">
        <v>1824</v>
      </c>
      <c r="B88" s="245">
        <f t="shared" si="31"/>
        <v>150000</v>
      </c>
      <c r="C88" s="873">
        <v>150000</v>
      </c>
      <c r="D88" s="873"/>
      <c r="E88" s="873"/>
      <c r="F88" s="873">
        <f t="shared" si="32"/>
        <v>150000</v>
      </c>
      <c r="G88" s="873"/>
      <c r="H88" s="873"/>
      <c r="I88" s="873"/>
      <c r="J88" s="873"/>
      <c r="K88" s="873"/>
      <c r="L88" s="873"/>
      <c r="M88" s="873"/>
      <c r="N88" s="873"/>
      <c r="O88" s="873"/>
      <c r="P88" s="873"/>
      <c r="Q88" s="873"/>
      <c r="R88" s="416">
        <f t="shared" si="33"/>
        <v>150000</v>
      </c>
      <c r="S88" s="1206"/>
      <c r="T88" s="1206"/>
      <c r="U88" s="1205"/>
    </row>
    <row r="89" spans="1:21" s="105" customFormat="1">
      <c r="A89" s="195" t="s">
        <v>1825</v>
      </c>
      <c r="B89" s="245">
        <f t="shared" si="31"/>
        <v>0</v>
      </c>
      <c r="C89" s="873"/>
      <c r="D89" s="873"/>
      <c r="E89" s="873"/>
      <c r="F89" s="873">
        <f t="shared" si="32"/>
        <v>0</v>
      </c>
      <c r="G89" s="873"/>
      <c r="H89" s="873"/>
      <c r="I89" s="873"/>
      <c r="J89" s="873"/>
      <c r="K89" s="873"/>
      <c r="L89" s="873"/>
      <c r="M89" s="873"/>
      <c r="N89" s="873"/>
      <c r="O89" s="873"/>
      <c r="P89" s="873"/>
      <c r="Q89" s="873"/>
      <c r="R89" s="416">
        <f t="shared" si="33"/>
        <v>0</v>
      </c>
      <c r="S89" s="873">
        <f t="shared" ref="S89:S95" si="35">R89</f>
        <v>0</v>
      </c>
      <c r="T89" s="873"/>
      <c r="U89" s="1205"/>
    </row>
    <row r="90" spans="1:21" s="105" customFormat="1">
      <c r="A90" s="195" t="s">
        <v>1826</v>
      </c>
      <c r="B90" s="245">
        <f t="shared" si="31"/>
        <v>35000</v>
      </c>
      <c r="C90" s="873">
        <v>35000</v>
      </c>
      <c r="D90" s="873"/>
      <c r="E90" s="873"/>
      <c r="F90" s="873">
        <f t="shared" si="32"/>
        <v>35000</v>
      </c>
      <c r="G90" s="873"/>
      <c r="H90" s="873"/>
      <c r="I90" s="873"/>
      <c r="J90" s="873"/>
      <c r="K90" s="873"/>
      <c r="L90" s="873"/>
      <c r="M90" s="873"/>
      <c r="N90" s="873"/>
      <c r="O90" s="873"/>
      <c r="P90" s="873"/>
      <c r="Q90" s="873"/>
      <c r="R90" s="416">
        <f t="shared" si="33"/>
        <v>35000</v>
      </c>
      <c r="S90" s="873">
        <f t="shared" si="35"/>
        <v>35000</v>
      </c>
      <c r="T90" s="873"/>
      <c r="U90" s="1205"/>
    </row>
    <row r="91" spans="1:21" s="105" customFormat="1">
      <c r="A91" s="195" t="s">
        <v>1827</v>
      </c>
      <c r="B91" s="245">
        <f t="shared" si="31"/>
        <v>0</v>
      </c>
      <c r="C91" s="873"/>
      <c r="D91" s="873"/>
      <c r="E91" s="873"/>
      <c r="F91" s="873"/>
      <c r="G91" s="873"/>
      <c r="H91" s="873"/>
      <c r="I91" s="873"/>
      <c r="J91" s="873"/>
      <c r="K91" s="873"/>
      <c r="L91" s="873"/>
      <c r="M91" s="873"/>
      <c r="N91" s="873"/>
      <c r="O91" s="873"/>
      <c r="P91" s="873"/>
      <c r="Q91" s="873"/>
      <c r="R91" s="416">
        <f t="shared" si="33"/>
        <v>0</v>
      </c>
      <c r="S91" s="873">
        <f t="shared" si="35"/>
        <v>0</v>
      </c>
      <c r="T91" s="873"/>
      <c r="U91" s="1205"/>
    </row>
    <row r="92" spans="1:21" s="105" customFormat="1">
      <c r="A92" s="195" t="s">
        <v>1828</v>
      </c>
      <c r="B92" s="245">
        <f t="shared" si="31"/>
        <v>0</v>
      </c>
      <c r="C92" s="873"/>
      <c r="D92" s="873"/>
      <c r="E92" s="873"/>
      <c r="F92" s="873"/>
      <c r="G92" s="873"/>
      <c r="H92" s="873"/>
      <c r="I92" s="873"/>
      <c r="J92" s="873"/>
      <c r="K92" s="873"/>
      <c r="L92" s="873"/>
      <c r="M92" s="873"/>
      <c r="N92" s="873"/>
      <c r="O92" s="873"/>
      <c r="P92" s="873"/>
      <c r="Q92" s="873"/>
      <c r="R92" s="416">
        <f t="shared" si="33"/>
        <v>0</v>
      </c>
      <c r="S92" s="873">
        <f t="shared" si="35"/>
        <v>0</v>
      </c>
      <c r="T92" s="873"/>
      <c r="U92" s="1205"/>
    </row>
    <row r="93" spans="1:21" s="105" customFormat="1">
      <c r="A93" s="1038" t="s">
        <v>1812</v>
      </c>
      <c r="B93" s="245">
        <f t="shared" si="31"/>
        <v>0</v>
      </c>
      <c r="C93" s="873"/>
      <c r="D93" s="873"/>
      <c r="E93" s="873"/>
      <c r="F93" s="873"/>
      <c r="G93" s="873"/>
      <c r="H93" s="873"/>
      <c r="I93" s="873"/>
      <c r="J93" s="873"/>
      <c r="K93" s="873"/>
      <c r="L93" s="873"/>
      <c r="M93" s="873"/>
      <c r="N93" s="873"/>
      <c r="O93" s="873"/>
      <c r="P93" s="873"/>
      <c r="Q93" s="873"/>
      <c r="R93" s="416">
        <f t="shared" si="33"/>
        <v>0</v>
      </c>
      <c r="S93" s="873">
        <f t="shared" si="35"/>
        <v>0</v>
      </c>
      <c r="T93" s="873"/>
      <c r="U93" s="1205"/>
    </row>
    <row r="94" spans="1:21" s="105" customFormat="1">
      <c r="A94" s="1038" t="s">
        <v>1812</v>
      </c>
      <c r="B94" s="245">
        <f t="shared" si="31"/>
        <v>0</v>
      </c>
      <c r="C94" s="873"/>
      <c r="D94" s="873"/>
      <c r="E94" s="873"/>
      <c r="F94" s="873"/>
      <c r="G94" s="873"/>
      <c r="H94" s="873"/>
      <c r="I94" s="873"/>
      <c r="J94" s="873"/>
      <c r="K94" s="873"/>
      <c r="L94" s="873"/>
      <c r="M94" s="873"/>
      <c r="N94" s="873"/>
      <c r="O94" s="873"/>
      <c r="P94" s="873"/>
      <c r="Q94" s="873"/>
      <c r="R94" s="416">
        <f t="shared" si="33"/>
        <v>0</v>
      </c>
      <c r="S94" s="873">
        <f t="shared" si="35"/>
        <v>0</v>
      </c>
      <c r="T94" s="873"/>
      <c r="U94" s="1205"/>
    </row>
    <row r="95" spans="1:21" s="105" customFormat="1">
      <c r="A95" s="1038" t="s">
        <v>1812</v>
      </c>
      <c r="B95" s="245">
        <f t="shared" si="31"/>
        <v>0</v>
      </c>
      <c r="C95" s="873"/>
      <c r="D95" s="873"/>
      <c r="E95" s="873"/>
      <c r="F95" s="873"/>
      <c r="G95" s="873"/>
      <c r="H95" s="873"/>
      <c r="I95" s="873"/>
      <c r="J95" s="873"/>
      <c r="K95" s="873"/>
      <c r="L95" s="873"/>
      <c r="M95" s="873"/>
      <c r="N95" s="873"/>
      <c r="O95" s="873"/>
      <c r="P95" s="873"/>
      <c r="Q95" s="873"/>
      <c r="R95" s="416">
        <f t="shared" si="33"/>
        <v>0</v>
      </c>
      <c r="S95" s="873">
        <f t="shared" si="35"/>
        <v>0</v>
      </c>
      <c r="T95" s="873"/>
      <c r="U95" s="1205"/>
    </row>
    <row r="96" spans="1:21" s="105" customFormat="1">
      <c r="A96" s="106" t="s">
        <v>1829</v>
      </c>
      <c r="B96" s="245">
        <f>SUM(C96:D96)</f>
        <v>7572397</v>
      </c>
      <c r="C96" s="245">
        <f t="shared" ref="C96:R96" si="36">SUM(C83:C95)</f>
        <v>7572397</v>
      </c>
      <c r="D96" s="245">
        <f t="shared" si="36"/>
        <v>0</v>
      </c>
      <c r="E96" s="245">
        <f t="shared" si="36"/>
        <v>0</v>
      </c>
      <c r="F96" s="245">
        <f t="shared" si="36"/>
        <v>7572397</v>
      </c>
      <c r="G96" s="245">
        <f t="shared" si="36"/>
        <v>0</v>
      </c>
      <c r="H96" s="245">
        <f t="shared" si="36"/>
        <v>0</v>
      </c>
      <c r="I96" s="245">
        <f t="shared" si="36"/>
        <v>0</v>
      </c>
      <c r="J96" s="245">
        <f t="shared" si="36"/>
        <v>0</v>
      </c>
      <c r="K96" s="245">
        <f t="shared" si="36"/>
        <v>0</v>
      </c>
      <c r="L96" s="245">
        <f t="shared" si="36"/>
        <v>0</v>
      </c>
      <c r="M96" s="245">
        <f t="shared" si="36"/>
        <v>0</v>
      </c>
      <c r="N96" s="245">
        <f t="shared" si="36"/>
        <v>0</v>
      </c>
      <c r="O96" s="245">
        <f t="shared" si="36"/>
        <v>0</v>
      </c>
      <c r="P96" s="245">
        <f t="shared" si="36"/>
        <v>0</v>
      </c>
      <c r="Q96" s="245">
        <f t="shared" si="36"/>
        <v>0</v>
      </c>
      <c r="R96" s="245">
        <f t="shared" si="36"/>
        <v>7572397</v>
      </c>
      <c r="S96" s="107">
        <f>SUM(S84:S87,S89:S95)</f>
        <v>7241826</v>
      </c>
      <c r="T96" s="245">
        <f>SUM(T84:T87,T89:T95)</f>
        <v>0</v>
      </c>
      <c r="U96" s="1205"/>
    </row>
    <row r="97" spans="1:21" s="105" customFormat="1">
      <c r="A97" s="106" t="s">
        <v>1830</v>
      </c>
      <c r="B97" s="245">
        <f>SUM(C97:D97)</f>
        <v>78148485</v>
      </c>
      <c r="C97" s="245">
        <f t="shared" ref="C97:R97" si="37">SUM(C63+C70+C77+C81+C96)</f>
        <v>78148485</v>
      </c>
      <c r="D97" s="245">
        <f t="shared" si="37"/>
        <v>0</v>
      </c>
      <c r="E97" s="245">
        <f t="shared" si="37"/>
        <v>36611394</v>
      </c>
      <c r="F97" s="245">
        <f t="shared" si="37"/>
        <v>39065994</v>
      </c>
      <c r="G97" s="245">
        <f t="shared" si="37"/>
        <v>0</v>
      </c>
      <c r="H97" s="245">
        <f t="shared" si="37"/>
        <v>2471097</v>
      </c>
      <c r="I97" s="245">
        <f t="shared" si="37"/>
        <v>0</v>
      </c>
      <c r="J97" s="245">
        <f t="shared" si="37"/>
        <v>0</v>
      </c>
      <c r="K97" s="245">
        <f t="shared" si="37"/>
        <v>0</v>
      </c>
      <c r="L97" s="245">
        <f t="shared" si="37"/>
        <v>0</v>
      </c>
      <c r="M97" s="245">
        <f t="shared" si="37"/>
        <v>0</v>
      </c>
      <c r="N97" s="245">
        <f t="shared" si="37"/>
        <v>0</v>
      </c>
      <c r="O97" s="245">
        <f t="shared" si="37"/>
        <v>0</v>
      </c>
      <c r="P97" s="245">
        <f t="shared" si="37"/>
        <v>0</v>
      </c>
      <c r="Q97" s="245">
        <f t="shared" si="37"/>
        <v>0</v>
      </c>
      <c r="R97" s="245">
        <f t="shared" si="37"/>
        <v>78148485</v>
      </c>
      <c r="S97" s="245">
        <f>SUM(S63+S70+S81+S96)</f>
        <v>71196734</v>
      </c>
      <c r="T97" s="245">
        <f>SUM(T63+T70+T81+T96)</f>
        <v>0</v>
      </c>
      <c r="U97" s="1205"/>
    </row>
    <row r="98" spans="1:21" s="105" customFormat="1">
      <c r="A98" s="104" t="s">
        <v>1831</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1832</v>
      </c>
      <c r="B99" s="245">
        <f>SUM(C99+D99)</f>
        <v>10679509</v>
      </c>
      <c r="C99" s="873">
        <v>10679509</v>
      </c>
      <c r="D99" s="873"/>
      <c r="E99" s="873"/>
      <c r="F99" s="873">
        <f>B99-G99</f>
        <v>1273407</v>
      </c>
      <c r="G99" s="873">
        <v>9406102</v>
      </c>
      <c r="H99" s="873"/>
      <c r="I99" s="873"/>
      <c r="J99" s="873"/>
      <c r="K99" s="873"/>
      <c r="L99" s="873"/>
      <c r="M99" s="873"/>
      <c r="N99" s="873"/>
      <c r="O99" s="873"/>
      <c r="P99" s="873"/>
      <c r="Q99" s="873"/>
      <c r="R99" s="416">
        <f>SUM(E99:Q99)</f>
        <v>10679509</v>
      </c>
      <c r="S99" s="873">
        <f>R99</f>
        <v>10679509</v>
      </c>
      <c r="T99" s="873"/>
      <c r="U99" s="1205"/>
    </row>
    <row r="100" spans="1:21" s="105" customFormat="1">
      <c r="A100" s="195" t="s">
        <v>1833</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1834</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1835</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1812</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1836</v>
      </c>
      <c r="B104" s="245">
        <f>SUM(C104:D104)</f>
        <v>10679509</v>
      </c>
      <c r="C104" s="245">
        <f>SUM(C99:C103)</f>
        <v>10679509</v>
      </c>
      <c r="D104" s="245">
        <f t="shared" ref="D104:T104" si="38">SUM(D99:D103)</f>
        <v>0</v>
      </c>
      <c r="E104" s="245">
        <f t="shared" si="38"/>
        <v>0</v>
      </c>
      <c r="F104" s="245">
        <f t="shared" si="38"/>
        <v>1273407</v>
      </c>
      <c r="G104" s="245">
        <f t="shared" si="38"/>
        <v>9406102</v>
      </c>
      <c r="H104" s="245">
        <f t="shared" si="38"/>
        <v>0</v>
      </c>
      <c r="I104" s="245">
        <f t="shared" si="38"/>
        <v>0</v>
      </c>
      <c r="J104" s="245">
        <f t="shared" si="38"/>
        <v>0</v>
      </c>
      <c r="K104" s="245">
        <f t="shared" si="38"/>
        <v>0</v>
      </c>
      <c r="L104" s="245">
        <f t="shared" si="38"/>
        <v>0</v>
      </c>
      <c r="M104" s="245">
        <f t="shared" si="38"/>
        <v>0</v>
      </c>
      <c r="N104" s="245">
        <f t="shared" si="38"/>
        <v>0</v>
      </c>
      <c r="O104" s="245">
        <f t="shared" si="38"/>
        <v>0</v>
      </c>
      <c r="P104" s="245">
        <f t="shared" si="38"/>
        <v>0</v>
      </c>
      <c r="Q104" s="245">
        <f t="shared" si="38"/>
        <v>0</v>
      </c>
      <c r="R104" s="245">
        <f t="shared" si="38"/>
        <v>10679509</v>
      </c>
      <c r="S104" s="107">
        <f t="shared" si="38"/>
        <v>10679509</v>
      </c>
      <c r="T104" s="107">
        <f t="shared" si="38"/>
        <v>0</v>
      </c>
      <c r="U104" s="1205"/>
    </row>
    <row r="105" spans="1:21" s="105" customFormat="1">
      <c r="A105" s="106" t="s">
        <v>1837</v>
      </c>
      <c r="B105" s="107">
        <f>SUM(C105:D105)</f>
        <v>88827994</v>
      </c>
      <c r="C105" s="107">
        <f t="shared" ref="C105:R105" si="39">SUM(C97+C104)</f>
        <v>88827994</v>
      </c>
      <c r="D105" s="107">
        <f t="shared" si="39"/>
        <v>0</v>
      </c>
      <c r="E105" s="107">
        <f t="shared" si="39"/>
        <v>36611394</v>
      </c>
      <c r="F105" s="107">
        <f t="shared" si="39"/>
        <v>40339401</v>
      </c>
      <c r="G105" s="107">
        <f t="shared" si="39"/>
        <v>9406102</v>
      </c>
      <c r="H105" s="107">
        <f t="shared" si="39"/>
        <v>2471097</v>
      </c>
      <c r="I105" s="107">
        <f t="shared" si="39"/>
        <v>0</v>
      </c>
      <c r="J105" s="107">
        <f t="shared" si="39"/>
        <v>0</v>
      </c>
      <c r="K105" s="107">
        <f t="shared" si="39"/>
        <v>0</v>
      </c>
      <c r="L105" s="107">
        <f t="shared" si="39"/>
        <v>0</v>
      </c>
      <c r="M105" s="107">
        <f t="shared" si="39"/>
        <v>0</v>
      </c>
      <c r="N105" s="107">
        <f t="shared" si="39"/>
        <v>0</v>
      </c>
      <c r="O105" s="107">
        <f t="shared" si="39"/>
        <v>0</v>
      </c>
      <c r="P105" s="107">
        <f t="shared" si="39"/>
        <v>0</v>
      </c>
      <c r="Q105" s="107">
        <f t="shared" si="39"/>
        <v>0</v>
      </c>
      <c r="R105" s="245">
        <f t="shared" si="39"/>
        <v>88827994</v>
      </c>
      <c r="S105" s="107">
        <f>S97+S104</f>
        <v>81876243</v>
      </c>
      <c r="T105" s="107">
        <f>T97+T104</f>
        <v>0</v>
      </c>
      <c r="U105" s="1205"/>
    </row>
    <row r="106" spans="1:21">
      <c r="A106" s="414" t="s">
        <v>1838</v>
      </c>
      <c r="B106" s="1213"/>
      <c r="C106" s="1213"/>
      <c r="D106" s="1213"/>
      <c r="E106" s="229"/>
      <c r="F106" s="229"/>
      <c r="G106" s="229"/>
      <c r="H106" s="230" t="s">
        <v>1839</v>
      </c>
      <c r="I106" s="230"/>
      <c r="J106" s="230"/>
      <c r="K106" s="229"/>
      <c r="L106" s="229"/>
      <c r="M106" s="229"/>
      <c r="N106" s="229"/>
      <c r="O106" s="229"/>
      <c r="P106" s="229"/>
      <c r="Q106" s="229"/>
      <c r="R106" s="113" t="s">
        <v>1840</v>
      </c>
      <c r="S106" s="873"/>
      <c r="T106" s="873"/>
      <c r="U106" s="231"/>
    </row>
    <row r="107" spans="1:21">
      <c r="A107" s="1213" t="s">
        <v>1841</v>
      </c>
      <c r="B107" s="229"/>
      <c r="C107" s="1213"/>
      <c r="D107" s="1213"/>
      <c r="E107" s="229"/>
      <c r="F107" s="229"/>
      <c r="G107" s="229"/>
      <c r="H107" s="229"/>
      <c r="I107" s="115" t="s">
        <v>1842</v>
      </c>
      <c r="J107" s="115"/>
      <c r="K107" s="229"/>
      <c r="L107" s="229"/>
      <c r="M107" s="229"/>
      <c r="N107" s="229"/>
      <c r="O107" s="229"/>
      <c r="P107" s="229"/>
      <c r="Q107" s="229"/>
      <c r="R107" s="113" t="s">
        <v>1843</v>
      </c>
      <c r="S107" s="107">
        <f>S105+S106</f>
        <v>81876243</v>
      </c>
      <c r="T107" s="107">
        <f>T105+T106</f>
        <v>0</v>
      </c>
      <c r="U107" s="231"/>
    </row>
    <row r="108" spans="1:21" s="129" customFormat="1">
      <c r="A108" s="115" t="s">
        <v>1844</v>
      </c>
      <c r="B108" s="1213"/>
      <c r="C108" s="1213"/>
      <c r="D108" s="1213"/>
      <c r="E108" s="1214">
        <f>Application!AO640</f>
        <v>36611394</v>
      </c>
      <c r="F108" s="1214">
        <f>Application!AO627</f>
        <v>40339401</v>
      </c>
      <c r="G108" s="1214">
        <f>Application!AO628</f>
        <v>9406102</v>
      </c>
      <c r="H108" s="1214">
        <f>Application!AO629</f>
        <v>2471097</v>
      </c>
      <c r="I108" s="1214">
        <f>Application!AO630</f>
        <v>0</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1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1845</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1846</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1847</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1848</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1849</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1850</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1851</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1852</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75">
      <c r="A121" s="241" t="s">
        <v>1853</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1854</v>
      </c>
      <c r="B122" s="229"/>
      <c r="C122" s="229"/>
      <c r="D122" s="1797" t="s">
        <v>1855</v>
      </c>
      <c r="E122" s="1797"/>
      <c r="F122" s="1797"/>
      <c r="G122" s="229"/>
      <c r="H122" s="229"/>
      <c r="I122" s="229"/>
      <c r="J122" s="229"/>
      <c r="K122" s="229"/>
      <c r="L122" s="229"/>
      <c r="M122" s="229"/>
      <c r="N122" s="229"/>
      <c r="O122" s="229"/>
      <c r="P122" s="229"/>
      <c r="Q122" s="229"/>
      <c r="R122" s="229"/>
      <c r="S122" s="229"/>
      <c r="T122" s="229"/>
      <c r="U122" s="231"/>
    </row>
    <row r="123" spans="1:21">
      <c r="A123" s="229" t="s">
        <v>1856</v>
      </c>
      <c r="B123" s="238"/>
      <c r="C123" s="229"/>
      <c r="D123" s="1799" t="s">
        <v>1857</v>
      </c>
      <c r="E123" s="1726"/>
      <c r="F123" s="1726"/>
      <c r="G123" s="1726"/>
      <c r="H123" s="1726"/>
      <c r="I123" s="1726"/>
      <c r="J123" s="1726"/>
      <c r="K123" s="1726"/>
      <c r="L123" s="1726"/>
      <c r="M123" s="1726"/>
      <c r="N123" s="1726"/>
      <c r="O123" s="1726"/>
      <c r="P123" s="1726"/>
      <c r="Q123" s="1726"/>
      <c r="R123" s="1726"/>
      <c r="S123" s="1726"/>
      <c r="T123" s="229"/>
      <c r="U123" s="231"/>
    </row>
    <row r="124" spans="1:21" ht="12.75">
      <c r="A124" s="357" t="s">
        <v>1858</v>
      </c>
      <c r="B124" s="238"/>
      <c r="C124" s="357"/>
      <c r="D124" s="1726"/>
      <c r="E124" s="1726"/>
      <c r="F124" s="1726"/>
      <c r="G124" s="1726"/>
      <c r="H124" s="1726"/>
      <c r="I124" s="1726"/>
      <c r="J124" s="1726"/>
      <c r="K124" s="1726"/>
      <c r="L124" s="1726"/>
      <c r="M124" s="1726"/>
      <c r="N124" s="1726"/>
      <c r="O124" s="1726"/>
      <c r="P124" s="1726"/>
      <c r="Q124" s="1726"/>
      <c r="R124" s="1726"/>
      <c r="S124" s="1726"/>
      <c r="T124" s="229"/>
      <c r="U124" s="231"/>
    </row>
    <row r="125" spans="1:21" ht="12.75">
      <c r="A125" s="357" t="s">
        <v>1859</v>
      </c>
      <c r="B125" s="238"/>
      <c r="C125" s="357"/>
      <c r="D125" s="1726"/>
      <c r="E125" s="1726"/>
      <c r="F125" s="1726"/>
      <c r="G125" s="1726"/>
      <c r="H125" s="1726"/>
      <c r="I125" s="1726"/>
      <c r="J125" s="1726"/>
      <c r="K125" s="1726"/>
      <c r="L125" s="1726"/>
      <c r="M125" s="1726"/>
      <c r="N125" s="1726"/>
      <c r="O125" s="1726"/>
      <c r="P125" s="1726"/>
      <c r="Q125" s="1726"/>
      <c r="R125" s="1726"/>
      <c r="S125" s="1726"/>
      <c r="T125" s="229"/>
      <c r="U125" s="231"/>
    </row>
    <row r="126" spans="1:21" ht="12.75">
      <c r="A126" s="357" t="s">
        <v>1860</v>
      </c>
      <c r="B126" s="238"/>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1861</v>
      </c>
      <c r="B127" s="238"/>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1862</v>
      </c>
      <c r="B128" s="238"/>
      <c r="C128" s="357"/>
      <c r="D128" s="1794"/>
      <c r="E128" s="1794"/>
      <c r="F128" s="1794"/>
      <c r="G128" s="1794"/>
      <c r="H128" s="1794"/>
      <c r="I128" s="357"/>
      <c r="J128" s="1795"/>
      <c r="K128" s="1795"/>
      <c r="L128" s="357"/>
      <c r="M128" s="357"/>
      <c r="N128" s="357"/>
      <c r="O128" s="357"/>
      <c r="P128" s="357"/>
      <c r="Q128" s="357"/>
      <c r="R128" s="357"/>
      <c r="S128" s="357"/>
      <c r="T128" s="229"/>
      <c r="U128" s="231"/>
    </row>
    <row r="129" spans="1:21" ht="12.75">
      <c r="A129" s="357" t="s">
        <v>1050</v>
      </c>
      <c r="B129" s="238"/>
      <c r="C129" s="357"/>
      <c r="D129" s="1796" t="s">
        <v>1863</v>
      </c>
      <c r="E129" s="1796"/>
      <c r="F129" s="1796"/>
      <c r="G129" s="1796"/>
      <c r="H129" s="1796"/>
      <c r="I129" s="357"/>
      <c r="J129" s="357" t="s">
        <v>1864</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1865</v>
      </c>
      <c r="B131" s="239">
        <f>SUM(B123:B129)</f>
        <v>0</v>
      </c>
      <c r="C131" s="357"/>
      <c r="D131" s="1750"/>
      <c r="E131" s="1750"/>
      <c r="F131" s="1750"/>
      <c r="G131" s="1750"/>
      <c r="H131" s="1750"/>
      <c r="I131" s="357"/>
      <c r="J131" s="1750"/>
      <c r="K131" s="1750"/>
      <c r="L131" s="1750"/>
      <c r="M131" s="1750"/>
      <c r="N131" s="357"/>
      <c r="O131" s="357"/>
      <c r="P131" s="357"/>
      <c r="Q131" s="357"/>
      <c r="R131" s="357"/>
      <c r="S131" s="357"/>
      <c r="T131" s="229"/>
      <c r="U131" s="231"/>
    </row>
    <row r="132" spans="1:21" ht="12" customHeight="1">
      <c r="A132" s="1216"/>
      <c r="B132" s="357"/>
      <c r="C132" s="357"/>
      <c r="D132" s="1254" t="s">
        <v>1866</v>
      </c>
      <c r="E132" s="1254"/>
      <c r="F132" s="1254"/>
      <c r="G132" s="1254"/>
      <c r="H132" s="1254"/>
      <c r="I132" s="357"/>
      <c r="J132" s="1254" t="s">
        <v>1867</v>
      </c>
      <c r="K132" s="1254"/>
      <c r="L132" s="1254"/>
      <c r="M132" s="1254"/>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1868</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1869</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00"/>
      <c r="B138" s="1794"/>
      <c r="C138" s="1794"/>
      <c r="D138" s="233"/>
      <c r="E138" s="1795"/>
      <c r="F138" s="1795"/>
      <c r="G138" s="357"/>
      <c r="H138" s="357"/>
      <c r="I138" s="357"/>
      <c r="J138" s="357"/>
      <c r="K138" s="357"/>
      <c r="L138" s="357"/>
      <c r="M138" s="357"/>
      <c r="N138" s="357"/>
      <c r="O138" s="357"/>
      <c r="P138" s="357"/>
      <c r="Q138" s="357"/>
      <c r="R138" s="357"/>
      <c r="S138" s="357"/>
      <c r="T138" s="235"/>
      <c r="U138" s="236"/>
    </row>
    <row r="139" spans="1:21" ht="12.75">
      <c r="A139" s="1798" t="s">
        <v>1870</v>
      </c>
      <c r="B139" s="1798"/>
      <c r="C139" s="1798"/>
      <c r="D139" s="233"/>
      <c r="E139" s="357" t="s">
        <v>1864</v>
      </c>
      <c r="F139" s="357"/>
      <c r="G139" s="357"/>
      <c r="H139" s="357"/>
      <c r="I139" s="357"/>
      <c r="J139" s="357"/>
      <c r="K139" s="357"/>
      <c r="L139" s="357"/>
      <c r="M139" s="357"/>
      <c r="N139" s="357"/>
      <c r="O139" s="357"/>
      <c r="P139" s="357"/>
      <c r="Q139" s="357"/>
      <c r="R139" s="357"/>
      <c r="S139" s="357"/>
      <c r="T139" s="235"/>
      <c r="U139" s="236"/>
    </row>
    <row r="140" spans="1:21" ht="12.75">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H69" sqref="H69"/>
    </sheetView>
  </sheetViews>
  <sheetFormatPr defaultColWidth="0" defaultRowHeight="12"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75">
      <c r="A1" s="1803" t="s">
        <v>1871</v>
      </c>
      <c r="B1" s="1804"/>
      <c r="C1" s="1804"/>
      <c r="D1" s="1804"/>
      <c r="E1" s="1804"/>
      <c r="F1" s="1804"/>
      <c r="G1" s="1804"/>
      <c r="H1" s="1804"/>
      <c r="I1" s="1804"/>
      <c r="J1" s="1805"/>
      <c r="K1" s="258"/>
    </row>
    <row r="2" spans="1:11" s="304" customFormat="1" ht="72">
      <c r="A2" s="301"/>
      <c r="B2" s="302" t="s">
        <v>1872</v>
      </c>
      <c r="C2" s="302" t="s">
        <v>1873</v>
      </c>
      <c r="D2" s="302" t="s">
        <v>1874</v>
      </c>
      <c r="E2" s="302" t="s">
        <v>1875</v>
      </c>
      <c r="F2" s="302" t="s">
        <v>1876</v>
      </c>
      <c r="G2" s="302" t="s">
        <v>1877</v>
      </c>
      <c r="H2" s="302" t="s">
        <v>1878</v>
      </c>
      <c r="I2" s="302" t="s">
        <v>1879</v>
      </c>
      <c r="J2" s="302" t="s">
        <v>1880</v>
      </c>
      <c r="K2" s="303"/>
    </row>
    <row r="3" spans="1:11" s="263" customFormat="1">
      <c r="A3" s="260" t="s">
        <v>1754</v>
      </c>
      <c r="B3" s="261"/>
      <c r="C3" s="261"/>
      <c r="D3" s="261"/>
      <c r="E3" s="261"/>
      <c r="F3" s="261"/>
      <c r="G3" s="261"/>
      <c r="H3" s="261"/>
      <c r="I3" s="261"/>
      <c r="J3" s="261"/>
      <c r="K3" s="262"/>
    </row>
    <row r="4" spans="1:11" s="263" customFormat="1">
      <c r="A4" s="267" t="s">
        <v>1755</v>
      </c>
      <c r="B4" s="264">
        <f>'Sources and Uses Budget'!C4</f>
        <v>4500000</v>
      </c>
      <c r="C4" s="265">
        <v>4500000</v>
      </c>
      <c r="D4" s="265"/>
      <c r="E4" s="266"/>
      <c r="F4" s="266"/>
      <c r="G4" s="266"/>
      <c r="H4" s="266"/>
      <c r="I4" s="266"/>
      <c r="J4" s="266"/>
      <c r="K4" s="262"/>
    </row>
    <row r="5" spans="1:11" s="263" customFormat="1">
      <c r="A5" s="267" t="s">
        <v>688</v>
      </c>
      <c r="B5" s="264">
        <f>'Sources and Uses Budget'!C5</f>
        <v>0</v>
      </c>
      <c r="C5" s="265"/>
      <c r="D5" s="265"/>
      <c r="E5" s="266"/>
      <c r="F5" s="266"/>
      <c r="G5" s="266"/>
      <c r="H5" s="266"/>
      <c r="I5" s="266"/>
      <c r="J5" s="266"/>
      <c r="K5" s="262"/>
    </row>
    <row r="6" spans="1:11" s="263" customFormat="1">
      <c r="A6" s="267" t="s">
        <v>1756</v>
      </c>
      <c r="B6" s="264">
        <f>'Sources and Uses Budget'!C6</f>
        <v>9675</v>
      </c>
      <c r="C6" s="265">
        <v>9675</v>
      </c>
      <c r="D6" s="265"/>
      <c r="E6" s="266"/>
      <c r="F6" s="266"/>
      <c r="G6" s="266"/>
      <c r="H6" s="266"/>
      <c r="I6" s="266"/>
      <c r="J6" s="266"/>
      <c r="K6" s="262"/>
    </row>
    <row r="7" spans="1:11" s="263" customFormat="1">
      <c r="A7" s="267" t="s">
        <v>1757</v>
      </c>
      <c r="B7" s="264">
        <f>'Sources and Uses Budget'!C7</f>
        <v>0</v>
      </c>
      <c r="C7" s="265"/>
      <c r="D7" s="265"/>
      <c r="E7" s="266"/>
      <c r="F7" s="266"/>
      <c r="G7" s="266"/>
      <c r="H7" s="266"/>
      <c r="I7" s="266"/>
      <c r="J7" s="266"/>
      <c r="K7" s="262"/>
    </row>
    <row r="8" spans="1:11" s="263" customFormat="1">
      <c r="A8" s="268" t="s">
        <v>1758</v>
      </c>
      <c r="B8" s="264">
        <f>'Sources and Uses Budget'!C8</f>
        <v>4509675</v>
      </c>
      <c r="C8" s="264">
        <f>SUM(C4:C7)</f>
        <v>4509675</v>
      </c>
      <c r="D8" s="264">
        <f>SUM(D4:D7)</f>
        <v>0</v>
      </c>
      <c r="E8" s="266"/>
      <c r="F8" s="266"/>
      <c r="G8" s="266"/>
      <c r="H8" s="266"/>
      <c r="I8" s="266"/>
      <c r="J8" s="266"/>
      <c r="K8" s="262"/>
    </row>
    <row r="9" spans="1:11" s="263" customFormat="1">
      <c r="A9" s="267" t="s">
        <v>1759</v>
      </c>
      <c r="B9" s="264">
        <f>'Sources and Uses Budget'!C9</f>
        <v>0</v>
      </c>
      <c r="C9" s="265"/>
      <c r="D9" s="265"/>
      <c r="E9" s="266"/>
      <c r="F9" s="266"/>
      <c r="G9" s="266"/>
      <c r="H9" s="264">
        <f>'Sources and Uses Budget'!T9</f>
        <v>0</v>
      </c>
      <c r="I9" s="265"/>
      <c r="J9" s="265"/>
      <c r="K9" s="262"/>
    </row>
    <row r="10" spans="1:11" s="263" customFormat="1">
      <c r="A10" s="267" t="s">
        <v>1760</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1761</v>
      </c>
      <c r="B11" s="264">
        <f>'Sources and Uses Budget'!C11</f>
        <v>0</v>
      </c>
      <c r="C11" s="264">
        <f>SUM(C9:C10)</f>
        <v>0</v>
      </c>
      <c r="D11" s="264">
        <f>SUM(D9:D10)</f>
        <v>0</v>
      </c>
      <c r="E11" s="266"/>
      <c r="F11" s="266"/>
      <c r="G11" s="266"/>
      <c r="H11" s="264">
        <f>'Sources and Uses Budget'!T11</f>
        <v>0</v>
      </c>
      <c r="I11" s="264">
        <f>SUM(I9:I10)</f>
        <v>0</v>
      </c>
      <c r="J11" s="264">
        <f>SUM(J9:J10)</f>
        <v>0</v>
      </c>
      <c r="K11" s="262"/>
    </row>
    <row r="12" spans="1:11" s="263" customFormat="1">
      <c r="A12" s="268" t="s">
        <v>1762</v>
      </c>
      <c r="B12" s="264">
        <f>'Sources and Uses Budget'!C12</f>
        <v>4509675</v>
      </c>
      <c r="C12" s="264">
        <f>SUM(C8+C11)</f>
        <v>4509675</v>
      </c>
      <c r="D12" s="264">
        <f>SUM(D8+D11)</f>
        <v>0</v>
      </c>
      <c r="E12" s="266"/>
      <c r="F12" s="266"/>
      <c r="G12" s="266"/>
      <c r="H12" s="266"/>
      <c r="I12" s="266"/>
      <c r="J12" s="266"/>
      <c r="K12" s="262"/>
    </row>
    <row r="13" spans="1:11" s="263" customFormat="1">
      <c r="A13" s="269" t="s">
        <v>1763</v>
      </c>
      <c r="B13" s="264">
        <f>'Sources and Uses Budget'!C13</f>
        <v>118333</v>
      </c>
      <c r="C13" s="265">
        <v>118333</v>
      </c>
      <c r="D13" s="265"/>
      <c r="E13" s="264">
        <f>'Sources and Uses Budget'!S13</f>
        <v>0</v>
      </c>
      <c r="F13" s="265">
        <v>0</v>
      </c>
      <c r="G13" s="265"/>
      <c r="H13" s="264">
        <f>'Sources and Uses Budget'!T13</f>
        <v>0</v>
      </c>
      <c r="I13" s="265"/>
      <c r="J13" s="265"/>
      <c r="K13" s="262"/>
    </row>
    <row r="14" spans="1:11" s="263" customFormat="1" ht="24">
      <c r="A14" s="267" t="s">
        <v>1881</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1765</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1766</v>
      </c>
      <c r="B16" s="261"/>
      <c r="C16" s="261"/>
      <c r="D16" s="261"/>
      <c r="E16" s="261"/>
      <c r="F16" s="261"/>
      <c r="G16" s="261"/>
      <c r="H16" s="261"/>
      <c r="I16" s="261"/>
      <c r="J16" s="261"/>
      <c r="K16" s="262"/>
    </row>
    <row r="17" spans="1:11" s="263" customFormat="1">
      <c r="A17" s="267" t="s">
        <v>1767</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1768</v>
      </c>
      <c r="B18" s="264">
        <f>'Sources and Uses Budget'!C18</f>
        <v>0</v>
      </c>
      <c r="C18" s="265"/>
      <c r="D18" s="265">
        <v>0</v>
      </c>
      <c r="E18" s="264">
        <f>'Sources and Uses Budget'!S18</f>
        <v>0</v>
      </c>
      <c r="F18" s="265"/>
      <c r="G18" s="265"/>
      <c r="H18" s="264">
        <f>'Sources and Uses Budget'!T18</f>
        <v>0</v>
      </c>
      <c r="I18" s="265"/>
      <c r="J18" s="265"/>
      <c r="K18" s="262"/>
    </row>
    <row r="19" spans="1:11" s="263" customFormat="1">
      <c r="A19" s="267" t="s">
        <v>1769</v>
      </c>
      <c r="B19" s="264">
        <f>'Sources and Uses Budget'!C19</f>
        <v>0</v>
      </c>
      <c r="C19" s="265"/>
      <c r="D19" s="265">
        <v>0</v>
      </c>
      <c r="E19" s="264">
        <f>'Sources and Uses Budget'!S19</f>
        <v>0</v>
      </c>
      <c r="F19" s="265"/>
      <c r="G19" s="265"/>
      <c r="H19" s="264">
        <f>'Sources and Uses Budget'!T19</f>
        <v>0</v>
      </c>
      <c r="I19" s="265"/>
      <c r="J19" s="265"/>
      <c r="K19" s="262"/>
    </row>
    <row r="20" spans="1:11" s="263" customFormat="1">
      <c r="A20" s="267" t="s">
        <v>1770</v>
      </c>
      <c r="B20" s="264">
        <f>'Sources and Uses Budget'!C20</f>
        <v>0</v>
      </c>
      <c r="C20" s="265"/>
      <c r="D20" s="265">
        <v>0</v>
      </c>
      <c r="E20" s="264">
        <f>'Sources and Uses Budget'!S20</f>
        <v>0</v>
      </c>
      <c r="F20" s="265"/>
      <c r="G20" s="265"/>
      <c r="H20" s="264">
        <f>'Sources and Uses Budget'!T20</f>
        <v>0</v>
      </c>
      <c r="I20" s="265"/>
      <c r="J20" s="265"/>
      <c r="K20" s="262"/>
    </row>
    <row r="21" spans="1:11" s="263" customFormat="1">
      <c r="A21" s="267" t="s">
        <v>1771</v>
      </c>
      <c r="B21" s="264">
        <f>'Sources and Uses Budget'!C21</f>
        <v>0</v>
      </c>
      <c r="C21" s="265"/>
      <c r="D21" s="265">
        <v>0</v>
      </c>
      <c r="E21" s="264">
        <f>'Sources and Uses Budget'!S21</f>
        <v>0</v>
      </c>
      <c r="F21" s="265"/>
      <c r="G21" s="265"/>
      <c r="H21" s="264">
        <f>'Sources and Uses Budget'!T21</f>
        <v>0</v>
      </c>
      <c r="I21" s="265"/>
      <c r="J21" s="265"/>
      <c r="K21" s="262"/>
    </row>
    <row r="22" spans="1:11" s="263" customFormat="1">
      <c r="A22" s="267" t="s">
        <v>1772</v>
      </c>
      <c r="B22" s="264">
        <f>'Sources and Uses Budget'!C22</f>
        <v>0</v>
      </c>
      <c r="C22" s="265"/>
      <c r="D22" s="265">
        <v>0</v>
      </c>
      <c r="E22" s="264">
        <f>'Sources and Uses Budget'!S22</f>
        <v>0</v>
      </c>
      <c r="F22" s="265"/>
      <c r="G22" s="265"/>
      <c r="H22" s="264">
        <f>'Sources and Uses Budget'!T22</f>
        <v>0</v>
      </c>
      <c r="I22" s="265"/>
      <c r="J22" s="265"/>
      <c r="K22" s="262"/>
    </row>
    <row r="23" spans="1:11" s="263" customFormat="1">
      <c r="A23" s="267" t="s">
        <v>1773</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1774</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f>'Sources and Uses Budget'!$A25</f>
        <v>0</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1775</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1776</v>
      </c>
      <c r="B27" s="264">
        <f>'Sources and Uses Budget'!C27</f>
        <v>0</v>
      </c>
      <c r="C27" s="265"/>
      <c r="D27" s="265"/>
      <c r="E27" s="264">
        <f>'Sources and Uses Budget'!S27</f>
        <v>0</v>
      </c>
      <c r="F27" s="265"/>
      <c r="G27" s="265"/>
      <c r="H27" s="264">
        <f>'Sources and Uses Budget'!T27</f>
        <v>0</v>
      </c>
      <c r="I27" s="265"/>
      <c r="J27" s="265"/>
      <c r="K27" s="262"/>
    </row>
    <row r="28" spans="1:11" s="263" customFormat="1">
      <c r="A28" s="260" t="s">
        <v>1777</v>
      </c>
      <c r="B28" s="261"/>
      <c r="C28" s="261"/>
      <c r="D28" s="261"/>
      <c r="E28" s="261"/>
      <c r="F28" s="261"/>
      <c r="G28" s="261"/>
      <c r="H28" s="261"/>
      <c r="I28" s="261"/>
      <c r="J28" s="261"/>
      <c r="K28" s="262"/>
    </row>
    <row r="29" spans="1:11" s="263" customFormat="1">
      <c r="A29" s="195" t="s">
        <v>1767</v>
      </c>
      <c r="B29" s="264">
        <f>'Sources and Uses Budget'!C29</f>
        <v>7993382</v>
      </c>
      <c r="C29" s="265">
        <f>B29</f>
        <v>7993382</v>
      </c>
      <c r="D29" s="265"/>
      <c r="E29" s="264">
        <f>'Sources and Uses Budget'!S29</f>
        <v>7993382</v>
      </c>
      <c r="F29" s="265">
        <f>C29</f>
        <v>7993382</v>
      </c>
      <c r="G29" s="265"/>
      <c r="H29" s="264">
        <f>'Sources and Uses Budget'!T29</f>
        <v>0</v>
      </c>
      <c r="I29" s="265"/>
      <c r="J29" s="265"/>
      <c r="K29" s="262"/>
    </row>
    <row r="30" spans="1:11" s="263" customFormat="1">
      <c r="A30" s="195" t="s">
        <v>1768</v>
      </c>
      <c r="B30" s="264">
        <f>'Sources and Uses Budget'!C30</f>
        <v>34069614</v>
      </c>
      <c r="C30" s="265">
        <f t="shared" ref="C30:C37" si="0">B30</f>
        <v>34069614</v>
      </c>
      <c r="D30" s="265"/>
      <c r="E30" s="264">
        <f>'Sources and Uses Budget'!S30</f>
        <v>34069614</v>
      </c>
      <c r="F30" s="265">
        <f t="shared" ref="F30:F37" si="1">C30</f>
        <v>34069614</v>
      </c>
      <c r="G30" s="265"/>
      <c r="H30" s="264">
        <f>'Sources and Uses Budget'!T30</f>
        <v>0</v>
      </c>
      <c r="I30" s="265"/>
      <c r="J30" s="265"/>
      <c r="K30" s="262"/>
    </row>
    <row r="31" spans="1:11" s="263" customFormat="1">
      <c r="A31" s="195" t="s">
        <v>1769</v>
      </c>
      <c r="B31" s="264">
        <f>'Sources and Uses Budget'!C31</f>
        <v>2511000</v>
      </c>
      <c r="C31" s="265">
        <f t="shared" si="0"/>
        <v>2511000</v>
      </c>
      <c r="D31" s="265"/>
      <c r="E31" s="264">
        <f>'Sources and Uses Budget'!S31</f>
        <v>2511000</v>
      </c>
      <c r="F31" s="265">
        <f t="shared" si="1"/>
        <v>2511000</v>
      </c>
      <c r="G31" s="265"/>
      <c r="H31" s="264">
        <f>'Sources and Uses Budget'!T31</f>
        <v>0</v>
      </c>
      <c r="I31" s="265"/>
      <c r="J31" s="265"/>
      <c r="K31" s="262"/>
    </row>
    <row r="32" spans="1:11" s="263" customFormat="1">
      <c r="A32" s="195" t="s">
        <v>1770</v>
      </c>
      <c r="B32" s="264">
        <f>'Sources and Uses Budget'!C32</f>
        <v>1182753</v>
      </c>
      <c r="C32" s="265">
        <f t="shared" si="0"/>
        <v>1182753</v>
      </c>
      <c r="D32" s="265"/>
      <c r="E32" s="264">
        <f>'Sources and Uses Budget'!S32</f>
        <v>1182753</v>
      </c>
      <c r="F32" s="265">
        <f t="shared" si="1"/>
        <v>1182753</v>
      </c>
      <c r="G32" s="265"/>
      <c r="H32" s="264">
        <f>'Sources and Uses Budget'!T32</f>
        <v>0</v>
      </c>
      <c r="I32" s="265"/>
      <c r="J32" s="265"/>
      <c r="K32" s="262"/>
    </row>
    <row r="33" spans="1:11" s="263" customFormat="1">
      <c r="A33" s="195" t="s">
        <v>1771</v>
      </c>
      <c r="B33" s="264">
        <f>'Sources and Uses Budget'!C33</f>
        <v>557756</v>
      </c>
      <c r="C33" s="265">
        <f t="shared" si="0"/>
        <v>557756</v>
      </c>
      <c r="D33" s="265"/>
      <c r="E33" s="264">
        <f>'Sources and Uses Budget'!S33</f>
        <v>557756</v>
      </c>
      <c r="F33" s="265">
        <f t="shared" si="1"/>
        <v>557756</v>
      </c>
      <c r="G33" s="265"/>
      <c r="H33" s="264">
        <f>'Sources and Uses Budget'!T33</f>
        <v>0</v>
      </c>
      <c r="I33" s="265"/>
      <c r="J33" s="265"/>
      <c r="K33" s="262"/>
    </row>
    <row r="34" spans="1:11" s="263" customFormat="1">
      <c r="A34" s="195" t="s">
        <v>1772</v>
      </c>
      <c r="B34" s="264">
        <f>'Sources and Uses Budget'!C34</f>
        <v>0</v>
      </c>
      <c r="C34" s="265">
        <f t="shared" si="0"/>
        <v>0</v>
      </c>
      <c r="D34" s="265"/>
      <c r="E34" s="264">
        <f>'Sources and Uses Budget'!S34</f>
        <v>0</v>
      </c>
      <c r="F34" s="265">
        <f t="shared" si="1"/>
        <v>0</v>
      </c>
      <c r="G34" s="265"/>
      <c r="H34" s="264">
        <f>'Sources and Uses Budget'!T34</f>
        <v>0</v>
      </c>
      <c r="I34" s="265"/>
      <c r="J34" s="265"/>
      <c r="K34" s="262"/>
    </row>
    <row r="35" spans="1:11" s="263" customFormat="1">
      <c r="A35" s="195" t="s">
        <v>1773</v>
      </c>
      <c r="B35" s="264">
        <f>'Sources and Uses Budget'!C35</f>
        <v>211942</v>
      </c>
      <c r="C35" s="265">
        <f t="shared" si="0"/>
        <v>211942</v>
      </c>
      <c r="D35" s="265"/>
      <c r="E35" s="264">
        <f>'Sources and Uses Budget'!S35</f>
        <v>211942</v>
      </c>
      <c r="F35" s="265">
        <f t="shared" si="1"/>
        <v>211942</v>
      </c>
      <c r="G35" s="265"/>
      <c r="H35" s="264">
        <f>'Sources and Uses Budget'!T35</f>
        <v>0</v>
      </c>
      <c r="I35" s="265"/>
      <c r="J35" s="265"/>
      <c r="K35" s="262"/>
    </row>
    <row r="36" spans="1:11" s="263" customFormat="1">
      <c r="A36" s="409" t="s">
        <v>1774</v>
      </c>
      <c r="B36" s="264">
        <f>'Sources and Uses Budget'!C36</f>
        <v>0</v>
      </c>
      <c r="C36" s="265">
        <f t="shared" si="0"/>
        <v>0</v>
      </c>
      <c r="D36" s="265"/>
      <c r="E36" s="264">
        <f>'Sources and Uses Budget'!S36</f>
        <v>0</v>
      </c>
      <c r="F36" s="265">
        <f t="shared" si="1"/>
        <v>0</v>
      </c>
      <c r="G36" s="265"/>
      <c r="H36" s="264">
        <f>'Sources and Uses Budget'!T36</f>
        <v>0</v>
      </c>
      <c r="I36" s="265"/>
      <c r="J36" s="265"/>
      <c r="K36" s="262"/>
    </row>
    <row r="37" spans="1:11" s="263" customFormat="1">
      <c r="A37" s="267" t="str">
        <f>'Sources and Uses Budget'!$A37</f>
        <v>Off-Site Public Improvements</v>
      </c>
      <c r="B37" s="264">
        <f>'Sources and Uses Budget'!C37</f>
        <v>1535120</v>
      </c>
      <c r="C37" s="265">
        <f t="shared" si="0"/>
        <v>1535120</v>
      </c>
      <c r="D37" s="265"/>
      <c r="E37" s="264">
        <f>'Sources and Uses Budget'!S37</f>
        <v>1535120</v>
      </c>
      <c r="F37" s="265">
        <f t="shared" si="1"/>
        <v>1535120</v>
      </c>
      <c r="G37" s="265"/>
      <c r="H37" s="264">
        <f>'Sources and Uses Budget'!T37</f>
        <v>0</v>
      </c>
      <c r="I37" s="265"/>
      <c r="J37" s="265"/>
      <c r="K37" s="262"/>
    </row>
    <row r="38" spans="1:11" s="263" customFormat="1">
      <c r="A38" s="268" t="s">
        <v>1779</v>
      </c>
      <c r="B38" s="264">
        <f>'Sources and Uses Budget'!C38</f>
        <v>48061567</v>
      </c>
      <c r="C38" s="264">
        <f>SUM(C29:C37)</f>
        <v>48061567</v>
      </c>
      <c r="D38" s="264">
        <f>SUM(D29:D37)</f>
        <v>0</v>
      </c>
      <c r="E38" s="264">
        <f>'Sources and Uses Budget'!S38</f>
        <v>48061567</v>
      </c>
      <c r="F38" s="270">
        <f>SUM(F29:F37)</f>
        <v>48061567</v>
      </c>
      <c r="G38" s="270">
        <f>SUM(G29:G37)</f>
        <v>0</v>
      </c>
      <c r="H38" s="264">
        <f>'Sources and Uses Budget'!T38</f>
        <v>0</v>
      </c>
      <c r="I38" s="270">
        <f>SUM(I29:I37)</f>
        <v>0</v>
      </c>
      <c r="J38" s="270">
        <f>SUM(J29:J37)</f>
        <v>0</v>
      </c>
      <c r="K38" s="262"/>
    </row>
    <row r="39" spans="1:11" s="263" customFormat="1">
      <c r="A39" s="260" t="s">
        <v>1780</v>
      </c>
      <c r="B39" s="261"/>
      <c r="C39" s="261"/>
      <c r="D39" s="261"/>
      <c r="E39" s="261"/>
      <c r="F39" s="261"/>
      <c r="G39" s="261"/>
      <c r="H39" s="261"/>
      <c r="I39" s="261"/>
      <c r="J39" s="261"/>
      <c r="K39" s="262"/>
    </row>
    <row r="40" spans="1:11" s="263" customFormat="1">
      <c r="A40" s="267" t="s">
        <v>1781</v>
      </c>
      <c r="B40" s="264">
        <f>'Sources and Uses Budget'!C40</f>
        <v>1015830</v>
      </c>
      <c r="C40" s="265">
        <f>B40</f>
        <v>1015830</v>
      </c>
      <c r="D40" s="265"/>
      <c r="E40" s="264">
        <f>'Sources and Uses Budget'!S40</f>
        <v>1015830</v>
      </c>
      <c r="F40" s="265">
        <f>C40</f>
        <v>1015830</v>
      </c>
      <c r="G40" s="265"/>
      <c r="H40" s="264">
        <f>'Sources and Uses Budget'!T40</f>
        <v>0</v>
      </c>
      <c r="I40" s="265"/>
      <c r="J40" s="265"/>
      <c r="K40" s="262"/>
    </row>
    <row r="41" spans="1:11" s="263" customFormat="1">
      <c r="A41" s="267" t="s">
        <v>1782</v>
      </c>
      <c r="B41" s="264">
        <f>'Sources and Uses Budget'!C41</f>
        <v>666515</v>
      </c>
      <c r="C41" s="265">
        <f>B41</f>
        <v>666515</v>
      </c>
      <c r="D41" s="265"/>
      <c r="E41" s="264">
        <f>'Sources and Uses Budget'!S41</f>
        <v>666515</v>
      </c>
      <c r="F41" s="265">
        <f>C41</f>
        <v>666515</v>
      </c>
      <c r="G41" s="265"/>
      <c r="H41" s="264">
        <f>'Sources and Uses Budget'!T41</f>
        <v>0</v>
      </c>
      <c r="I41" s="265"/>
      <c r="J41" s="265"/>
      <c r="K41" s="262"/>
    </row>
    <row r="42" spans="1:11" s="263" customFormat="1">
      <c r="A42" s="268" t="s">
        <v>1783</v>
      </c>
      <c r="B42" s="264">
        <f>'Sources and Uses Budget'!C42</f>
        <v>1682345</v>
      </c>
      <c r="C42" s="264">
        <f>SUM(C39:C41)</f>
        <v>1682345</v>
      </c>
      <c r="D42" s="264">
        <f>SUM(D39:D41)</f>
        <v>0</v>
      </c>
      <c r="E42" s="264">
        <f>'Sources and Uses Budget'!S42</f>
        <v>1682345</v>
      </c>
      <c r="F42" s="270">
        <f>SUM(F40:F41)</f>
        <v>1682345</v>
      </c>
      <c r="G42" s="270">
        <f>SUM(G40:G41)</f>
        <v>0</v>
      </c>
      <c r="H42" s="264">
        <f>'Sources and Uses Budget'!T42</f>
        <v>0</v>
      </c>
      <c r="I42" s="270">
        <f>SUM(I40:I41)</f>
        <v>0</v>
      </c>
      <c r="J42" s="270">
        <f>SUM(J40:J41)</f>
        <v>0</v>
      </c>
      <c r="K42" s="262"/>
    </row>
    <row r="43" spans="1:11" s="263" customFormat="1">
      <c r="A43" s="268" t="s">
        <v>1784</v>
      </c>
      <c r="B43" s="264">
        <f>'Sources and Uses Budget'!C43</f>
        <v>0</v>
      </c>
      <c r="C43" s="265"/>
      <c r="D43" s="265"/>
      <c r="E43" s="264">
        <f>'Sources and Uses Budget'!S43</f>
        <v>0</v>
      </c>
      <c r="F43" s="265"/>
      <c r="G43" s="265"/>
      <c r="H43" s="264">
        <f>'Sources and Uses Budget'!T43</f>
        <v>0</v>
      </c>
      <c r="I43" s="265"/>
      <c r="J43" s="265"/>
      <c r="K43" s="262"/>
    </row>
    <row r="44" spans="1:11" s="263" customFormat="1">
      <c r="A44" s="260" t="s">
        <v>1785</v>
      </c>
      <c r="B44" s="261"/>
      <c r="C44" s="261"/>
      <c r="D44" s="261"/>
      <c r="E44" s="261"/>
      <c r="F44" s="261"/>
      <c r="G44" s="261"/>
      <c r="H44" s="261"/>
      <c r="I44" s="261"/>
      <c r="J44" s="261"/>
      <c r="K44" s="262"/>
    </row>
    <row r="45" spans="1:11" s="263" customFormat="1">
      <c r="A45" s="267" t="s">
        <v>1786</v>
      </c>
      <c r="B45" s="264">
        <f>'Sources and Uses Budget'!C45</f>
        <v>4515097</v>
      </c>
      <c r="C45" s="265">
        <f>B45</f>
        <v>4515097</v>
      </c>
      <c r="D45" s="265"/>
      <c r="E45" s="264">
        <f>'Sources and Uses Budget'!S45</f>
        <v>4158285</v>
      </c>
      <c r="F45" s="265">
        <v>4158285</v>
      </c>
      <c r="G45" s="265"/>
      <c r="H45" s="264">
        <f>'Sources and Uses Budget'!T45</f>
        <v>0</v>
      </c>
      <c r="I45" s="265"/>
      <c r="J45" s="265"/>
      <c r="K45" s="262"/>
    </row>
    <row r="46" spans="1:11" s="263" customFormat="1">
      <c r="A46" s="267" t="s">
        <v>1787</v>
      </c>
      <c r="B46" s="264">
        <f>'Sources and Uses Budget'!C46</f>
        <v>680876</v>
      </c>
      <c r="C46" s="265">
        <f t="shared" ref="C46:C53" si="2">B46</f>
        <v>680876</v>
      </c>
      <c r="D46" s="265"/>
      <c r="E46" s="264">
        <f>'Sources and Uses Budget'!S46</f>
        <v>680876</v>
      </c>
      <c r="F46" s="265">
        <f t="shared" ref="F46:F53" si="3">B46</f>
        <v>680876</v>
      </c>
      <c r="G46" s="265"/>
      <c r="H46" s="264">
        <f>'Sources and Uses Budget'!T46</f>
        <v>0</v>
      </c>
      <c r="I46" s="265"/>
      <c r="J46" s="265"/>
      <c r="K46" s="262"/>
    </row>
    <row r="47" spans="1:11" s="263" customFormat="1" ht="12" customHeight="1">
      <c r="A47" s="267" t="s">
        <v>1788</v>
      </c>
      <c r="B47" s="264">
        <f>'Sources and Uses Budget'!C47</f>
        <v>415167</v>
      </c>
      <c r="C47" s="265">
        <f t="shared" si="2"/>
        <v>415167</v>
      </c>
      <c r="D47" s="265"/>
      <c r="E47" s="264">
        <f>'Sources and Uses Budget'!S47</f>
        <v>415167</v>
      </c>
      <c r="F47" s="265">
        <f t="shared" si="3"/>
        <v>415167</v>
      </c>
      <c r="G47" s="265"/>
      <c r="H47" s="264">
        <f>'Sources and Uses Budget'!T47</f>
        <v>0</v>
      </c>
      <c r="I47" s="265"/>
      <c r="J47" s="265"/>
      <c r="K47" s="262"/>
    </row>
    <row r="48" spans="1:11" s="263" customFormat="1">
      <c r="A48" s="267" t="s">
        <v>1789</v>
      </c>
      <c r="B48" s="264">
        <f>'Sources and Uses Budget'!C48</f>
        <v>0</v>
      </c>
      <c r="C48" s="265">
        <f t="shared" si="2"/>
        <v>0</v>
      </c>
      <c r="D48" s="265"/>
      <c r="E48" s="264">
        <f>'Sources and Uses Budget'!S48</f>
        <v>0</v>
      </c>
      <c r="F48" s="265">
        <f t="shared" si="3"/>
        <v>0</v>
      </c>
      <c r="G48" s="265"/>
      <c r="H48" s="264">
        <f>'Sources and Uses Budget'!T48</f>
        <v>0</v>
      </c>
      <c r="I48" s="265"/>
      <c r="J48" s="265"/>
      <c r="K48" s="262"/>
    </row>
    <row r="49" spans="1:11" s="263" customFormat="1">
      <c r="A49" s="195" t="s">
        <v>1790</v>
      </c>
      <c r="B49" s="264">
        <f>'Sources and Uses Budget'!C49</f>
        <v>247977</v>
      </c>
      <c r="C49" s="265">
        <f t="shared" si="2"/>
        <v>247977</v>
      </c>
      <c r="D49" s="265"/>
      <c r="E49" s="264">
        <f>'Sources and Uses Budget'!S49</f>
        <v>247977</v>
      </c>
      <c r="F49" s="265">
        <f>C49</f>
        <v>247977</v>
      </c>
      <c r="G49" s="265"/>
      <c r="H49" s="264">
        <f>'Sources and Uses Budget'!T49</f>
        <v>0</v>
      </c>
      <c r="I49" s="265"/>
      <c r="J49" s="265"/>
      <c r="K49" s="262"/>
    </row>
    <row r="50" spans="1:11" s="263" customFormat="1">
      <c r="A50" s="267" t="s">
        <v>1791</v>
      </c>
      <c r="B50" s="264">
        <f>'Sources and Uses Budget'!C50</f>
        <v>272742</v>
      </c>
      <c r="C50" s="265">
        <f t="shared" si="2"/>
        <v>272742</v>
      </c>
      <c r="D50" s="265"/>
      <c r="E50" s="264">
        <f>'Sources and Uses Budget'!S50</f>
        <v>272742</v>
      </c>
      <c r="F50" s="265">
        <f>C50</f>
        <v>272742</v>
      </c>
      <c r="G50" s="265"/>
      <c r="H50" s="264">
        <f>'Sources and Uses Budget'!T50</f>
        <v>0</v>
      </c>
      <c r="I50" s="265"/>
      <c r="J50" s="265"/>
      <c r="K50" s="262"/>
    </row>
    <row r="51" spans="1:11" s="263" customFormat="1">
      <c r="A51" s="267" t="s">
        <v>1792</v>
      </c>
      <c r="B51" s="264">
        <f>'Sources and Uses Budget'!C51</f>
        <v>137188</v>
      </c>
      <c r="C51" s="265">
        <f t="shared" si="2"/>
        <v>137188</v>
      </c>
      <c r="D51" s="265"/>
      <c r="E51" s="264">
        <f>'Sources and Uses Budget'!S51</f>
        <v>137188</v>
      </c>
      <c r="F51" s="265">
        <f t="shared" si="3"/>
        <v>137188</v>
      </c>
      <c r="G51" s="265"/>
      <c r="H51" s="264">
        <f>'Sources and Uses Budget'!T51</f>
        <v>0</v>
      </c>
      <c r="I51" s="265"/>
      <c r="J51" s="265"/>
      <c r="K51" s="262"/>
    </row>
    <row r="52" spans="1:11" s="263" customFormat="1">
      <c r="A52" s="267" t="s">
        <v>1793</v>
      </c>
      <c r="B52" s="264">
        <f>'Sources and Uses Budget'!C52</f>
        <v>1382190</v>
      </c>
      <c r="C52" s="265">
        <f t="shared" si="2"/>
        <v>1382190</v>
      </c>
      <c r="D52" s="265"/>
      <c r="E52" s="264">
        <f>'Sources and Uses Budget'!S52</f>
        <v>1382190</v>
      </c>
      <c r="F52" s="265">
        <f t="shared" si="3"/>
        <v>1382190</v>
      </c>
      <c r="G52" s="265"/>
      <c r="H52" s="264">
        <f>'Sources and Uses Budget'!T52</f>
        <v>0</v>
      </c>
      <c r="I52" s="265"/>
      <c r="J52" s="265"/>
      <c r="K52" s="262"/>
    </row>
    <row r="53" spans="1:11" s="263" customFormat="1">
      <c r="A53" s="267" t="str">
        <f>'Sources and Uses Budget'!$A53</f>
        <v>Interest Rate Cap</v>
      </c>
      <c r="B53" s="264">
        <f>'Sources and Uses Budget'!C53</f>
        <v>3500000</v>
      </c>
      <c r="C53" s="265">
        <f t="shared" si="2"/>
        <v>3500000</v>
      </c>
      <c r="D53" s="265"/>
      <c r="E53" s="264">
        <f>'Sources and Uses Budget'!S53</f>
        <v>3500000</v>
      </c>
      <c r="F53" s="265">
        <f t="shared" si="3"/>
        <v>3500000</v>
      </c>
      <c r="G53" s="265"/>
      <c r="H53" s="264">
        <f>'Sources and Uses Budget'!T53</f>
        <v>0</v>
      </c>
      <c r="I53" s="265"/>
      <c r="J53" s="265"/>
      <c r="K53" s="262"/>
    </row>
    <row r="54" spans="1:11" s="272" customFormat="1">
      <c r="A54" s="268" t="s">
        <v>1795</v>
      </c>
      <c r="B54" s="264">
        <f>'Sources and Uses Budget'!C54</f>
        <v>11151237</v>
      </c>
      <c r="C54" s="270">
        <f>SUM(C45:C53)</f>
        <v>11151237</v>
      </c>
      <c r="D54" s="270">
        <f>SUM(D45:D53)</f>
        <v>0</v>
      </c>
      <c r="E54" s="264">
        <f>'Sources and Uses Budget'!S54</f>
        <v>10794425</v>
      </c>
      <c r="F54" s="270">
        <f>SUM(F45:F53)</f>
        <v>10794425</v>
      </c>
      <c r="G54" s="270">
        <f>SUM(G45:G53)</f>
        <v>0</v>
      </c>
      <c r="H54" s="264">
        <f>'Sources and Uses Budget'!T54</f>
        <v>0</v>
      </c>
      <c r="I54" s="270">
        <f>SUM(I45:I53)</f>
        <v>0</v>
      </c>
      <c r="J54" s="270">
        <f>SUM(J45:J53)</f>
        <v>0</v>
      </c>
      <c r="K54" s="271"/>
    </row>
    <row r="55" spans="1:11" s="263" customFormat="1">
      <c r="A55" s="260" t="s">
        <v>1360</v>
      </c>
      <c r="B55" s="261"/>
      <c r="C55" s="261"/>
      <c r="D55" s="261"/>
      <c r="E55" s="261"/>
      <c r="F55" s="261"/>
      <c r="G55" s="261"/>
      <c r="H55" s="261"/>
      <c r="I55" s="261"/>
      <c r="J55" s="261"/>
      <c r="K55" s="262"/>
    </row>
    <row r="56" spans="1:11" s="263" customFormat="1">
      <c r="A56" s="267" t="s">
        <v>1796</v>
      </c>
      <c r="B56" s="264">
        <f>'Sources and Uses Budget'!C56</f>
        <v>403394</v>
      </c>
      <c r="C56" s="265">
        <f>B56</f>
        <v>403394</v>
      </c>
      <c r="D56" s="265"/>
      <c r="E56" s="266"/>
      <c r="F56" s="266"/>
      <c r="G56" s="266"/>
      <c r="H56" s="266"/>
      <c r="I56" s="266"/>
      <c r="J56" s="266"/>
      <c r="K56" s="262"/>
    </row>
    <row r="57" spans="1:11" s="263" customFormat="1" ht="12" customHeight="1">
      <c r="A57" s="267" t="s">
        <v>1788</v>
      </c>
      <c r="B57" s="264">
        <f>'Sources and Uses Budget'!C57</f>
        <v>0</v>
      </c>
      <c r="C57" s="265"/>
      <c r="D57" s="265"/>
      <c r="E57" s="266"/>
      <c r="F57" s="266"/>
      <c r="G57" s="266"/>
      <c r="H57" s="266"/>
      <c r="I57" s="266"/>
      <c r="J57" s="266"/>
      <c r="K57" s="262"/>
    </row>
    <row r="58" spans="1:11" s="263" customFormat="1">
      <c r="A58" s="267" t="s">
        <v>1791</v>
      </c>
      <c r="B58" s="264">
        <f>'Sources and Uses Budget'!C58</f>
        <v>0</v>
      </c>
      <c r="C58" s="265"/>
      <c r="D58" s="265"/>
      <c r="E58" s="266"/>
      <c r="F58" s="266"/>
      <c r="G58" s="266"/>
      <c r="H58" s="266"/>
      <c r="I58" s="266"/>
      <c r="J58" s="266"/>
      <c r="K58" s="262"/>
    </row>
    <row r="59" spans="1:11" s="263" customFormat="1">
      <c r="A59" s="267" t="s">
        <v>1792</v>
      </c>
      <c r="B59" s="264">
        <f>'Sources and Uses Budget'!C59</f>
        <v>0</v>
      </c>
      <c r="C59" s="265"/>
      <c r="D59" s="265"/>
      <c r="E59" s="266"/>
      <c r="F59" s="266"/>
      <c r="G59" s="266"/>
      <c r="H59" s="266"/>
      <c r="I59" s="266"/>
      <c r="J59" s="266"/>
      <c r="K59" s="262"/>
    </row>
    <row r="60" spans="1:11" s="263" customFormat="1">
      <c r="A60" s="267" t="s">
        <v>1793</v>
      </c>
      <c r="B60" s="264">
        <f>'Sources and Uses Budget'!C60</f>
        <v>0</v>
      </c>
      <c r="C60" s="265"/>
      <c r="D60" s="265"/>
      <c r="E60" s="266"/>
      <c r="F60" s="266"/>
      <c r="G60" s="266"/>
      <c r="H60" s="266"/>
      <c r="I60" s="266"/>
      <c r="J60" s="266"/>
      <c r="K60" s="262"/>
    </row>
    <row r="61" spans="1:11" s="263" customFormat="1">
      <c r="A61" s="267" t="str">
        <f>'Sources and Uses Budget'!$A61</f>
        <v>Legal and Rate Lock Fees</v>
      </c>
      <c r="B61" s="264">
        <f>'Sources and Uses Budget'!C61</f>
        <v>168314</v>
      </c>
      <c r="C61" s="265">
        <f>B61</f>
        <v>168314</v>
      </c>
      <c r="D61" s="265"/>
      <c r="E61" s="266"/>
      <c r="F61" s="266"/>
      <c r="G61" s="266"/>
      <c r="H61" s="266"/>
      <c r="I61" s="266"/>
      <c r="J61" s="266"/>
      <c r="K61" s="262"/>
    </row>
    <row r="62" spans="1:11" s="263" customFormat="1" ht="13.9" customHeight="1">
      <c r="A62" s="268" t="s">
        <v>1798</v>
      </c>
      <c r="B62" s="264">
        <f>'Sources and Uses Budget'!C62</f>
        <v>571708</v>
      </c>
      <c r="C62" s="264">
        <f>SUM(C56:C61)</f>
        <v>571708</v>
      </c>
      <c r="D62" s="264">
        <f>SUM(D56:D61)</f>
        <v>0</v>
      </c>
      <c r="E62" s="266"/>
      <c r="F62" s="266"/>
      <c r="G62" s="266"/>
      <c r="H62" s="266"/>
      <c r="I62" s="266"/>
      <c r="J62" s="266"/>
      <c r="K62" s="262"/>
    </row>
    <row r="63" spans="1:11" s="263" customFormat="1">
      <c r="A63" s="273" t="s">
        <v>1799</v>
      </c>
      <c r="B63" s="264">
        <f>'Sources and Uses Budget'!C63</f>
        <v>66094865</v>
      </c>
      <c r="C63" s="264">
        <f>SUM(C8+C11+C13+C14+C15+C26+C27+C38+C42+C43+C54+C62)</f>
        <v>66094865</v>
      </c>
      <c r="D63" s="264">
        <f>SUM(D8+D11+D13+D14+D15+D26+D27+D38+D42+D43+D54+D62)</f>
        <v>0</v>
      </c>
      <c r="E63" s="264">
        <f>'Sources and Uses Budget'!S63</f>
        <v>60538337</v>
      </c>
      <c r="F63" s="264">
        <f>SUM(F10+F13+F14+F15+F26+F27+F38+F42+F43+F54)</f>
        <v>60538337</v>
      </c>
      <c r="G63" s="264">
        <f>SUM(G10+G13+G14+G15+G26+G27+G38+G42+G43+G54)</f>
        <v>0</v>
      </c>
      <c r="H63" s="264">
        <f>'Sources and Uses Budget'!T63</f>
        <v>0</v>
      </c>
      <c r="I63" s="264">
        <f>SUM(I11+I13+I14+I15+I26+I27+I38+I42+I43+I54)</f>
        <v>0</v>
      </c>
      <c r="J63" s="264">
        <f>SUM(J11+J13+J14+J15+J26+J27+J38+J42+J43+J54)</f>
        <v>0</v>
      </c>
      <c r="K63" s="262"/>
    </row>
    <row r="64" spans="1:11" s="263" customFormat="1" ht="24">
      <c r="A64" s="104" t="s">
        <v>1800</v>
      </c>
      <c r="B64" s="261"/>
      <c r="C64" s="261"/>
      <c r="D64" s="261"/>
      <c r="E64" s="261"/>
      <c r="F64" s="261"/>
      <c r="G64" s="261"/>
      <c r="H64" s="261"/>
      <c r="I64" s="261"/>
      <c r="J64" s="261"/>
      <c r="K64" s="262"/>
    </row>
    <row r="65" spans="1:11" s="263" customFormat="1">
      <c r="A65" s="195" t="s">
        <v>1801</v>
      </c>
      <c r="B65" s="264">
        <f>'Sources and Uses Budget'!C65</f>
        <v>387804</v>
      </c>
      <c r="C65" s="265">
        <f>B65</f>
        <v>387804</v>
      </c>
      <c r="D65" s="265"/>
      <c r="E65" s="264">
        <f>'Sources and Uses Budget'!S65</f>
        <v>320662</v>
      </c>
      <c r="F65" s="265">
        <f>C65-14730-52412</f>
        <v>320662</v>
      </c>
      <c r="G65" s="265"/>
      <c r="H65" s="264">
        <f>'Sources and Uses Budget'!T65</f>
        <v>0</v>
      </c>
      <c r="I65" s="265"/>
      <c r="J65" s="265"/>
      <c r="K65" s="262"/>
    </row>
    <row r="66" spans="1:11" s="263" customFormat="1" ht="24">
      <c r="A66" s="195" t="s">
        <v>1802</v>
      </c>
      <c r="B66" s="264">
        <f>'Sources and Uses Budget'!C66</f>
        <v>60000</v>
      </c>
      <c r="C66" s="265">
        <f>B66</f>
        <v>60000</v>
      </c>
      <c r="D66" s="265"/>
      <c r="E66" s="264">
        <f>'Sources and Uses Budget'!S66</f>
        <v>60000</v>
      </c>
      <c r="F66" s="265">
        <f t="shared" ref="F66:F69" si="4">C66</f>
        <v>60000</v>
      </c>
      <c r="G66" s="265"/>
      <c r="H66" s="264">
        <f>'Sources and Uses Budget'!T66</f>
        <v>0</v>
      </c>
      <c r="I66" s="265"/>
      <c r="J66" s="265"/>
      <c r="K66" s="262"/>
    </row>
    <row r="67" spans="1:11" s="263" customFormat="1" ht="24">
      <c r="A67" s="195" t="s">
        <v>1803</v>
      </c>
      <c r="B67" s="264">
        <f>'Sources and Uses Budget'!C67</f>
        <v>0</v>
      </c>
      <c r="C67" s="265"/>
      <c r="D67" s="265"/>
      <c r="E67" s="264">
        <f>'Sources and Uses Budget'!S67</f>
        <v>0</v>
      </c>
      <c r="F67" s="265">
        <f t="shared" si="4"/>
        <v>0</v>
      </c>
      <c r="G67" s="265"/>
      <c r="H67" s="264">
        <f>'Sources and Uses Budget'!T67</f>
        <v>0</v>
      </c>
      <c r="I67" s="265"/>
      <c r="J67" s="265"/>
      <c r="K67" s="262"/>
    </row>
    <row r="68" spans="1:11" s="263" customFormat="1">
      <c r="A68" s="195" t="s">
        <v>1804</v>
      </c>
      <c r="B68" s="264">
        <f>'Sources and Uses Budget'!C68</f>
        <v>0</v>
      </c>
      <c r="C68" s="265"/>
      <c r="D68" s="265"/>
      <c r="E68" s="264">
        <f>'Sources and Uses Budget'!S68</f>
        <v>0</v>
      </c>
      <c r="F68" s="265">
        <f t="shared" si="4"/>
        <v>0</v>
      </c>
      <c r="G68" s="265"/>
      <c r="H68" s="264">
        <f>'Sources and Uses Budget'!T68</f>
        <v>0</v>
      </c>
      <c r="I68" s="265"/>
      <c r="J68" s="265"/>
      <c r="K68" s="262"/>
    </row>
    <row r="69" spans="1:11" s="263" customFormat="1">
      <c r="A69" s="267" t="str">
        <f>'Sources and Uses Budget'!$A69</f>
        <v>Third Party Consultants</v>
      </c>
      <c r="B69" s="264">
        <f>'Sources and Uses Budget'!C69</f>
        <v>0</v>
      </c>
      <c r="C69" s="265">
        <f>B69</f>
        <v>0</v>
      </c>
      <c r="D69" s="265"/>
      <c r="E69" s="264">
        <f>'Sources and Uses Budget'!S69</f>
        <v>0</v>
      </c>
      <c r="F69" s="265">
        <f t="shared" si="4"/>
        <v>0</v>
      </c>
      <c r="G69" s="265"/>
      <c r="H69" s="264">
        <f>'Sources and Uses Budget'!T69</f>
        <v>0</v>
      </c>
      <c r="I69" s="265"/>
      <c r="J69" s="265"/>
      <c r="K69" s="262"/>
    </row>
    <row r="70" spans="1:11" s="263" customFormat="1">
      <c r="A70" s="268" t="s">
        <v>1882</v>
      </c>
      <c r="B70" s="264">
        <f>'Sources and Uses Budget'!C70</f>
        <v>447804</v>
      </c>
      <c r="C70" s="264">
        <f>SUM(C64:C69)</f>
        <v>447804</v>
      </c>
      <c r="D70" s="264">
        <f>SUM(D64:D69)</f>
        <v>0</v>
      </c>
      <c r="E70" s="264">
        <f>'Sources and Uses Budget'!S70</f>
        <v>380662</v>
      </c>
      <c r="F70" s="270">
        <f>SUM(F65:F69)</f>
        <v>380662</v>
      </c>
      <c r="G70" s="270">
        <f>SUM(G65:G69)</f>
        <v>0</v>
      </c>
      <c r="H70" s="264">
        <f>'Sources and Uses Budget'!T70</f>
        <v>0</v>
      </c>
      <c r="I70" s="270">
        <f>SUM(I65:I69)</f>
        <v>0</v>
      </c>
      <c r="J70" s="270">
        <f>SUM(J65:J69)</f>
        <v>0</v>
      </c>
      <c r="K70" s="262"/>
    </row>
    <row r="71" spans="1:11" s="263" customFormat="1">
      <c r="A71" s="260" t="s">
        <v>1807</v>
      </c>
      <c r="B71" s="261"/>
      <c r="C71" s="261"/>
      <c r="D71" s="261"/>
      <c r="E71" s="261"/>
      <c r="F71" s="261"/>
      <c r="G71" s="261"/>
      <c r="H71" s="261"/>
      <c r="I71" s="261"/>
      <c r="J71" s="261"/>
      <c r="K71" s="262"/>
    </row>
    <row r="72" spans="1:11" s="263" customFormat="1">
      <c r="A72" s="267" t="s">
        <v>1808</v>
      </c>
      <c r="B72" s="264">
        <f>'Sources and Uses Budget'!C72</f>
        <v>0</v>
      </c>
      <c r="C72" s="265">
        <v>0</v>
      </c>
      <c r="D72" s="265"/>
      <c r="E72" s="266"/>
      <c r="F72" s="266"/>
      <c r="G72" s="266"/>
      <c r="H72" s="266"/>
      <c r="I72" s="266"/>
      <c r="J72" s="266"/>
      <c r="K72" s="262"/>
    </row>
    <row r="73" spans="1:11" s="263" customFormat="1">
      <c r="A73" s="267" t="s">
        <v>1809</v>
      </c>
      <c r="B73" s="264">
        <f>'Sources and Uses Budget'!C73</f>
        <v>0</v>
      </c>
      <c r="C73" s="265">
        <v>0</v>
      </c>
      <c r="D73" s="265"/>
      <c r="E73" s="266"/>
      <c r="F73" s="266"/>
      <c r="G73" s="266"/>
      <c r="H73" s="266"/>
      <c r="I73" s="266"/>
      <c r="J73" s="266"/>
      <c r="K73" s="262"/>
    </row>
    <row r="74" spans="1:11" s="263" customFormat="1">
      <c r="A74" s="269" t="s">
        <v>1810</v>
      </c>
      <c r="B74" s="264">
        <f>'Sources and Uses Budget'!C74</f>
        <v>0</v>
      </c>
      <c r="C74" s="265">
        <v>0</v>
      </c>
      <c r="D74" s="265"/>
      <c r="E74" s="266"/>
      <c r="F74" s="266"/>
      <c r="G74" s="266"/>
      <c r="H74" s="266"/>
      <c r="I74" s="266"/>
      <c r="J74" s="266"/>
      <c r="K74" s="262"/>
    </row>
    <row r="75" spans="1:11" s="263" customFormat="1">
      <c r="A75" s="267" t="s">
        <v>1811</v>
      </c>
      <c r="B75" s="264">
        <f>'Sources and Uses Budget'!C75</f>
        <v>997510</v>
      </c>
      <c r="C75" s="265">
        <f>B75</f>
        <v>997510</v>
      </c>
      <c r="D75" s="265"/>
      <c r="E75" s="266"/>
      <c r="F75" s="266"/>
      <c r="G75" s="266"/>
      <c r="H75" s="266"/>
      <c r="I75" s="266"/>
      <c r="J75" s="266"/>
      <c r="K75" s="262"/>
    </row>
    <row r="76" spans="1:11" s="263" customFormat="1">
      <c r="A76" s="267" t="str">
        <f>'Sources and Uses Budget'!$A76</f>
        <v>Other: (Specify)</v>
      </c>
      <c r="B76" s="264">
        <f>'Sources and Uses Budget'!C76</f>
        <v>0</v>
      </c>
      <c r="C76" s="265">
        <v>0</v>
      </c>
      <c r="D76" s="265"/>
      <c r="E76" s="266"/>
      <c r="F76" s="266"/>
      <c r="G76" s="266"/>
      <c r="H76" s="266"/>
      <c r="I76" s="266"/>
      <c r="J76" s="266"/>
      <c r="K76" s="262"/>
    </row>
    <row r="77" spans="1:11" s="263" customFormat="1">
      <c r="A77" s="268" t="s">
        <v>1813</v>
      </c>
      <c r="B77" s="264">
        <f>'Sources and Uses Budget'!C77</f>
        <v>997510</v>
      </c>
      <c r="C77" s="264">
        <f>SUM(C72:C76)</f>
        <v>997510</v>
      </c>
      <c r="D77" s="264">
        <f>SUM(D72:D76)</f>
        <v>0</v>
      </c>
      <c r="E77" s="266"/>
      <c r="F77" s="266"/>
      <c r="G77" s="266"/>
      <c r="H77" s="266"/>
      <c r="I77" s="266"/>
      <c r="J77" s="266"/>
      <c r="K77" s="262"/>
    </row>
    <row r="78" spans="1:11" s="263" customFormat="1">
      <c r="A78" s="260" t="s">
        <v>1814</v>
      </c>
      <c r="B78" s="261"/>
      <c r="C78" s="261"/>
      <c r="D78" s="261"/>
      <c r="E78" s="261"/>
      <c r="F78" s="261"/>
      <c r="G78" s="261"/>
      <c r="H78" s="261"/>
      <c r="I78" s="261"/>
      <c r="J78" s="261"/>
      <c r="K78" s="262"/>
    </row>
    <row r="79" spans="1:11" s="263" customFormat="1">
      <c r="A79" s="267" t="s">
        <v>1815</v>
      </c>
      <c r="B79" s="264">
        <f>'Sources and Uses Budget'!C79</f>
        <v>2403078</v>
      </c>
      <c r="C79" s="265">
        <f>B79</f>
        <v>2403078</v>
      </c>
      <c r="D79" s="265"/>
      <c r="E79" s="264">
        <f>'Sources and Uses Budget'!S79</f>
        <v>2403078</v>
      </c>
      <c r="F79" s="265">
        <f>C79</f>
        <v>2403078</v>
      </c>
      <c r="G79" s="265"/>
      <c r="H79" s="264">
        <f>'Sources and Uses Budget'!T79</f>
        <v>0</v>
      </c>
      <c r="I79" s="265"/>
      <c r="J79" s="265"/>
      <c r="K79" s="262"/>
    </row>
    <row r="80" spans="1:11" s="263" customFormat="1">
      <c r="A80" s="267" t="s">
        <v>1816</v>
      </c>
      <c r="B80" s="264">
        <f>'Sources and Uses Budget'!C80</f>
        <v>632831</v>
      </c>
      <c r="C80" s="265">
        <f>B80</f>
        <v>632831</v>
      </c>
      <c r="D80" s="265"/>
      <c r="E80" s="264">
        <f>'Sources and Uses Budget'!S80</f>
        <v>632831</v>
      </c>
      <c r="F80" s="265">
        <f>C80</f>
        <v>632831</v>
      </c>
      <c r="G80" s="265"/>
      <c r="H80" s="264">
        <f>'Sources and Uses Budget'!T80</f>
        <v>0</v>
      </c>
      <c r="I80" s="265"/>
      <c r="J80" s="265"/>
      <c r="K80" s="262"/>
    </row>
    <row r="81" spans="1:11" s="263" customFormat="1">
      <c r="A81" s="268" t="s">
        <v>1817</v>
      </c>
      <c r="B81" s="264">
        <f>'Sources and Uses Budget'!C81</f>
        <v>3035909</v>
      </c>
      <c r="C81" s="264">
        <f>SUM(C79:C80)</f>
        <v>3035909</v>
      </c>
      <c r="D81" s="264">
        <f>SUM(D79:D80)</f>
        <v>0</v>
      </c>
      <c r="E81" s="264">
        <f>'Sources and Uses Budget'!S81</f>
        <v>3035909</v>
      </c>
      <c r="F81" s="264">
        <f>SUM(F79:F80)</f>
        <v>3035909</v>
      </c>
      <c r="G81" s="264">
        <f>SUM(G79:G80)</f>
        <v>0</v>
      </c>
      <c r="H81" s="264">
        <f>'Sources and Uses Budget'!T81</f>
        <v>0</v>
      </c>
      <c r="I81" s="264">
        <f>SUM(I79:I80)</f>
        <v>0</v>
      </c>
      <c r="J81" s="264">
        <f>SUM(J79:J80)</f>
        <v>0</v>
      </c>
      <c r="K81" s="262"/>
    </row>
    <row r="82" spans="1:11" s="263" customFormat="1">
      <c r="A82" s="260" t="s">
        <v>1818</v>
      </c>
      <c r="B82" s="261"/>
      <c r="C82" s="261"/>
      <c r="D82" s="261"/>
      <c r="E82" s="261"/>
      <c r="F82" s="261"/>
      <c r="G82" s="261"/>
      <c r="H82" s="261"/>
      <c r="I82" s="261"/>
      <c r="J82" s="261"/>
      <c r="K82" s="262"/>
    </row>
    <row r="83" spans="1:11" s="263" customFormat="1" ht="13.9" customHeight="1">
      <c r="A83" s="195" t="s">
        <v>1819</v>
      </c>
      <c r="B83" s="264">
        <f>'Sources and Uses Budget'!C83</f>
        <v>180571</v>
      </c>
      <c r="C83" s="265">
        <f>B83</f>
        <v>180571</v>
      </c>
      <c r="D83" s="265"/>
      <c r="E83" s="266"/>
      <c r="F83" s="266"/>
      <c r="G83" s="266"/>
      <c r="H83" s="266"/>
      <c r="I83" s="266"/>
      <c r="J83" s="266"/>
      <c r="K83" s="262"/>
    </row>
    <row r="84" spans="1:11" s="263" customFormat="1">
      <c r="A84" s="195" t="s">
        <v>1820</v>
      </c>
      <c r="B84" s="264">
        <f>'Sources and Uses Budget'!C84</f>
        <v>83395</v>
      </c>
      <c r="C84" s="265">
        <f>B84</f>
        <v>83395</v>
      </c>
      <c r="D84" s="265"/>
      <c r="E84" s="264">
        <f>'Sources and Uses Budget'!S84</f>
        <v>83395</v>
      </c>
      <c r="F84" s="265">
        <f t="shared" ref="F84:F86" si="5">C84</f>
        <v>83395</v>
      </c>
      <c r="G84" s="265"/>
      <c r="H84" s="264">
        <f>'Sources and Uses Budget'!T84</f>
        <v>0</v>
      </c>
      <c r="I84" s="265"/>
      <c r="J84" s="265"/>
      <c r="K84" s="262"/>
    </row>
    <row r="85" spans="1:11" s="263" customFormat="1">
      <c r="A85" s="195" t="s">
        <v>1821</v>
      </c>
      <c r="B85" s="264">
        <f>'Sources and Uses Budget'!C85</f>
        <v>4608685</v>
      </c>
      <c r="C85" s="265">
        <f>B85</f>
        <v>4608685</v>
      </c>
      <c r="D85" s="265"/>
      <c r="E85" s="264">
        <f>'Sources and Uses Budget'!S85</f>
        <v>4608685</v>
      </c>
      <c r="F85" s="265">
        <f t="shared" si="5"/>
        <v>4608685</v>
      </c>
      <c r="G85" s="265"/>
      <c r="H85" s="264">
        <f>'Sources and Uses Budget'!T85</f>
        <v>0</v>
      </c>
      <c r="I85" s="265"/>
      <c r="J85" s="265"/>
      <c r="K85" s="262"/>
    </row>
    <row r="86" spans="1:11" s="263" customFormat="1">
      <c r="A86" s="195" t="s">
        <v>1822</v>
      </c>
      <c r="B86" s="264">
        <f>'Sources and Uses Budget'!C86</f>
        <v>2514746</v>
      </c>
      <c r="C86" s="265">
        <f>B86</f>
        <v>2514746</v>
      </c>
      <c r="D86" s="265"/>
      <c r="E86" s="264">
        <f>'Sources and Uses Budget'!S86</f>
        <v>2514746</v>
      </c>
      <c r="F86" s="265">
        <f t="shared" si="5"/>
        <v>2514746</v>
      </c>
      <c r="G86" s="265"/>
      <c r="H86" s="264">
        <f>'Sources and Uses Budget'!T86</f>
        <v>0</v>
      </c>
      <c r="I86" s="265"/>
      <c r="J86" s="265"/>
      <c r="K86" s="262"/>
    </row>
    <row r="87" spans="1:11" s="263" customFormat="1">
      <c r="A87" s="195" t="s">
        <v>1823</v>
      </c>
      <c r="B87" s="264">
        <f>'Sources and Uses Budget'!C87</f>
        <v>0</v>
      </c>
      <c r="C87" s="265">
        <v>0</v>
      </c>
      <c r="D87" s="265"/>
      <c r="E87" s="264">
        <f>'Sources and Uses Budget'!S87</f>
        <v>0</v>
      </c>
      <c r="F87" s="265"/>
      <c r="G87" s="265"/>
      <c r="H87" s="264">
        <f>'Sources and Uses Budget'!T87</f>
        <v>0</v>
      </c>
      <c r="I87" s="265"/>
      <c r="J87" s="265"/>
      <c r="K87" s="262"/>
    </row>
    <row r="88" spans="1:11" s="263" customFormat="1">
      <c r="A88" s="195" t="s">
        <v>1824</v>
      </c>
      <c r="B88" s="264">
        <f>'Sources and Uses Budget'!C88</f>
        <v>150000</v>
      </c>
      <c r="C88" s="265">
        <v>150000</v>
      </c>
      <c r="D88" s="265"/>
      <c r="E88" s="266"/>
      <c r="F88" s="266"/>
      <c r="G88" s="266"/>
      <c r="H88" s="266"/>
      <c r="I88" s="266"/>
      <c r="J88" s="266"/>
      <c r="K88" s="262"/>
    </row>
    <row r="89" spans="1:11" s="263" customFormat="1">
      <c r="A89" s="195" t="s">
        <v>1825</v>
      </c>
      <c r="B89" s="264">
        <f>'Sources and Uses Budget'!C89</f>
        <v>0</v>
      </c>
      <c r="C89" s="265">
        <v>0</v>
      </c>
      <c r="D89" s="265"/>
      <c r="E89" s="264">
        <f>'Sources and Uses Budget'!S89</f>
        <v>0</v>
      </c>
      <c r="F89" s="265">
        <f t="shared" ref="F89:F95" si="6">C89</f>
        <v>0</v>
      </c>
      <c r="G89" s="265"/>
      <c r="H89" s="264">
        <f>'Sources and Uses Budget'!T89</f>
        <v>0</v>
      </c>
      <c r="I89" s="265"/>
      <c r="J89" s="265"/>
      <c r="K89" s="262"/>
    </row>
    <row r="90" spans="1:11" s="263" customFormat="1">
      <c r="A90" s="195" t="s">
        <v>1826</v>
      </c>
      <c r="B90" s="264">
        <f>'Sources and Uses Budget'!C90</f>
        <v>35000</v>
      </c>
      <c r="C90" s="265">
        <v>35000</v>
      </c>
      <c r="D90" s="265"/>
      <c r="E90" s="264">
        <f>'Sources and Uses Budget'!S90</f>
        <v>35000</v>
      </c>
      <c r="F90" s="265">
        <f t="shared" si="6"/>
        <v>35000</v>
      </c>
      <c r="G90" s="265"/>
      <c r="H90" s="264">
        <f>'Sources and Uses Budget'!T90</f>
        <v>0</v>
      </c>
      <c r="I90" s="265"/>
      <c r="J90" s="265"/>
      <c r="K90" s="262"/>
    </row>
    <row r="91" spans="1:11" s="263" customFormat="1">
      <c r="A91" s="409" t="s">
        <v>1827</v>
      </c>
      <c r="B91" s="264">
        <f>'Sources and Uses Budget'!C91</f>
        <v>0</v>
      </c>
      <c r="C91" s="265">
        <v>0</v>
      </c>
      <c r="D91" s="265"/>
      <c r="E91" s="264">
        <f>'Sources and Uses Budget'!S91</f>
        <v>0</v>
      </c>
      <c r="F91" s="265">
        <f t="shared" si="6"/>
        <v>0</v>
      </c>
      <c r="G91" s="265"/>
      <c r="H91" s="264">
        <f>'Sources and Uses Budget'!T91</f>
        <v>0</v>
      </c>
      <c r="I91" s="265"/>
      <c r="J91" s="265"/>
      <c r="K91" s="262"/>
    </row>
    <row r="92" spans="1:11" s="263" customFormat="1">
      <c r="A92" s="409" t="s">
        <v>1828</v>
      </c>
      <c r="B92" s="264">
        <f>'Sources and Uses Budget'!C92</f>
        <v>0</v>
      </c>
      <c r="C92" s="265">
        <v>0</v>
      </c>
      <c r="D92" s="265"/>
      <c r="E92" s="264">
        <f>'Sources and Uses Budget'!S92</f>
        <v>0</v>
      </c>
      <c r="F92" s="265">
        <f t="shared" si="6"/>
        <v>0</v>
      </c>
      <c r="G92" s="265"/>
      <c r="H92" s="264">
        <f>'Sources and Uses Budget'!T92</f>
        <v>0</v>
      </c>
      <c r="I92" s="265"/>
      <c r="J92" s="265"/>
      <c r="K92" s="262"/>
    </row>
    <row r="93" spans="1:11" s="263" customFormat="1">
      <c r="A93" s="267" t="str">
        <f>'Sources and Uses Budget'!$A93</f>
        <v>Other: (Specify)</v>
      </c>
      <c r="B93" s="264">
        <f>'Sources and Uses Budget'!C93</f>
        <v>0</v>
      </c>
      <c r="C93" s="265">
        <v>0</v>
      </c>
      <c r="D93" s="265"/>
      <c r="E93" s="264">
        <f>'Sources and Uses Budget'!S93</f>
        <v>0</v>
      </c>
      <c r="F93" s="265">
        <f t="shared" si="6"/>
        <v>0</v>
      </c>
      <c r="G93" s="265"/>
      <c r="H93" s="264">
        <f>'Sources and Uses Budget'!T93</f>
        <v>0</v>
      </c>
      <c r="I93" s="265"/>
      <c r="J93" s="265"/>
      <c r="K93" s="262"/>
    </row>
    <row r="94" spans="1:11" s="263" customFormat="1">
      <c r="A94" s="267" t="str">
        <f>'Sources and Uses Budget'!$A94</f>
        <v>Other: (Specify)</v>
      </c>
      <c r="B94" s="264">
        <f>'Sources and Uses Budget'!C94</f>
        <v>0</v>
      </c>
      <c r="C94" s="265">
        <v>0</v>
      </c>
      <c r="D94" s="265"/>
      <c r="E94" s="264">
        <f>'Sources and Uses Budget'!S94</f>
        <v>0</v>
      </c>
      <c r="F94" s="265">
        <f t="shared" si="6"/>
        <v>0</v>
      </c>
      <c r="G94" s="265"/>
      <c r="H94" s="264">
        <f>'Sources and Uses Budget'!T94</f>
        <v>0</v>
      </c>
      <c r="I94" s="265"/>
      <c r="J94" s="265"/>
      <c r="K94" s="262"/>
    </row>
    <row r="95" spans="1:11" s="263" customFormat="1">
      <c r="A95" s="267" t="str">
        <f>'Sources and Uses Budget'!$A95</f>
        <v>Other: (Specify)</v>
      </c>
      <c r="B95" s="264">
        <f>'Sources and Uses Budget'!C95</f>
        <v>0</v>
      </c>
      <c r="C95" s="265">
        <v>0</v>
      </c>
      <c r="D95" s="265"/>
      <c r="E95" s="264">
        <f>'Sources and Uses Budget'!S95</f>
        <v>0</v>
      </c>
      <c r="F95" s="265">
        <f t="shared" si="6"/>
        <v>0</v>
      </c>
      <c r="G95" s="265"/>
      <c r="H95" s="264">
        <f>'Sources and Uses Budget'!T95</f>
        <v>0</v>
      </c>
      <c r="I95" s="265"/>
      <c r="J95" s="265"/>
      <c r="K95" s="262"/>
    </row>
    <row r="96" spans="1:11" s="263" customFormat="1">
      <c r="A96" s="268" t="s">
        <v>1829</v>
      </c>
      <c r="B96" s="264">
        <f>'Sources and Uses Budget'!C96</f>
        <v>7572397</v>
      </c>
      <c r="C96" s="264">
        <f>SUM(C83:C95)</f>
        <v>7572397</v>
      </c>
      <c r="D96" s="264">
        <f>SUM(D83:D95)</f>
        <v>0</v>
      </c>
      <c r="E96" s="264">
        <f>'Sources and Uses Budget'!S96</f>
        <v>7241826</v>
      </c>
      <c r="F96" s="270">
        <f>SUM(F84:F87,F89:F95)</f>
        <v>7241826</v>
      </c>
      <c r="G96" s="270">
        <f>SUM(G84:G87,G89:G95)</f>
        <v>0</v>
      </c>
      <c r="H96" s="264">
        <f>'Sources and Uses Budget'!T96</f>
        <v>0</v>
      </c>
      <c r="I96" s="264">
        <f>SUM(I84:I87,I89:I95)</f>
        <v>0</v>
      </c>
      <c r="J96" s="264">
        <f>SUM(J84:J87,J89:J95)</f>
        <v>0</v>
      </c>
      <c r="K96" s="262"/>
    </row>
    <row r="97" spans="1:11" s="263" customFormat="1">
      <c r="A97" s="268" t="s">
        <v>1883</v>
      </c>
      <c r="B97" s="264">
        <f>'Sources and Uses Budget'!C97</f>
        <v>78148485</v>
      </c>
      <c r="C97" s="264">
        <f>SUM(C63+C70+C77+C81+C96)</f>
        <v>78148485</v>
      </c>
      <c r="D97" s="264">
        <f>SUM(D63+D70+D77+D81+D96)</f>
        <v>0</v>
      </c>
      <c r="E97" s="264">
        <f>'Sources and Uses Budget'!S97</f>
        <v>71196734</v>
      </c>
      <c r="F97" s="270">
        <f>SUM(+F63+F70+F81+F96)</f>
        <v>71196734</v>
      </c>
      <c r="G97" s="270">
        <f>SUM(+G63+G70+G81+G96)</f>
        <v>0</v>
      </c>
      <c r="H97" s="264">
        <f>'Sources and Uses Budget'!T97</f>
        <v>0</v>
      </c>
      <c r="I97" s="270">
        <f>SUM(I63+I70+I81+I96)</f>
        <v>0</v>
      </c>
      <c r="J97" s="270">
        <f>SUM(J63+J70+J81+J96)</f>
        <v>0</v>
      </c>
      <c r="K97" s="262"/>
    </row>
    <row r="98" spans="1:11" s="263" customFormat="1">
      <c r="A98" s="260" t="s">
        <v>1831</v>
      </c>
      <c r="B98" s="261"/>
      <c r="C98" s="261"/>
      <c r="D98" s="261"/>
      <c r="E98" s="261"/>
      <c r="F98" s="261"/>
      <c r="G98" s="261"/>
      <c r="H98" s="261"/>
      <c r="I98" s="261"/>
      <c r="J98" s="261"/>
      <c r="K98" s="262"/>
    </row>
    <row r="99" spans="1:11" s="263" customFormat="1">
      <c r="A99" s="195" t="s">
        <v>1832</v>
      </c>
      <c r="B99" s="264">
        <f>'Sources and Uses Budget'!C99</f>
        <v>10679509</v>
      </c>
      <c r="C99" s="265">
        <f>B99</f>
        <v>10679509</v>
      </c>
      <c r="D99" s="265"/>
      <c r="E99" s="264">
        <f>'Sources and Uses Budget'!S99</f>
        <v>10679509</v>
      </c>
      <c r="F99" s="265">
        <f>C99</f>
        <v>10679509</v>
      </c>
      <c r="G99" s="265"/>
      <c r="H99" s="264">
        <f>'Sources and Uses Budget'!T99</f>
        <v>0</v>
      </c>
      <c r="I99" s="265"/>
      <c r="J99" s="265"/>
      <c r="K99" s="262"/>
    </row>
    <row r="100" spans="1:11" s="263" customFormat="1">
      <c r="A100" s="195" t="s">
        <v>1833</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1834</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1835</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1836</v>
      </c>
      <c r="B104" s="264">
        <f>'Sources and Uses Budget'!C104</f>
        <v>10679509</v>
      </c>
      <c r="C104" s="264">
        <f>SUM(C99:C103)</f>
        <v>10679509</v>
      </c>
      <c r="D104" s="264">
        <f>SUM(D99:D103)</f>
        <v>0</v>
      </c>
      <c r="E104" s="264">
        <f>'Sources and Uses Budget'!S104</f>
        <v>10679509</v>
      </c>
      <c r="F104" s="270">
        <f>SUM(F99:F103)</f>
        <v>10679509</v>
      </c>
      <c r="G104" s="270">
        <f>SUM(G99:G103)</f>
        <v>0</v>
      </c>
      <c r="H104" s="264">
        <f>'Sources and Uses Budget'!T104</f>
        <v>0</v>
      </c>
      <c r="I104" s="270">
        <f>SUM(I99:I103)</f>
        <v>0</v>
      </c>
      <c r="J104" s="270">
        <f>SUM(J99:J103)</f>
        <v>0</v>
      </c>
      <c r="K104" s="262"/>
    </row>
    <row r="105" spans="1:11" s="263" customFormat="1">
      <c r="A105" s="268" t="s">
        <v>1884</v>
      </c>
      <c r="B105" s="264">
        <f>'Sources and Uses Budget'!C105</f>
        <v>88827994</v>
      </c>
      <c r="C105" s="270">
        <f>SUM(C97+C104)</f>
        <v>88827994</v>
      </c>
      <c r="D105" s="270">
        <f>SUM(D97+D104)</f>
        <v>0</v>
      </c>
      <c r="E105" s="264">
        <f>'Sources and Uses Budget'!S105</f>
        <v>81876243</v>
      </c>
      <c r="F105" s="270">
        <f>F97+F104</f>
        <v>81876243</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1885</v>
      </c>
      <c r="E107" s="264">
        <f>'Sources and Uses Budget'!S107</f>
        <v>81876243</v>
      </c>
      <c r="F107" s="270">
        <f>F105+F106</f>
        <v>81876243</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1801"/>
      <c r="E124" s="1276"/>
      <c r="F124" s="1276"/>
      <c r="G124" s="1276"/>
      <c r="H124" s="1276"/>
      <c r="I124" s="1276"/>
      <c r="J124" s="279"/>
      <c r="K124" s="262"/>
    </row>
    <row r="125" spans="1:11" s="263" customFormat="1" ht="12.75">
      <c r="A125" s="288"/>
      <c r="B125" s="287"/>
      <c r="C125" s="288"/>
      <c r="D125" s="1276"/>
      <c r="E125" s="1276"/>
      <c r="F125" s="1276"/>
      <c r="G125" s="1276"/>
      <c r="H125" s="1276"/>
      <c r="I125" s="1276"/>
      <c r="J125" s="279"/>
      <c r="K125" s="262"/>
    </row>
    <row r="126" spans="1:11" s="263" customFormat="1" ht="12.75">
      <c r="A126" s="288"/>
      <c r="B126" s="287"/>
      <c r="C126" s="288"/>
      <c r="D126" s="1276"/>
      <c r="E126" s="1276"/>
      <c r="F126" s="1276"/>
      <c r="G126" s="1276"/>
      <c r="H126" s="1276"/>
      <c r="I126" s="1276"/>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1802"/>
      <c r="B139" s="1276"/>
      <c r="C139" s="1276"/>
      <c r="D139" s="259"/>
      <c r="E139" s="288"/>
      <c r="F139" s="288"/>
      <c r="G139" s="288"/>
    </row>
    <row r="140" spans="1:11" ht="12" customHeight="1">
      <c r="A140" s="1263"/>
      <c r="B140" s="1263"/>
      <c r="C140" s="1263"/>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118" workbookViewId="0">
      <selection activeCell="B143" sqref="B143:AX152"/>
    </sheetView>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5703125" style="1145" bestFit="1" customWidth="1"/>
    <col min="67" max="68" width="5.5703125" style="1145" customWidth="1"/>
    <col min="69" max="69" width="8" style="1145" customWidth="1"/>
    <col min="70" max="70" width="6" style="1145" customWidth="1"/>
    <col min="71" max="71" width="6.140625" style="1145" customWidth="1"/>
    <col min="72" max="76" width="5.5703125" style="1145" customWidth="1"/>
    <col min="77" max="77" width="6.140625" style="1145" bestFit="1" customWidth="1"/>
    <col min="78" max="78" width="5.5703125" style="1076" bestFit="1" customWidth="1"/>
    <col min="79" max="16384" width="2.7109375" style="1076"/>
  </cols>
  <sheetData>
    <row r="1" spans="1:65" ht="15.75" customHeight="1">
      <c r="A1" s="2251" t="s">
        <v>1886</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c r="AO1" s="2252"/>
      <c r="AP1" s="2252"/>
      <c r="AQ1" s="2252"/>
      <c r="AR1" s="2252"/>
      <c r="AS1" s="2252"/>
      <c r="AT1" s="2252"/>
      <c r="AU1" s="2252"/>
      <c r="AV1" s="2252"/>
      <c r="AW1" s="2252"/>
      <c r="AX1" s="2252"/>
      <c r="AY1" s="2252"/>
      <c r="AZ1" s="2252"/>
      <c r="BA1" s="2252"/>
      <c r="BB1" s="2252"/>
      <c r="BC1" s="2252"/>
      <c r="BD1" s="2252"/>
      <c r="BE1" s="2253"/>
    </row>
    <row r="2" spans="1:65" ht="15.75" customHeight="1">
      <c r="A2" s="2254" t="s">
        <v>1887</v>
      </c>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c r="AO2" s="2255"/>
      <c r="AP2" s="2255"/>
      <c r="AQ2" s="2255"/>
      <c r="AR2" s="2255"/>
      <c r="AS2" s="2255"/>
      <c r="AT2" s="2255"/>
      <c r="AU2" s="2255"/>
      <c r="AV2" s="2255"/>
      <c r="AW2" s="2255"/>
      <c r="AX2" s="2255"/>
      <c r="AY2" s="2255"/>
      <c r="AZ2" s="2255"/>
      <c r="BA2" s="2255"/>
      <c r="BB2" s="2255"/>
      <c r="BC2" s="2255"/>
      <c r="BD2" s="2255"/>
      <c r="BE2" s="2256"/>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43" t="str">
        <f>IF(Application!H18="","",Application!H18)</f>
        <v>Joyfield at Buchanan Crossing</v>
      </c>
      <c r="M4" s="2244"/>
      <c r="N4" s="2244"/>
      <c r="O4" s="2244"/>
      <c r="P4" s="2244"/>
      <c r="Q4" s="2244"/>
      <c r="R4" s="2244"/>
      <c r="S4" s="2244"/>
      <c r="T4" s="2244"/>
      <c r="U4" s="2244"/>
      <c r="V4" s="2244"/>
      <c r="W4" s="2244"/>
      <c r="X4" s="2244"/>
      <c r="Y4" s="2244"/>
      <c r="Z4" s="2244"/>
      <c r="AA4" s="2244"/>
      <c r="AB4" s="2244"/>
      <c r="AC4" s="2245"/>
      <c r="AD4" s="1079"/>
      <c r="AE4" s="1079"/>
      <c r="AF4" s="2239" t="s">
        <v>1888</v>
      </c>
      <c r="AG4" s="2239"/>
      <c r="AH4" s="2239"/>
      <c r="AI4" s="2239"/>
      <c r="AJ4" s="2239"/>
      <c r="AK4" s="2239"/>
      <c r="AL4" s="2239"/>
      <c r="AM4" s="2239"/>
      <c r="AN4" s="2239"/>
      <c r="AO4" s="2239"/>
      <c r="AP4" s="2240"/>
      <c r="AQ4" s="2241"/>
      <c r="AR4" s="2241"/>
      <c r="AS4" s="2241"/>
      <c r="AT4" s="2241"/>
      <c r="AU4" s="2241"/>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39" t="s">
        <v>1889</v>
      </c>
      <c r="AG5" s="2239"/>
      <c r="AH5" s="2239"/>
      <c r="AI5" s="2239"/>
      <c r="AJ5" s="2239"/>
      <c r="AK5" s="2239"/>
      <c r="AL5" s="2239"/>
      <c r="AM5" s="2239"/>
      <c r="AN5" s="2239"/>
      <c r="AO5" s="2239"/>
      <c r="AP5" s="2240"/>
      <c r="AQ5" s="2241"/>
      <c r="AR5" s="2241"/>
      <c r="AS5" s="2241"/>
      <c r="AT5" s="2241"/>
      <c r="AU5" s="2241"/>
      <c r="AV5" s="1079"/>
      <c r="AW5" s="1079"/>
      <c r="AX5" s="1079"/>
      <c r="AY5" s="1079"/>
      <c r="AZ5" s="1079"/>
      <c r="BA5" s="1079"/>
      <c r="BB5" s="1079"/>
      <c r="BC5" s="1079"/>
      <c r="BD5" s="1079"/>
      <c r="BE5" s="1080"/>
    </row>
    <row r="6" spans="1:65" ht="15.75" customHeight="1" thickBot="1">
      <c r="A6" s="1078"/>
      <c r="B6" s="1081" t="s">
        <v>1890</v>
      </c>
      <c r="C6" s="1079"/>
      <c r="D6" s="1079"/>
      <c r="E6" s="1079"/>
      <c r="F6" s="1079"/>
      <c r="G6" s="1079"/>
      <c r="H6" s="1079"/>
      <c r="I6" s="1079"/>
      <c r="J6" s="1079"/>
      <c r="K6" s="1079"/>
      <c r="L6" s="2243" t="str">
        <f>IF(Application!H16="","",Application!H16)</f>
        <v>Standard Buchanan Venture LP</v>
      </c>
      <c r="M6" s="2244"/>
      <c r="N6" s="2244"/>
      <c r="O6" s="2244"/>
      <c r="P6" s="2244"/>
      <c r="Q6" s="2244"/>
      <c r="R6" s="2244"/>
      <c r="S6" s="2244"/>
      <c r="T6" s="2244"/>
      <c r="U6" s="2244"/>
      <c r="V6" s="2244"/>
      <c r="W6" s="2244"/>
      <c r="X6" s="2244"/>
      <c r="Y6" s="2244"/>
      <c r="Z6" s="2244"/>
      <c r="AA6" s="2244"/>
      <c r="AB6" s="2244"/>
      <c r="AC6" s="2245"/>
      <c r="AD6" s="1079"/>
      <c r="AE6" s="1079"/>
      <c r="AF6" s="2246" t="s">
        <v>1891</v>
      </c>
      <c r="AG6" s="2246"/>
      <c r="AH6" s="2246"/>
      <c r="AI6" s="2246"/>
      <c r="AJ6" s="2246"/>
      <c r="AK6" s="2246"/>
      <c r="AL6" s="2246"/>
      <c r="AM6" s="2246"/>
      <c r="AN6" s="2246"/>
      <c r="AO6" s="2246"/>
      <c r="AP6" s="2247"/>
      <c r="AQ6" s="2247"/>
      <c r="AR6" s="2247"/>
      <c r="AS6" s="2247"/>
      <c r="AT6" s="2247"/>
      <c r="AU6" s="2247"/>
      <c r="AV6" s="1079"/>
      <c r="AW6" s="1079"/>
      <c r="AX6" s="1079"/>
      <c r="AY6" s="1079"/>
      <c r="AZ6" s="1079"/>
      <c r="BA6" s="1079"/>
      <c r="BB6" s="1079"/>
      <c r="BC6" s="1079"/>
      <c r="BD6" s="1079"/>
      <c r="BE6" s="1080"/>
    </row>
    <row r="7" spans="1:6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46" t="s">
        <v>1892</v>
      </c>
      <c r="AG7" s="2246"/>
      <c r="AH7" s="2246"/>
      <c r="AI7" s="2246"/>
      <c r="AJ7" s="2246"/>
      <c r="AK7" s="2246"/>
      <c r="AL7" s="2246"/>
      <c r="AM7" s="2246"/>
      <c r="AN7" s="2246"/>
      <c r="AO7" s="2246"/>
      <c r="AP7" s="2247"/>
      <c r="AQ7" s="2247"/>
      <c r="AR7" s="2247"/>
      <c r="AS7" s="2247"/>
      <c r="AT7" s="2247"/>
      <c r="AU7" s="2247"/>
      <c r="AV7" s="1079"/>
      <c r="AW7" s="1079"/>
      <c r="AX7" s="1079"/>
      <c r="AY7" s="1079"/>
      <c r="AZ7" s="1079"/>
      <c r="BA7" s="1079"/>
      <c r="BB7" s="1079"/>
      <c r="BC7" s="1079"/>
      <c r="BD7" s="1079"/>
      <c r="BE7" s="1080"/>
    </row>
    <row r="8" spans="1:65" thickBot="1">
      <c r="A8" s="1078"/>
      <c r="B8" s="1081" t="s">
        <v>1893</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48" t="str">
        <f>Application!T197</f>
        <v>No</v>
      </c>
      <c r="AC8" s="2249"/>
      <c r="AD8" s="2250"/>
      <c r="AE8" s="1079"/>
      <c r="AF8" s="2246" t="s">
        <v>1894</v>
      </c>
      <c r="AG8" s="2246"/>
      <c r="AH8" s="2246"/>
      <c r="AI8" s="2246"/>
      <c r="AJ8" s="2246"/>
      <c r="AK8" s="2246"/>
      <c r="AL8" s="2246"/>
      <c r="AM8" s="2246"/>
      <c r="AN8" s="2246"/>
      <c r="AO8" s="2246"/>
      <c r="AP8" s="2247" t="s">
        <v>684</v>
      </c>
      <c r="AQ8" s="2247"/>
      <c r="AR8" s="2247"/>
      <c r="AS8" s="2247"/>
      <c r="AT8" s="2247"/>
      <c r="AU8" s="2247"/>
      <c r="AV8" s="1079"/>
      <c r="AW8" s="1079"/>
      <c r="AX8" s="1079"/>
      <c r="AY8" s="1079"/>
      <c r="AZ8" s="1079"/>
      <c r="BA8" s="1079"/>
      <c r="BB8" s="1079"/>
      <c r="BC8" s="1079"/>
      <c r="BD8" s="1079"/>
      <c r="BE8" s="1080"/>
      <c r="BM8" s="1076" t="s">
        <v>1895</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39" t="s">
        <v>1896</v>
      </c>
      <c r="AG9" s="2239"/>
      <c r="AH9" s="2239"/>
      <c r="AI9" s="2239"/>
      <c r="AJ9" s="2239"/>
      <c r="AK9" s="2239"/>
      <c r="AL9" s="2239"/>
      <c r="AM9" s="2239"/>
      <c r="AN9" s="2239"/>
      <c r="AO9" s="2239"/>
      <c r="AP9" s="2240"/>
      <c r="AQ9" s="2241"/>
      <c r="AR9" s="2241"/>
      <c r="AS9" s="2241"/>
      <c r="AT9" s="2241"/>
      <c r="AU9" s="2241"/>
      <c r="AV9" s="1079"/>
      <c r="AW9" s="1079"/>
      <c r="AX9" s="1079"/>
      <c r="AY9" s="1079"/>
      <c r="AZ9" s="1079"/>
      <c r="BA9" s="1079"/>
      <c r="BB9" s="1079"/>
      <c r="BC9" s="1079"/>
      <c r="BD9" s="1079"/>
      <c r="BE9" s="1080"/>
      <c r="BM9" s="1076" t="s">
        <v>1897</v>
      </c>
    </row>
    <row r="10" spans="1:65" ht="15">
      <c r="A10" s="1078"/>
      <c r="B10" s="1081" t="s">
        <v>1898</v>
      </c>
      <c r="C10" s="1081"/>
      <c r="D10" s="1081"/>
      <c r="E10" s="1081"/>
      <c r="F10" s="1081"/>
      <c r="G10" s="1081"/>
      <c r="H10" s="1081"/>
      <c r="I10" s="1081"/>
      <c r="J10" s="1081"/>
      <c r="K10" s="1081"/>
      <c r="L10" s="1081"/>
      <c r="M10" s="1079"/>
      <c r="N10" s="2242">
        <f>Application!AO627</f>
        <v>40339401</v>
      </c>
      <c r="O10" s="2242"/>
      <c r="P10" s="2242"/>
      <c r="Q10" s="2242"/>
      <c r="R10" s="2242"/>
      <c r="S10" s="2242"/>
      <c r="T10" s="2242"/>
      <c r="U10" s="1079"/>
      <c r="V10" s="1079"/>
      <c r="W10" s="1079"/>
      <c r="X10" s="1082"/>
      <c r="Y10" s="1082"/>
      <c r="Z10" s="1082"/>
      <c r="AA10" s="1082"/>
      <c r="AB10" s="1082"/>
      <c r="AC10" s="1082"/>
      <c r="AD10" s="1082"/>
      <c r="AE10" s="1082"/>
      <c r="AF10" s="2239" t="s">
        <v>1899</v>
      </c>
      <c r="AG10" s="2239"/>
      <c r="AH10" s="2239"/>
      <c r="AI10" s="2239"/>
      <c r="AJ10" s="2239"/>
      <c r="AK10" s="2239"/>
      <c r="AL10" s="2239"/>
      <c r="AM10" s="2239"/>
      <c r="AN10" s="2239"/>
      <c r="AO10" s="2239"/>
      <c r="AP10" s="2240"/>
      <c r="AQ10" s="2241"/>
      <c r="AR10" s="2241"/>
      <c r="AS10" s="2241"/>
      <c r="AT10" s="2241"/>
      <c r="AU10" s="2241"/>
      <c r="AV10" s="1082"/>
      <c r="AW10" s="1082"/>
      <c r="AX10" s="1079"/>
      <c r="AY10" s="1079"/>
      <c r="AZ10" s="1079"/>
      <c r="BA10" s="1079"/>
      <c r="BB10" s="1079"/>
      <c r="BC10" s="1079"/>
      <c r="BD10" s="1079"/>
      <c r="BE10" s="1080"/>
      <c r="BM10" s="1076" t="s">
        <v>1900</v>
      </c>
    </row>
    <row r="11" spans="1:65" ht="15">
      <c r="A11" s="1078"/>
      <c r="B11" s="1081" t="s">
        <v>1901</v>
      </c>
      <c r="C11" s="1081"/>
      <c r="D11" s="1081"/>
      <c r="E11" s="1081"/>
      <c r="F11" s="1081"/>
      <c r="G11" s="1081"/>
      <c r="H11" s="1081"/>
      <c r="I11" s="1081"/>
      <c r="J11" s="1081"/>
      <c r="K11" s="1081"/>
      <c r="L11" s="1081"/>
      <c r="M11" s="1079"/>
      <c r="N11" s="2242">
        <f>Application!AA934</f>
        <v>0</v>
      </c>
      <c r="O11" s="2242"/>
      <c r="P11" s="2242"/>
      <c r="Q11" s="2242"/>
      <c r="R11" s="2242"/>
      <c r="S11" s="2242"/>
      <c r="T11" s="2242"/>
      <c r="U11" s="1079"/>
      <c r="V11" s="1079"/>
      <c r="W11" s="1079"/>
      <c r="X11" s="1082"/>
      <c r="Y11" s="1082"/>
      <c r="Z11" s="1082"/>
      <c r="AA11" s="1082"/>
      <c r="AB11" s="1082"/>
      <c r="AC11" s="1082"/>
      <c r="AD11" s="1082"/>
      <c r="AE11" s="1082"/>
      <c r="AF11" s="2239" t="s">
        <v>1902</v>
      </c>
      <c r="AG11" s="2239"/>
      <c r="AH11" s="2239"/>
      <c r="AI11" s="2239"/>
      <c r="AJ11" s="2239"/>
      <c r="AK11" s="2239"/>
      <c r="AL11" s="2239"/>
      <c r="AM11" s="2239"/>
      <c r="AN11" s="2239"/>
      <c r="AO11" s="2239"/>
      <c r="AP11" s="2240"/>
      <c r="AQ11" s="2241"/>
      <c r="AR11" s="2241"/>
      <c r="AS11" s="2241"/>
      <c r="AT11" s="2241"/>
      <c r="AU11" s="2241"/>
      <c r="AV11" s="1082"/>
      <c r="AW11" s="1082"/>
      <c r="AX11" s="1079"/>
      <c r="AY11" s="1079"/>
      <c r="AZ11" s="1079"/>
      <c r="BA11" s="1079"/>
      <c r="BB11" s="1079"/>
      <c r="BC11" s="1079"/>
      <c r="BD11" s="1079"/>
      <c r="BE11" s="1080"/>
      <c r="BM11" s="1076" t="s">
        <v>684</v>
      </c>
    </row>
    <row r="12" spans="1:6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1903</v>
      </c>
    </row>
    <row r="13" spans="1:65" thickBot="1">
      <c r="A13" s="1079"/>
      <c r="B13" s="2230" t="s">
        <v>1904</v>
      </c>
      <c r="C13" s="2231"/>
      <c r="D13" s="2231"/>
      <c r="E13" s="2231"/>
      <c r="F13" s="2231"/>
      <c r="G13" s="2231"/>
      <c r="H13" s="2231"/>
      <c r="I13" s="2231"/>
      <c r="J13" s="2231"/>
      <c r="K13" s="2231"/>
      <c r="L13" s="2231"/>
      <c r="M13" s="2231"/>
      <c r="N13" s="2231"/>
      <c r="O13" s="2231"/>
      <c r="P13" s="2232"/>
      <c r="Q13" s="2233" t="s">
        <v>692</v>
      </c>
      <c r="R13" s="2234"/>
      <c r="S13" s="2234"/>
      <c r="T13" s="2235"/>
      <c r="U13" s="1082"/>
      <c r="V13" s="1079"/>
      <c r="W13" s="1079"/>
      <c r="X13" s="1079"/>
      <c r="Y13" s="1079"/>
      <c r="Z13" s="1079"/>
      <c r="AA13" s="2220" t="s">
        <v>1905</v>
      </c>
      <c r="AB13" s="2220"/>
      <c r="AC13" s="2220"/>
      <c r="AD13" s="2220"/>
      <c r="AE13" s="2220"/>
      <c r="AF13" s="2220"/>
      <c r="AG13" s="2220"/>
      <c r="AH13" s="2220"/>
      <c r="AI13" s="2220"/>
      <c r="AJ13" s="2220"/>
      <c r="AK13" s="2220"/>
      <c r="AL13" s="2220"/>
      <c r="AM13" s="2220"/>
      <c r="AN13" s="2220"/>
      <c r="AO13" s="2236">
        <f>Application!W473</f>
        <v>0</v>
      </c>
      <c r="AP13" s="2237"/>
      <c r="AQ13" s="2237"/>
      <c r="AR13" s="2237"/>
      <c r="AS13" s="2237"/>
      <c r="AT13" s="1082"/>
      <c r="AU13" s="1082"/>
      <c r="AV13" s="1082"/>
      <c r="AW13" s="1082"/>
      <c r="AX13" s="1082"/>
      <c r="AY13" s="1082"/>
      <c r="AZ13" s="1082"/>
      <c r="BA13" s="1082"/>
      <c r="BB13" s="1082"/>
      <c r="BC13" s="1082"/>
      <c r="BD13" s="1082"/>
      <c r="BE13" s="1083"/>
      <c r="BM13" s="1076" t="s">
        <v>1906</v>
      </c>
    </row>
    <row r="14" spans="1:6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38" t="s">
        <v>1907</v>
      </c>
      <c r="AB14" s="2238"/>
      <c r="AC14" s="2238"/>
      <c r="AD14" s="2238"/>
      <c r="AE14" s="2238"/>
      <c r="AF14" s="2238"/>
      <c r="AG14" s="2238"/>
      <c r="AH14" s="2238"/>
      <c r="AI14" s="2238"/>
      <c r="AJ14" s="2238"/>
      <c r="AK14" s="2238"/>
      <c r="AL14" s="2238"/>
      <c r="AM14" s="2238"/>
      <c r="AN14" s="2238"/>
      <c r="AO14" s="2221"/>
      <c r="AP14" s="2222"/>
      <c r="AQ14" s="2222"/>
      <c r="AR14" s="2222"/>
      <c r="AS14" s="2222"/>
      <c r="AT14" s="1082"/>
      <c r="AU14" s="1082"/>
      <c r="AV14" s="1082"/>
      <c r="AW14" s="1082"/>
      <c r="AX14" s="1082"/>
      <c r="AY14" s="1082"/>
      <c r="AZ14" s="1082"/>
      <c r="BA14" s="1082"/>
      <c r="BB14" s="1082"/>
      <c r="BC14" s="1082"/>
      <c r="BD14" s="1082"/>
      <c r="BE14" s="1083"/>
    </row>
    <row r="15" spans="1:65" thickBot="1">
      <c r="A15" s="1079"/>
      <c r="B15" s="2215" t="s">
        <v>1908</v>
      </c>
      <c r="C15" s="2216"/>
      <c r="D15" s="2216"/>
      <c r="E15" s="2216"/>
      <c r="F15" s="2216"/>
      <c r="G15" s="2216"/>
      <c r="H15" s="2216"/>
      <c r="I15" s="2216"/>
      <c r="J15" s="2216"/>
      <c r="K15" s="2216"/>
      <c r="L15" s="2216"/>
      <c r="M15" s="2216"/>
      <c r="N15" s="2216"/>
      <c r="O15" s="2216"/>
      <c r="P15" s="2216"/>
      <c r="Q15" s="2216"/>
      <c r="R15" s="2217"/>
      <c r="S15" s="2218" t="str">
        <f>IF(Application!AB214="","",Application!AB214)</f>
        <v/>
      </c>
      <c r="T15" s="2218"/>
      <c r="U15" s="2218"/>
      <c r="V15" s="2218"/>
      <c r="W15" s="2219"/>
      <c r="X15" s="1082"/>
      <c r="Y15" s="1079"/>
      <c r="Z15" s="1079"/>
      <c r="AA15" s="2220" t="s">
        <v>1909</v>
      </c>
      <c r="AB15" s="2220"/>
      <c r="AC15" s="2220"/>
      <c r="AD15" s="2220"/>
      <c r="AE15" s="2220"/>
      <c r="AF15" s="2220"/>
      <c r="AG15" s="2220"/>
      <c r="AH15" s="2220"/>
      <c r="AI15" s="2220"/>
      <c r="AJ15" s="2220"/>
      <c r="AK15" s="2220"/>
      <c r="AL15" s="2220"/>
      <c r="AM15" s="2220"/>
      <c r="AN15" s="2220"/>
      <c r="AO15" s="2221"/>
      <c r="AP15" s="2222"/>
      <c r="AQ15" s="2222"/>
      <c r="AR15" s="2222"/>
      <c r="AS15" s="2222"/>
      <c r="AT15" s="1082"/>
      <c r="AU15" s="1082"/>
      <c r="AV15" s="1082"/>
      <c r="AW15" s="1082"/>
      <c r="AX15" s="1082"/>
      <c r="AY15" s="1082"/>
      <c r="AZ15" s="1082"/>
      <c r="BA15" s="1082"/>
      <c r="BB15" s="1082"/>
      <c r="BC15" s="1082"/>
      <c r="BD15" s="1082"/>
      <c r="BE15" s="1083"/>
    </row>
    <row r="16" spans="1:6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2028" t="s">
        <v>1910</v>
      </c>
      <c r="C17" s="2029"/>
      <c r="D17" s="2029"/>
      <c r="E17" s="2029"/>
      <c r="F17" s="2029"/>
      <c r="G17" s="2029"/>
      <c r="H17" s="2029"/>
      <c r="I17" s="2029"/>
      <c r="J17" s="2029"/>
      <c r="K17" s="2029"/>
      <c r="L17" s="2029"/>
      <c r="M17" s="2029"/>
      <c r="N17" s="2029"/>
      <c r="O17" s="2029"/>
      <c r="P17" s="2029"/>
      <c r="Q17" s="2029"/>
      <c r="R17" s="2029"/>
      <c r="S17" s="2029"/>
      <c r="T17" s="2029"/>
      <c r="U17" s="2029"/>
      <c r="V17" s="2029"/>
      <c r="W17" s="2029"/>
      <c r="X17" s="2029"/>
      <c r="Y17" s="2029"/>
      <c r="Z17" s="2029"/>
      <c r="AA17" s="2029"/>
      <c r="AB17" s="2029"/>
      <c r="AC17" s="2029"/>
      <c r="AD17" s="2029"/>
      <c r="AE17" s="2029"/>
      <c r="AF17" s="2029"/>
      <c r="AG17" s="2029"/>
      <c r="AH17" s="2029"/>
      <c r="AI17" s="2029"/>
      <c r="AJ17" s="2029"/>
      <c r="AK17" s="2029"/>
      <c r="AL17" s="2029"/>
      <c r="AM17" s="2029"/>
      <c r="AN17" s="2029"/>
      <c r="AO17" s="2029"/>
      <c r="AP17" s="2029"/>
      <c r="AQ17" s="2029"/>
      <c r="AR17" s="2029"/>
      <c r="AS17" s="2029"/>
      <c r="AT17" s="2029"/>
      <c r="AU17" s="2029"/>
      <c r="AV17" s="2029"/>
      <c r="AW17" s="2029"/>
      <c r="AX17" s="2029"/>
      <c r="AY17" s="2030"/>
      <c r="AZ17" s="1079"/>
      <c r="BA17" s="1079"/>
      <c r="BB17" s="1079"/>
      <c r="BC17" s="1079"/>
      <c r="BD17" s="1079"/>
      <c r="BE17" s="1083"/>
      <c r="BF17" s="1077"/>
    </row>
    <row r="18" spans="1:58" ht="15.75" customHeight="1">
      <c r="A18" s="1079"/>
      <c r="B18" s="2223" t="s">
        <v>1911</v>
      </c>
      <c r="C18" s="2224"/>
      <c r="D18" s="2224"/>
      <c r="E18" s="2224"/>
      <c r="F18" s="2224"/>
      <c r="G18" s="2224"/>
      <c r="H18" s="2224"/>
      <c r="I18" s="2225"/>
      <c r="J18" s="2226" t="s">
        <v>1912</v>
      </c>
      <c r="K18" s="2227"/>
      <c r="L18" s="2227"/>
      <c r="M18" s="2227"/>
      <c r="N18" s="2227"/>
      <c r="O18" s="2228"/>
      <c r="P18" s="2226" t="s">
        <v>827</v>
      </c>
      <c r="Q18" s="2227"/>
      <c r="R18" s="2227"/>
      <c r="S18" s="2227"/>
      <c r="T18" s="2227"/>
      <c r="U18" s="2228"/>
      <c r="V18" s="2226" t="s">
        <v>828</v>
      </c>
      <c r="W18" s="2227"/>
      <c r="X18" s="2227"/>
      <c r="Y18" s="2227"/>
      <c r="Z18" s="2227"/>
      <c r="AA18" s="2228"/>
      <c r="AB18" s="2226" t="s">
        <v>829</v>
      </c>
      <c r="AC18" s="2227"/>
      <c r="AD18" s="2227"/>
      <c r="AE18" s="2227"/>
      <c r="AF18" s="2227"/>
      <c r="AG18" s="2228"/>
      <c r="AH18" s="2226" t="s">
        <v>830</v>
      </c>
      <c r="AI18" s="2227"/>
      <c r="AJ18" s="2227"/>
      <c r="AK18" s="2227"/>
      <c r="AL18" s="2227"/>
      <c r="AM18" s="2228"/>
      <c r="AN18" s="2226" t="s">
        <v>831</v>
      </c>
      <c r="AO18" s="2227"/>
      <c r="AP18" s="2227"/>
      <c r="AQ18" s="2227"/>
      <c r="AR18" s="2227"/>
      <c r="AS18" s="2228"/>
      <c r="AT18" s="2226" t="s">
        <v>1913</v>
      </c>
      <c r="AU18" s="2227"/>
      <c r="AV18" s="2227"/>
      <c r="AW18" s="2227"/>
      <c r="AX18" s="2227"/>
      <c r="AY18" s="2229"/>
      <c r="AZ18" s="1079"/>
      <c r="BA18" s="1079"/>
      <c r="BB18" s="1079"/>
      <c r="BC18" s="1079"/>
      <c r="BD18" s="1079"/>
      <c r="BE18" s="1083"/>
    </row>
    <row r="19" spans="1:58" ht="15">
      <c r="A19" s="1079"/>
      <c r="B19" s="2209">
        <v>0.3</v>
      </c>
      <c r="C19" s="2210"/>
      <c r="D19" s="2210"/>
      <c r="E19" s="2210"/>
      <c r="F19" s="2210"/>
      <c r="G19" s="2210"/>
      <c r="H19" s="2210"/>
      <c r="I19" s="2211"/>
      <c r="J19" s="2212">
        <f t="shared" ref="J19:J24" si="0">SUM(P19:AS19)</f>
        <v>35</v>
      </c>
      <c r="K19" s="2213"/>
      <c r="L19" s="2213"/>
      <c r="M19" s="2213"/>
      <c r="N19" s="2213"/>
      <c r="O19" s="2214"/>
      <c r="P19" s="2212" cm="1">
        <f t="array" ref="P19">SUMPRODUCT((Application!$B$718:$B$752 = 'CalHFA Addendum'!P$18)*(Application!$AC$718:$AC$752 = 'CalHFA Addendum'!$B19),Application!$G$718:$G$752)</f>
        <v>0</v>
      </c>
      <c r="Q19" s="2213"/>
      <c r="R19" s="2213"/>
      <c r="S19" s="2213"/>
      <c r="T19" s="2213"/>
      <c r="U19" s="2214"/>
      <c r="V19" s="2212" cm="1">
        <f t="array" ref="V19">SUMPRODUCT((Application!$B$714:$B$738 = 'CalHFA Addendum'!V$18)*(Application!$AC$714:$AC$738 = 'CalHFA Addendum'!$B19),Application!$G$714:$G$738)</f>
        <v>20</v>
      </c>
      <c r="W19" s="2213"/>
      <c r="X19" s="2213"/>
      <c r="Y19" s="2213"/>
      <c r="Z19" s="2213"/>
      <c r="AA19" s="2214"/>
      <c r="AB19" s="2212" cm="1">
        <f t="array" ref="AB19">SUMPRODUCT((Application!$B$714:$B$738 = 'CalHFA Addendum'!AB$18)*(Application!$AC$714:$AC$738 = 'CalHFA Addendum'!$B19),Application!$G$714:$G$738)</f>
        <v>7</v>
      </c>
      <c r="AC19" s="2213"/>
      <c r="AD19" s="2213"/>
      <c r="AE19" s="2213"/>
      <c r="AF19" s="2213"/>
      <c r="AG19" s="2214"/>
      <c r="AH19" s="2212" cm="1">
        <f t="array" ref="AH19">SUMPRODUCT((Application!$B$714:$B$738 = 'CalHFA Addendum'!AH$18)*(Application!$AC$714:$AC$738 = 'CalHFA Addendum'!$B19),Application!$G$714:$G$738)</f>
        <v>8</v>
      </c>
      <c r="AI19" s="2213"/>
      <c r="AJ19" s="2213"/>
      <c r="AK19" s="2213"/>
      <c r="AL19" s="2213"/>
      <c r="AM19" s="2214"/>
      <c r="AN19" s="2212" cm="1">
        <f t="array" ref="AN19">SUMPRODUCT((Application!$B$714:$B$738 = 'CalHFA Addendum'!AN$18)*(Application!$AC$714:$AC$738 = 'CalHFA Addendum'!$B19),Application!$G$714:$G$738)</f>
        <v>0</v>
      </c>
      <c r="AO19" s="2213"/>
      <c r="AP19" s="2213"/>
      <c r="AQ19" s="2213"/>
      <c r="AR19" s="2213"/>
      <c r="AS19" s="2214"/>
      <c r="AT19" s="2197">
        <f t="shared" ref="AT19:AT29" si="1">J19/$J$29</f>
        <v>0.17948717948717949</v>
      </c>
      <c r="AU19" s="2198"/>
      <c r="AV19" s="2198"/>
      <c r="AW19" s="2198"/>
      <c r="AX19" s="2198"/>
      <c r="AY19" s="2199"/>
      <c r="AZ19" s="1084"/>
      <c r="BA19" s="1079"/>
      <c r="BB19" s="1079"/>
      <c r="BC19" s="1079"/>
      <c r="BD19" s="1079"/>
      <c r="BE19" s="1083"/>
    </row>
    <row r="20" spans="1:58" ht="15" customHeight="1">
      <c r="A20" s="1079"/>
      <c r="B20" s="2209">
        <v>0.4</v>
      </c>
      <c r="C20" s="2210"/>
      <c r="D20" s="2210"/>
      <c r="E20" s="2210"/>
      <c r="F20" s="2210"/>
      <c r="G20" s="2210"/>
      <c r="H20" s="2210"/>
      <c r="I20" s="2211"/>
      <c r="J20" s="2212">
        <f t="shared" si="0"/>
        <v>0</v>
      </c>
      <c r="K20" s="2213"/>
      <c r="L20" s="2213"/>
      <c r="M20" s="2213"/>
      <c r="N20" s="2213"/>
      <c r="O20" s="2214"/>
      <c r="P20" s="2212" cm="1">
        <f t="array" ref="P20">SUMPRODUCT((Application!$B$718:$B$752 = 'CalHFA Addendum'!P$18)*(Application!$AC$718:$AC$752 = 'CalHFA Addendum'!$B20),Application!$G$718:$G$752)</f>
        <v>0</v>
      </c>
      <c r="Q20" s="2213"/>
      <c r="R20" s="2213"/>
      <c r="S20" s="2213"/>
      <c r="T20" s="2213"/>
      <c r="U20" s="2214"/>
      <c r="V20" s="2212" cm="1">
        <f t="array" ref="V20">SUMPRODUCT((Application!$B$714:$B$738 = 'CalHFA Addendum'!V$18)*(Application!$AC$714:$AC$738 = 'CalHFA Addendum'!$B20),Application!$G$714:$G$738)</f>
        <v>0</v>
      </c>
      <c r="W20" s="2213"/>
      <c r="X20" s="2213"/>
      <c r="Y20" s="2213"/>
      <c r="Z20" s="2213"/>
      <c r="AA20" s="2214"/>
      <c r="AB20" s="2212" cm="1">
        <f t="array" ref="AB20">SUMPRODUCT((Application!$B$714:$B$738 = 'CalHFA Addendum'!AB$18)*(Application!$AC$714:$AC$738 = 'CalHFA Addendum'!$B20),Application!$G$714:$G$738)</f>
        <v>0</v>
      </c>
      <c r="AC20" s="2213"/>
      <c r="AD20" s="2213"/>
      <c r="AE20" s="2213"/>
      <c r="AF20" s="2213"/>
      <c r="AG20" s="2214"/>
      <c r="AH20" s="2212" cm="1">
        <f t="array" ref="AH20">SUMPRODUCT((Application!$B$714:$B$738 = 'CalHFA Addendum'!AH$18)*(Application!$AC$714:$AC$738 = 'CalHFA Addendum'!$B20),Application!$G$714:$G$738)</f>
        <v>0</v>
      </c>
      <c r="AI20" s="2213"/>
      <c r="AJ20" s="2213"/>
      <c r="AK20" s="2213"/>
      <c r="AL20" s="2213"/>
      <c r="AM20" s="2214"/>
      <c r="AN20" s="2212" cm="1">
        <f t="array" ref="AN20">SUMPRODUCT((Application!$B$714:$B$738 = 'CalHFA Addendum'!AN$18)*(Application!$AC$714:$AC$738 = 'CalHFA Addendum'!$B20),Application!$G$714:$G$738)</f>
        <v>0</v>
      </c>
      <c r="AO20" s="2213"/>
      <c r="AP20" s="2213"/>
      <c r="AQ20" s="2213"/>
      <c r="AR20" s="2213"/>
      <c r="AS20" s="2214"/>
      <c r="AT20" s="2197">
        <f t="shared" si="1"/>
        <v>0</v>
      </c>
      <c r="AU20" s="2198"/>
      <c r="AV20" s="2198"/>
      <c r="AW20" s="2198"/>
      <c r="AX20" s="2198"/>
      <c r="AY20" s="2199"/>
      <c r="AZ20" s="1079"/>
      <c r="BA20" s="1079"/>
      <c r="BB20" s="1079"/>
      <c r="BC20" s="1079"/>
      <c r="BD20" s="1079"/>
      <c r="BE20" s="1083"/>
    </row>
    <row r="21" spans="1:58" ht="15">
      <c r="A21" s="1079"/>
      <c r="B21" s="2209">
        <v>0.5</v>
      </c>
      <c r="C21" s="2210"/>
      <c r="D21" s="2210"/>
      <c r="E21" s="2210"/>
      <c r="F21" s="2210"/>
      <c r="G21" s="2210"/>
      <c r="H21" s="2210"/>
      <c r="I21" s="2211"/>
      <c r="J21" s="2212">
        <f t="shared" si="0"/>
        <v>20</v>
      </c>
      <c r="K21" s="2213"/>
      <c r="L21" s="2213"/>
      <c r="M21" s="2213"/>
      <c r="N21" s="2213"/>
      <c r="O21" s="2214"/>
      <c r="P21" s="2212" cm="1">
        <f t="array" ref="P21">SUMPRODUCT((Application!$B$714:$B$738 = 'CalHFA Addendum'!P$18)*(Application!$AC$714:$AC$738 = 'CalHFA Addendum'!$B21),Application!$G$714:$G$738)</f>
        <v>0</v>
      </c>
      <c r="Q21" s="2213"/>
      <c r="R21" s="2213"/>
      <c r="S21" s="2213"/>
      <c r="T21" s="2213"/>
      <c r="U21" s="2214"/>
      <c r="V21" s="2212" cm="1">
        <f t="array" ref="V21">SUMPRODUCT((Application!$B$714:$B$738 = 'CalHFA Addendum'!V$18)*(Application!$AC$714:$AC$738 = 'CalHFA Addendum'!$B21),Application!$G$714:$G$738)</f>
        <v>9</v>
      </c>
      <c r="W21" s="2213"/>
      <c r="X21" s="2213"/>
      <c r="Y21" s="2213"/>
      <c r="Z21" s="2213"/>
      <c r="AA21" s="2214"/>
      <c r="AB21" s="2212" cm="1">
        <f t="array" ref="AB21">SUMPRODUCT((Application!$B$714:$B$738 = 'CalHFA Addendum'!AB$18)*(Application!$AC$714:$AC$738 = 'CalHFA Addendum'!$B21),Application!$G$714:$G$738)</f>
        <v>5</v>
      </c>
      <c r="AC21" s="2213"/>
      <c r="AD21" s="2213"/>
      <c r="AE21" s="2213"/>
      <c r="AF21" s="2213"/>
      <c r="AG21" s="2214"/>
      <c r="AH21" s="2212" cm="1">
        <f t="array" ref="AH21">SUMPRODUCT((Application!$B$714:$B$738 = 'CalHFA Addendum'!AH$18)*(Application!$AC$714:$AC$738 = 'CalHFA Addendum'!$B21),Application!$G$714:$G$738)</f>
        <v>6</v>
      </c>
      <c r="AI21" s="2213"/>
      <c r="AJ21" s="2213"/>
      <c r="AK21" s="2213"/>
      <c r="AL21" s="2213"/>
      <c r="AM21" s="2214"/>
      <c r="AN21" s="2212" cm="1">
        <f t="array" ref="AN21">SUMPRODUCT((Application!$B$714:$B$738 = 'CalHFA Addendum'!AN$18)*(Application!$AC$714:$AC$738 = 'CalHFA Addendum'!$B21),Application!$G$714:$G$738)</f>
        <v>0</v>
      </c>
      <c r="AO21" s="2213"/>
      <c r="AP21" s="2213"/>
      <c r="AQ21" s="2213"/>
      <c r="AR21" s="2213"/>
      <c r="AS21" s="2214"/>
      <c r="AT21" s="2197">
        <f t="shared" si="1"/>
        <v>0.10256410256410256</v>
      </c>
      <c r="AU21" s="2198"/>
      <c r="AV21" s="2198"/>
      <c r="AW21" s="2198"/>
      <c r="AX21" s="2198"/>
      <c r="AY21" s="2199"/>
      <c r="AZ21" s="1079"/>
      <c r="BA21" s="1079"/>
      <c r="BB21" s="1079"/>
      <c r="BC21" s="1079"/>
      <c r="BD21" s="1079"/>
      <c r="BE21" s="1083"/>
    </row>
    <row r="22" spans="1:58" ht="15">
      <c r="A22" s="1079"/>
      <c r="B22" s="2209">
        <v>0.6</v>
      </c>
      <c r="C22" s="2210"/>
      <c r="D22" s="2210"/>
      <c r="E22" s="2210"/>
      <c r="F22" s="2210"/>
      <c r="G22" s="2210"/>
      <c r="H22" s="2210"/>
      <c r="I22" s="2211"/>
      <c r="J22" s="2212">
        <f t="shared" si="0"/>
        <v>79</v>
      </c>
      <c r="K22" s="2213"/>
      <c r="L22" s="2213"/>
      <c r="M22" s="2213"/>
      <c r="N22" s="2213"/>
      <c r="O22" s="2214"/>
      <c r="P22" s="2212" cm="1">
        <f t="array" ref="P22">SUMPRODUCT((Application!$B$714:$B$738 = 'CalHFA Addendum'!P$18)*(Application!$AC$714:$AC$738 = 'CalHFA Addendum'!$B22),Application!$G$714:$G$738)</f>
        <v>0</v>
      </c>
      <c r="Q22" s="2213"/>
      <c r="R22" s="2213"/>
      <c r="S22" s="2213"/>
      <c r="T22" s="2213"/>
      <c r="U22" s="2214"/>
      <c r="V22" s="2212" cm="1">
        <f t="array" ref="V22">SUMPRODUCT((Application!$B$714:$B$738 = 'CalHFA Addendum'!V$18)*(Application!$AC$714:$AC$738 = 'CalHFA Addendum'!$B22),Application!$G$714:$G$738)</f>
        <v>37</v>
      </c>
      <c r="W22" s="2213"/>
      <c r="X22" s="2213"/>
      <c r="Y22" s="2213"/>
      <c r="Z22" s="2213"/>
      <c r="AA22" s="2214"/>
      <c r="AB22" s="2212" cm="1">
        <f t="array" ref="AB22">SUMPRODUCT((Application!$B$714:$B$738 = 'CalHFA Addendum'!AB$18)*(Application!$AC$714:$AC$738 = 'CalHFA Addendum'!$B22),Application!$G$714:$G$738)</f>
        <v>21</v>
      </c>
      <c r="AC22" s="2213"/>
      <c r="AD22" s="2213"/>
      <c r="AE22" s="2213"/>
      <c r="AF22" s="2213"/>
      <c r="AG22" s="2214"/>
      <c r="AH22" s="2212" cm="1">
        <f t="array" ref="AH22">SUMPRODUCT((Application!$B$714:$B$738 = 'CalHFA Addendum'!AH$18)*(Application!$AC$714:$AC$738 = 'CalHFA Addendum'!$B22),Application!$G$714:$G$738)</f>
        <v>21</v>
      </c>
      <c r="AI22" s="2213"/>
      <c r="AJ22" s="2213"/>
      <c r="AK22" s="2213"/>
      <c r="AL22" s="2213"/>
      <c r="AM22" s="2214"/>
      <c r="AN22" s="2212" cm="1">
        <f t="array" ref="AN22">SUMPRODUCT((Application!$B$714:$B$738 = 'CalHFA Addendum'!AN$18)*(Application!$AC$714:$AC$738 = 'CalHFA Addendum'!$B22),Application!$G$714:$G$738)</f>
        <v>0</v>
      </c>
      <c r="AO22" s="2213"/>
      <c r="AP22" s="2213"/>
      <c r="AQ22" s="2213"/>
      <c r="AR22" s="2213"/>
      <c r="AS22" s="2214"/>
      <c r="AT22" s="2197">
        <f t="shared" si="1"/>
        <v>0.40512820512820513</v>
      </c>
      <c r="AU22" s="2198"/>
      <c r="AV22" s="2198"/>
      <c r="AW22" s="2198"/>
      <c r="AX22" s="2198"/>
      <c r="AY22" s="2199"/>
      <c r="AZ22" s="1079"/>
      <c r="BA22" s="1079"/>
      <c r="BB22" s="1079"/>
      <c r="BC22" s="1079"/>
      <c r="BD22" s="1079"/>
      <c r="BE22" s="1083"/>
    </row>
    <row r="23" spans="1:58" ht="15">
      <c r="A23" s="1079"/>
      <c r="B23" s="2209">
        <v>0.7</v>
      </c>
      <c r="C23" s="2210"/>
      <c r="D23" s="2210"/>
      <c r="E23" s="2210"/>
      <c r="F23" s="2210"/>
      <c r="G23" s="2210"/>
      <c r="H23" s="2210"/>
      <c r="I23" s="2211"/>
      <c r="J23" s="2212">
        <f t="shared" si="0"/>
        <v>59</v>
      </c>
      <c r="K23" s="2213"/>
      <c r="L23" s="2213"/>
      <c r="M23" s="2213"/>
      <c r="N23" s="2213"/>
      <c r="O23" s="2214"/>
      <c r="P23" s="2212" cm="1">
        <f t="array" ref="P23">SUMPRODUCT((Application!$B$714:$B$738 = 'CalHFA Addendum'!P$18)*(Application!$AC$714:$AC$738 = 'CalHFA Addendum'!$B23),Application!$G$714:$G$738)</f>
        <v>0</v>
      </c>
      <c r="Q23" s="2213"/>
      <c r="R23" s="2213"/>
      <c r="S23" s="2213"/>
      <c r="T23" s="2213"/>
      <c r="U23" s="2214"/>
      <c r="V23" s="2212" cm="1">
        <f t="array" ref="V23">SUMPRODUCT((Application!$B$714:$B$738 = 'CalHFA Addendum'!V$18)*(Application!$AC$714:$AC$738 = 'CalHFA Addendum'!$B23),Application!$G$714:$G$738)</f>
        <v>23</v>
      </c>
      <c r="W23" s="2213"/>
      <c r="X23" s="2213"/>
      <c r="Y23" s="2213"/>
      <c r="Z23" s="2213"/>
      <c r="AA23" s="2214"/>
      <c r="AB23" s="2212" cm="1">
        <f t="array" ref="AB23">SUMPRODUCT((Application!$B$714:$B$738 = 'CalHFA Addendum'!AB$18)*(Application!$AC$714:$AC$738 = 'CalHFA Addendum'!$B23),Application!$G$714:$G$738)</f>
        <v>16</v>
      </c>
      <c r="AC23" s="2213"/>
      <c r="AD23" s="2213"/>
      <c r="AE23" s="2213"/>
      <c r="AF23" s="2213"/>
      <c r="AG23" s="2214"/>
      <c r="AH23" s="2212" cm="1">
        <f t="array" ref="AH23">SUMPRODUCT((Application!$B$714:$B$738 = 'CalHFA Addendum'!AH$18)*(Application!$AC$714:$AC$738 = 'CalHFA Addendum'!$B23),Application!$G$714:$G$738)</f>
        <v>20</v>
      </c>
      <c r="AI23" s="2213"/>
      <c r="AJ23" s="2213"/>
      <c r="AK23" s="2213"/>
      <c r="AL23" s="2213"/>
      <c r="AM23" s="2214"/>
      <c r="AN23" s="2212" cm="1">
        <f t="array" ref="AN23">SUMPRODUCT((Application!$B$714:$B$738 = 'CalHFA Addendum'!AN$18)*(Application!$AC$714:$AC$738 = 'CalHFA Addendum'!$B23),Application!$G$714:$G$738)</f>
        <v>0</v>
      </c>
      <c r="AO23" s="2213"/>
      <c r="AP23" s="2213"/>
      <c r="AQ23" s="2213"/>
      <c r="AR23" s="2213"/>
      <c r="AS23" s="2214"/>
      <c r="AT23" s="2197">
        <f t="shared" si="1"/>
        <v>0.30256410256410254</v>
      </c>
      <c r="AU23" s="2198"/>
      <c r="AV23" s="2198"/>
      <c r="AW23" s="2198"/>
      <c r="AX23" s="2198"/>
      <c r="AY23" s="2199"/>
      <c r="AZ23" s="1079"/>
      <c r="BA23" s="1079"/>
      <c r="BB23" s="1079"/>
      <c r="BC23" s="1079"/>
      <c r="BD23" s="1079"/>
      <c r="BE23" s="1083"/>
    </row>
    <row r="24" spans="1:58" ht="15">
      <c r="A24" s="1079"/>
      <c r="B24" s="2209">
        <v>0.8</v>
      </c>
      <c r="C24" s="2210"/>
      <c r="D24" s="2210"/>
      <c r="E24" s="2210"/>
      <c r="F24" s="2210"/>
      <c r="G24" s="2210"/>
      <c r="H24" s="2210"/>
      <c r="I24" s="2211"/>
      <c r="J24" s="2212">
        <f t="shared" si="0"/>
        <v>0</v>
      </c>
      <c r="K24" s="2213"/>
      <c r="L24" s="2213"/>
      <c r="M24" s="2213"/>
      <c r="N24" s="2213"/>
      <c r="O24" s="2214"/>
      <c r="P24" s="2212" cm="1">
        <f t="array" ref="P24">SUMPRODUCT((Application!$B$714:$B$738 = 'CalHFA Addendum'!P$18)*(Application!$AC$714:$AC$738 = 'CalHFA Addendum'!$B24),Application!$G$714:$G$738)</f>
        <v>0</v>
      </c>
      <c r="Q24" s="2213"/>
      <c r="R24" s="2213"/>
      <c r="S24" s="2213"/>
      <c r="T24" s="2213"/>
      <c r="U24" s="2214"/>
      <c r="V24" s="2212" cm="1">
        <f t="array" ref="V24">SUMPRODUCT((Application!$B$714:$B$738 = 'CalHFA Addendum'!V$18)*(Application!$AC$714:$AC$738 = 'CalHFA Addendum'!$B24),Application!$G$714:$G$738)</f>
        <v>0</v>
      </c>
      <c r="W24" s="2213"/>
      <c r="X24" s="2213"/>
      <c r="Y24" s="2213"/>
      <c r="Z24" s="2213"/>
      <c r="AA24" s="2214"/>
      <c r="AB24" s="2212" cm="1">
        <f t="array" ref="AB24">SUMPRODUCT((Application!$B$714:$B$738 = 'CalHFA Addendum'!AB$18)*(Application!$AC$714:$AC$738 = 'CalHFA Addendum'!$B24),Application!$G$714:$G$738)</f>
        <v>0</v>
      </c>
      <c r="AC24" s="2213"/>
      <c r="AD24" s="2213"/>
      <c r="AE24" s="2213"/>
      <c r="AF24" s="2213"/>
      <c r="AG24" s="2214"/>
      <c r="AH24" s="2212" cm="1">
        <f t="array" ref="AH24">SUMPRODUCT((Application!$B$714:$B$738 = 'CalHFA Addendum'!AH$18)*(Application!$AC$714:$AC$738 = 'CalHFA Addendum'!$B24),Application!$G$714:$G$738)</f>
        <v>0</v>
      </c>
      <c r="AI24" s="2213"/>
      <c r="AJ24" s="2213"/>
      <c r="AK24" s="2213"/>
      <c r="AL24" s="2213"/>
      <c r="AM24" s="2214"/>
      <c r="AN24" s="2212" cm="1">
        <f t="array" ref="AN24">SUMPRODUCT((Application!$B$714:$B$738 = 'CalHFA Addendum'!AN$18)*(Application!$AC$714:$AC$738 = 'CalHFA Addendum'!$B24),Application!$G$714:$G$738)</f>
        <v>0</v>
      </c>
      <c r="AO24" s="2213"/>
      <c r="AP24" s="2213"/>
      <c r="AQ24" s="2213"/>
      <c r="AR24" s="2213"/>
      <c r="AS24" s="2214"/>
      <c r="AT24" s="2197">
        <f t="shared" si="1"/>
        <v>0</v>
      </c>
      <c r="AU24" s="2198"/>
      <c r="AV24" s="2198"/>
      <c r="AW24" s="2198"/>
      <c r="AX24" s="2198"/>
      <c r="AY24" s="2199"/>
      <c r="AZ24" s="1079"/>
      <c r="BA24" s="1079"/>
      <c r="BB24" s="1079"/>
      <c r="BC24" s="1079"/>
      <c r="BD24" s="1079"/>
      <c r="BE24" s="1083"/>
    </row>
    <row r="25" spans="1:58" ht="15">
      <c r="A25" s="1079"/>
      <c r="B25" s="2209">
        <v>0.9</v>
      </c>
      <c r="C25" s="2210"/>
      <c r="D25" s="2210"/>
      <c r="E25" s="2210"/>
      <c r="F25" s="2210"/>
      <c r="G25" s="2210"/>
      <c r="H25" s="2210"/>
      <c r="I25" s="2211"/>
      <c r="J25" s="2194"/>
      <c r="K25" s="2195"/>
      <c r="L25" s="2195"/>
      <c r="M25" s="2195"/>
      <c r="N25" s="2195"/>
      <c r="O25" s="2196"/>
      <c r="P25" s="2194"/>
      <c r="Q25" s="2195"/>
      <c r="R25" s="2195"/>
      <c r="S25" s="2195"/>
      <c r="T25" s="2195"/>
      <c r="U25" s="2196"/>
      <c r="V25" s="2194"/>
      <c r="W25" s="2195"/>
      <c r="X25" s="2195"/>
      <c r="Y25" s="2195"/>
      <c r="Z25" s="2195"/>
      <c r="AA25" s="2196"/>
      <c r="AB25" s="2194"/>
      <c r="AC25" s="2195"/>
      <c r="AD25" s="2195"/>
      <c r="AE25" s="2195"/>
      <c r="AF25" s="2195"/>
      <c r="AG25" s="2196"/>
      <c r="AH25" s="2194"/>
      <c r="AI25" s="2195"/>
      <c r="AJ25" s="2195"/>
      <c r="AK25" s="2195"/>
      <c r="AL25" s="2195"/>
      <c r="AM25" s="2196"/>
      <c r="AN25" s="2194"/>
      <c r="AO25" s="2195"/>
      <c r="AP25" s="2195"/>
      <c r="AQ25" s="2195"/>
      <c r="AR25" s="2195"/>
      <c r="AS25" s="2196"/>
      <c r="AT25" s="2197">
        <f t="shared" si="1"/>
        <v>0</v>
      </c>
      <c r="AU25" s="2198"/>
      <c r="AV25" s="2198"/>
      <c r="AW25" s="2198"/>
      <c r="AX25" s="2198"/>
      <c r="AY25" s="2199"/>
      <c r="AZ25" s="1079"/>
      <c r="BA25" s="1079"/>
      <c r="BB25" s="1079"/>
      <c r="BC25" s="1079"/>
      <c r="BD25" s="1079"/>
      <c r="BE25" s="1083"/>
    </row>
    <row r="26" spans="1:58" ht="15">
      <c r="A26" s="1079"/>
      <c r="B26" s="2209">
        <v>1</v>
      </c>
      <c r="C26" s="2210"/>
      <c r="D26" s="2210"/>
      <c r="E26" s="2210"/>
      <c r="F26" s="2210"/>
      <c r="G26" s="2210"/>
      <c r="H26" s="2210"/>
      <c r="I26" s="2211"/>
      <c r="J26" s="2194"/>
      <c r="K26" s="2195"/>
      <c r="L26" s="2195"/>
      <c r="M26" s="2195"/>
      <c r="N26" s="2195"/>
      <c r="O26" s="2196"/>
      <c r="P26" s="2194"/>
      <c r="Q26" s="2195"/>
      <c r="R26" s="2195"/>
      <c r="S26" s="2195"/>
      <c r="T26" s="2195"/>
      <c r="U26" s="2196"/>
      <c r="V26" s="2194"/>
      <c r="W26" s="2195"/>
      <c r="X26" s="2195"/>
      <c r="Y26" s="2195"/>
      <c r="Z26" s="2195"/>
      <c r="AA26" s="2196"/>
      <c r="AB26" s="2194"/>
      <c r="AC26" s="2195"/>
      <c r="AD26" s="2195"/>
      <c r="AE26" s="2195"/>
      <c r="AF26" s="2195"/>
      <c r="AG26" s="2196"/>
      <c r="AH26" s="2194"/>
      <c r="AI26" s="2195"/>
      <c r="AJ26" s="2195"/>
      <c r="AK26" s="2195"/>
      <c r="AL26" s="2195"/>
      <c r="AM26" s="2196"/>
      <c r="AN26" s="2194"/>
      <c r="AO26" s="2195"/>
      <c r="AP26" s="2195"/>
      <c r="AQ26" s="2195"/>
      <c r="AR26" s="2195"/>
      <c r="AS26" s="2196"/>
      <c r="AT26" s="2197">
        <f t="shared" si="1"/>
        <v>0</v>
      </c>
      <c r="AU26" s="2198"/>
      <c r="AV26" s="2198"/>
      <c r="AW26" s="2198"/>
      <c r="AX26" s="2198"/>
      <c r="AY26" s="2199"/>
      <c r="AZ26" s="1079"/>
      <c r="BA26" s="1079"/>
      <c r="BB26" s="1079"/>
      <c r="BC26" s="1079"/>
      <c r="BD26" s="1079"/>
      <c r="BE26" s="1083"/>
    </row>
    <row r="27" spans="1:58" ht="15">
      <c r="A27" s="1079"/>
      <c r="B27" s="2209">
        <v>1.2</v>
      </c>
      <c r="C27" s="2210"/>
      <c r="D27" s="2210"/>
      <c r="E27" s="2210"/>
      <c r="F27" s="2210"/>
      <c r="G27" s="2210"/>
      <c r="H27" s="2210"/>
      <c r="I27" s="2211"/>
      <c r="J27" s="2194"/>
      <c r="K27" s="2195"/>
      <c r="L27" s="2195"/>
      <c r="M27" s="2195"/>
      <c r="N27" s="2195"/>
      <c r="O27" s="2196"/>
      <c r="P27" s="2194"/>
      <c r="Q27" s="2195"/>
      <c r="R27" s="2195"/>
      <c r="S27" s="2195"/>
      <c r="T27" s="2195"/>
      <c r="U27" s="2196"/>
      <c r="V27" s="2194"/>
      <c r="W27" s="2195"/>
      <c r="X27" s="2195"/>
      <c r="Y27" s="2195"/>
      <c r="Z27" s="2195"/>
      <c r="AA27" s="2196"/>
      <c r="AB27" s="2194"/>
      <c r="AC27" s="2195"/>
      <c r="AD27" s="2195"/>
      <c r="AE27" s="2195"/>
      <c r="AF27" s="2195"/>
      <c r="AG27" s="2196"/>
      <c r="AH27" s="2194"/>
      <c r="AI27" s="2195"/>
      <c r="AJ27" s="2195"/>
      <c r="AK27" s="2195"/>
      <c r="AL27" s="2195"/>
      <c r="AM27" s="2196"/>
      <c r="AN27" s="2194"/>
      <c r="AO27" s="2195"/>
      <c r="AP27" s="2195"/>
      <c r="AQ27" s="2195"/>
      <c r="AR27" s="2195"/>
      <c r="AS27" s="2196"/>
      <c r="AT27" s="2197">
        <f t="shared" si="1"/>
        <v>0</v>
      </c>
      <c r="AU27" s="2198"/>
      <c r="AV27" s="2198"/>
      <c r="AW27" s="2198"/>
      <c r="AX27" s="2198"/>
      <c r="AY27" s="2199"/>
      <c r="AZ27" s="1079"/>
      <c r="BA27" s="1079"/>
      <c r="BB27" s="1079"/>
      <c r="BC27" s="1079"/>
      <c r="BD27" s="1079"/>
      <c r="BE27" s="1083"/>
    </row>
    <row r="28" spans="1:58" thickBot="1">
      <c r="A28" s="1079"/>
      <c r="B28" s="2200" t="s">
        <v>1914</v>
      </c>
      <c r="C28" s="2201"/>
      <c r="D28" s="2201"/>
      <c r="E28" s="2201"/>
      <c r="F28" s="2201"/>
      <c r="G28" s="2201"/>
      <c r="H28" s="2201"/>
      <c r="I28" s="2202"/>
      <c r="J28" s="2203">
        <f>SUM(P28:AS28)</f>
        <v>2</v>
      </c>
      <c r="K28" s="2204"/>
      <c r="L28" s="2204"/>
      <c r="M28" s="2204"/>
      <c r="N28" s="2204"/>
      <c r="O28" s="2205"/>
      <c r="P28" s="2203">
        <f>_xlfn.IFNA(VLOOKUP(P$18,Application!$J$773:$S$776,6,FALSE), 0)</f>
        <v>0</v>
      </c>
      <c r="Q28" s="2204"/>
      <c r="R28" s="2204"/>
      <c r="S28" s="2204"/>
      <c r="T28" s="2204"/>
      <c r="U28" s="2205"/>
      <c r="V28" s="2203">
        <f>_xlfn.IFNA(VLOOKUP(V$18,Application!$J$773:$S$776,6,FALSE), 0)</f>
        <v>2</v>
      </c>
      <c r="W28" s="2204"/>
      <c r="X28" s="2204"/>
      <c r="Y28" s="2204"/>
      <c r="Z28" s="2204"/>
      <c r="AA28" s="2205"/>
      <c r="AB28" s="2203">
        <f>_xlfn.IFNA(VLOOKUP(AB$18,Application!$J$773:$S$776,6,FALSE), 0)</f>
        <v>0</v>
      </c>
      <c r="AC28" s="2204"/>
      <c r="AD28" s="2204"/>
      <c r="AE28" s="2204"/>
      <c r="AF28" s="2204"/>
      <c r="AG28" s="2205"/>
      <c r="AH28" s="2203">
        <f>_xlfn.IFNA(VLOOKUP(AH$18,Application!$J$773:$S$776,6,FALSE), 0)</f>
        <v>0</v>
      </c>
      <c r="AI28" s="2204"/>
      <c r="AJ28" s="2204"/>
      <c r="AK28" s="2204"/>
      <c r="AL28" s="2204"/>
      <c r="AM28" s="2205"/>
      <c r="AN28" s="2203">
        <f>_xlfn.IFNA(VLOOKUP(AN$18,Application!$J$773:$S$776,6,FALSE), 0)</f>
        <v>0</v>
      </c>
      <c r="AO28" s="2204"/>
      <c r="AP28" s="2204"/>
      <c r="AQ28" s="2204"/>
      <c r="AR28" s="2204"/>
      <c r="AS28" s="2205"/>
      <c r="AT28" s="2206">
        <f t="shared" si="1"/>
        <v>1.0256410256410256E-2</v>
      </c>
      <c r="AU28" s="2207"/>
      <c r="AV28" s="2207"/>
      <c r="AW28" s="2207"/>
      <c r="AX28" s="2207"/>
      <c r="AY28" s="2208"/>
      <c r="AZ28" s="1079"/>
      <c r="BA28" s="1079"/>
      <c r="BB28" s="1079"/>
      <c r="BC28" s="1079"/>
      <c r="BD28" s="1079"/>
      <c r="BE28" s="1083"/>
    </row>
    <row r="29" spans="1:58" thickBot="1">
      <c r="A29" s="1079"/>
      <c r="B29" s="2183" t="s">
        <v>1912</v>
      </c>
      <c r="C29" s="2156"/>
      <c r="D29" s="2156"/>
      <c r="E29" s="2156"/>
      <c r="F29" s="2156"/>
      <c r="G29" s="2156"/>
      <c r="H29" s="2156"/>
      <c r="I29" s="2157"/>
      <c r="J29" s="2155">
        <f>SUM(J19:O28)</f>
        <v>195</v>
      </c>
      <c r="K29" s="2156"/>
      <c r="L29" s="2156"/>
      <c r="M29" s="2156"/>
      <c r="N29" s="2156"/>
      <c r="O29" s="2157"/>
      <c r="P29" s="2155">
        <f>SUM(P19:U28)</f>
        <v>0</v>
      </c>
      <c r="Q29" s="2156"/>
      <c r="R29" s="2156"/>
      <c r="S29" s="2156"/>
      <c r="T29" s="2156"/>
      <c r="U29" s="2157"/>
      <c r="V29" s="2155">
        <f>SUM(V19:AA28)</f>
        <v>91</v>
      </c>
      <c r="W29" s="2156"/>
      <c r="X29" s="2156"/>
      <c r="Y29" s="2156"/>
      <c r="Z29" s="2156"/>
      <c r="AA29" s="2157"/>
      <c r="AB29" s="2155">
        <f>SUM(AB19:AG28)</f>
        <v>49</v>
      </c>
      <c r="AC29" s="2156"/>
      <c r="AD29" s="2156"/>
      <c r="AE29" s="2156"/>
      <c r="AF29" s="2156"/>
      <c r="AG29" s="2157"/>
      <c r="AH29" s="2155">
        <f>SUM(AH19:AM28)</f>
        <v>55</v>
      </c>
      <c r="AI29" s="2156"/>
      <c r="AJ29" s="2156"/>
      <c r="AK29" s="2156"/>
      <c r="AL29" s="2156"/>
      <c r="AM29" s="2157"/>
      <c r="AN29" s="2155">
        <f>SUM(AN19:AS28)</f>
        <v>0</v>
      </c>
      <c r="AO29" s="2156"/>
      <c r="AP29" s="2156"/>
      <c r="AQ29" s="2156"/>
      <c r="AR29" s="2156"/>
      <c r="AS29" s="2157"/>
      <c r="AT29" s="2158">
        <f t="shared" si="1"/>
        <v>1</v>
      </c>
      <c r="AU29" s="2159"/>
      <c r="AV29" s="2159"/>
      <c r="AW29" s="2159"/>
      <c r="AX29" s="2159"/>
      <c r="AY29" s="2160"/>
      <c r="AZ29" s="1079"/>
      <c r="BA29" s="1079"/>
      <c r="BB29" s="1079"/>
      <c r="BC29" s="1079"/>
      <c r="BD29" s="1079"/>
      <c r="BE29" s="1083"/>
    </row>
    <row r="30" spans="1:58"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thickBot="1">
      <c r="A31" s="1079"/>
      <c r="B31" s="2161" t="s">
        <v>1915</v>
      </c>
      <c r="C31" s="2162"/>
      <c r="D31" s="2162"/>
      <c r="E31" s="2162"/>
      <c r="F31" s="2162"/>
      <c r="G31" s="2162"/>
      <c r="H31" s="2162"/>
      <c r="I31" s="2162"/>
      <c r="J31" s="2162"/>
      <c r="K31" s="2162"/>
      <c r="L31" s="2162"/>
      <c r="M31" s="2162"/>
      <c r="N31" s="2162"/>
      <c r="O31" s="2162"/>
      <c r="P31" s="2162"/>
      <c r="Q31" s="2162"/>
      <c r="R31" s="2162"/>
      <c r="S31" s="2162"/>
      <c r="T31" s="2162"/>
      <c r="U31" s="2162"/>
      <c r="V31" s="2162"/>
      <c r="W31" s="2162"/>
      <c r="X31" s="2162"/>
      <c r="Y31" s="2162"/>
      <c r="Z31" s="2162"/>
      <c r="AA31" s="2162"/>
      <c r="AB31" s="2162"/>
      <c r="AC31" s="2162"/>
      <c r="AD31" s="2162"/>
      <c r="AE31" s="2162"/>
      <c r="AF31" s="2162"/>
      <c r="AG31" s="2162"/>
      <c r="AH31" s="2162"/>
      <c r="AI31" s="2162"/>
      <c r="AJ31" s="2162"/>
      <c r="AK31" s="2162"/>
      <c r="AL31" s="2162"/>
      <c r="AM31" s="2162"/>
      <c r="AN31" s="2162"/>
      <c r="AO31" s="2162"/>
      <c r="AP31" s="2162"/>
      <c r="AQ31" s="2162"/>
      <c r="AR31" s="2162"/>
      <c r="AS31" s="2162"/>
      <c r="AT31" s="2162"/>
      <c r="AU31" s="2162"/>
      <c r="AV31" s="2162"/>
      <c r="AW31" s="2162"/>
      <c r="AX31" s="2162"/>
      <c r="AY31" s="2162"/>
      <c r="AZ31" s="2162"/>
      <c r="BA31" s="2162"/>
      <c r="BB31" s="2162"/>
      <c r="BC31" s="2162"/>
      <c r="BD31" s="2163"/>
      <c r="BE31" s="1083"/>
    </row>
    <row r="32" spans="1:58" thickBot="1">
      <c r="A32" s="1079"/>
      <c r="B32" s="2164" t="s">
        <v>1916</v>
      </c>
      <c r="C32" s="2165"/>
      <c r="D32" s="2165"/>
      <c r="E32" s="2165"/>
      <c r="F32" s="2165"/>
      <c r="G32" s="2165"/>
      <c r="H32" s="2165"/>
      <c r="I32" s="2165"/>
      <c r="J32" s="2168" t="s">
        <v>1917</v>
      </c>
      <c r="K32" s="2169"/>
      <c r="L32" s="2169"/>
      <c r="M32" s="2169"/>
      <c r="N32" s="2168" t="s">
        <v>1918</v>
      </c>
      <c r="O32" s="2169"/>
      <c r="P32" s="2169"/>
      <c r="Q32" s="2171"/>
      <c r="R32" s="2173" t="s">
        <v>1919</v>
      </c>
      <c r="S32" s="2174"/>
      <c r="T32" s="2174"/>
      <c r="U32" s="2174"/>
      <c r="V32" s="2174"/>
      <c r="W32" s="2174"/>
      <c r="X32" s="2174"/>
      <c r="Y32" s="2174"/>
      <c r="Z32" s="2174"/>
      <c r="AA32" s="2174"/>
      <c r="AB32" s="2174"/>
      <c r="AC32" s="2174"/>
      <c r="AD32" s="2174"/>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174"/>
      <c r="BB32" s="2174"/>
      <c r="BC32" s="2174"/>
      <c r="BD32" s="2175"/>
      <c r="BE32" s="1083"/>
    </row>
    <row r="33" spans="1:58" ht="15" customHeight="1">
      <c r="A33" s="1079"/>
      <c r="B33" s="2166"/>
      <c r="C33" s="2167"/>
      <c r="D33" s="2167"/>
      <c r="E33" s="2167"/>
      <c r="F33" s="2167"/>
      <c r="G33" s="2167"/>
      <c r="H33" s="2167"/>
      <c r="I33" s="2167"/>
      <c r="J33" s="2170"/>
      <c r="K33" s="2170"/>
      <c r="L33" s="2170"/>
      <c r="M33" s="2170"/>
      <c r="N33" s="2170"/>
      <c r="O33" s="2170"/>
      <c r="P33" s="2170"/>
      <c r="Q33" s="2172"/>
      <c r="R33" s="2176" t="s">
        <v>1920</v>
      </c>
      <c r="S33" s="2177"/>
      <c r="T33" s="2177"/>
      <c r="U33" s="2177"/>
      <c r="V33" s="2177"/>
      <c r="W33" s="2177"/>
      <c r="X33" s="2177"/>
      <c r="Y33" s="2177"/>
      <c r="Z33" s="2177"/>
      <c r="AA33" s="2177"/>
      <c r="AB33" s="2177"/>
      <c r="AC33" s="2177"/>
      <c r="AD33" s="2177"/>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177"/>
      <c r="BB33" s="2177"/>
      <c r="BC33" s="2177"/>
      <c r="BD33" s="2178"/>
      <c r="BE33" s="1083"/>
    </row>
    <row r="34" spans="1:58" ht="15.75" customHeight="1" thickBot="1">
      <c r="A34" s="1079"/>
      <c r="B34" s="2166"/>
      <c r="C34" s="2167"/>
      <c r="D34" s="2167"/>
      <c r="E34" s="2167"/>
      <c r="F34" s="2167"/>
      <c r="G34" s="2167"/>
      <c r="H34" s="2167"/>
      <c r="I34" s="2167"/>
      <c r="J34" s="2170"/>
      <c r="K34" s="2170"/>
      <c r="L34" s="2170"/>
      <c r="M34" s="2170"/>
      <c r="N34" s="2170"/>
      <c r="O34" s="2170"/>
      <c r="P34" s="2170"/>
      <c r="Q34" s="2172"/>
      <c r="R34" s="2179"/>
      <c r="S34" s="2180"/>
      <c r="T34" s="2180"/>
      <c r="U34" s="2180"/>
      <c r="V34" s="2180"/>
      <c r="W34" s="2180"/>
      <c r="X34" s="2180"/>
      <c r="Y34" s="2180"/>
      <c r="Z34" s="2180"/>
      <c r="AA34" s="2180"/>
      <c r="AB34" s="2180"/>
      <c r="AC34" s="2180"/>
      <c r="AD34" s="2180"/>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180"/>
      <c r="BB34" s="2180"/>
      <c r="BC34" s="2180"/>
      <c r="BD34" s="2181"/>
      <c r="BE34" s="1083"/>
    </row>
    <row r="35" spans="1:58" ht="15.75" customHeight="1">
      <c r="A35" s="1079"/>
      <c r="B35" s="2166"/>
      <c r="C35" s="2167"/>
      <c r="D35" s="2167"/>
      <c r="E35" s="2167"/>
      <c r="F35" s="2167"/>
      <c r="G35" s="2167"/>
      <c r="H35" s="2167"/>
      <c r="I35" s="2167"/>
      <c r="J35" s="2170"/>
      <c r="K35" s="2170"/>
      <c r="L35" s="2170"/>
      <c r="M35" s="2170"/>
      <c r="N35" s="2170"/>
      <c r="O35" s="2170"/>
      <c r="P35" s="2170"/>
      <c r="Q35" s="2170"/>
      <c r="R35" s="2182">
        <v>0.3</v>
      </c>
      <c r="S35" s="2182"/>
      <c r="T35" s="2182"/>
      <c r="U35" s="2182"/>
      <c r="V35" s="2182">
        <v>0.4</v>
      </c>
      <c r="W35" s="2182"/>
      <c r="X35" s="2182"/>
      <c r="Y35" s="2182"/>
      <c r="Z35" s="2182">
        <v>0.5</v>
      </c>
      <c r="AA35" s="2182"/>
      <c r="AB35" s="2182"/>
      <c r="AC35" s="2182"/>
      <c r="AD35" s="2182">
        <v>0.6</v>
      </c>
      <c r="AE35" s="2182"/>
      <c r="AF35" s="2182"/>
      <c r="AG35" s="2182"/>
      <c r="AH35" s="2182">
        <v>0.7</v>
      </c>
      <c r="AI35" s="2182"/>
      <c r="AJ35" s="2182"/>
      <c r="AK35" s="2182"/>
      <c r="AL35" s="2187">
        <v>0.8</v>
      </c>
      <c r="AM35" s="2188"/>
      <c r="AN35" s="2188"/>
      <c r="AO35" s="2189"/>
      <c r="AP35" s="2190">
        <v>1.2</v>
      </c>
      <c r="AQ35" s="2191"/>
      <c r="AR35" s="2192"/>
      <c r="AS35" s="2184" t="s">
        <v>1921</v>
      </c>
      <c r="AT35" s="2185"/>
      <c r="AU35" s="2185"/>
      <c r="AV35" s="2185"/>
      <c r="AW35" s="2185"/>
      <c r="AX35" s="2193"/>
      <c r="AY35" s="2184" t="s">
        <v>1922</v>
      </c>
      <c r="AZ35" s="2185"/>
      <c r="BA35" s="2185"/>
      <c r="BB35" s="2185"/>
      <c r="BC35" s="2185"/>
      <c r="BD35" s="2186"/>
      <c r="BE35" s="1083"/>
    </row>
    <row r="36" spans="1:58" ht="15.75" customHeight="1">
      <c r="A36" s="1079"/>
      <c r="B36" s="2088" t="s">
        <v>1923</v>
      </c>
      <c r="C36" s="2089"/>
      <c r="D36" s="2089"/>
      <c r="E36" s="2089"/>
      <c r="F36" s="2089"/>
      <c r="G36" s="2089"/>
      <c r="H36" s="2089"/>
      <c r="I36" s="2089"/>
      <c r="J36" s="2153" t="s">
        <v>1924</v>
      </c>
      <c r="K36" s="2153"/>
      <c r="L36" s="2153"/>
      <c r="M36" s="2153"/>
      <c r="N36" s="2153">
        <v>55</v>
      </c>
      <c r="O36" s="2153"/>
      <c r="P36" s="2153"/>
      <c r="Q36" s="2153"/>
      <c r="R36" s="2154"/>
      <c r="S36" s="2154"/>
      <c r="T36" s="2154"/>
      <c r="U36" s="2154"/>
      <c r="V36" s="2154"/>
      <c r="W36" s="2154"/>
      <c r="X36" s="2154"/>
      <c r="Y36" s="2154"/>
      <c r="Z36" s="2154"/>
      <c r="AA36" s="2154"/>
      <c r="AB36" s="2154"/>
      <c r="AC36" s="2154"/>
      <c r="AD36" s="2154"/>
      <c r="AE36" s="2154"/>
      <c r="AF36" s="2154"/>
      <c r="AG36" s="2154"/>
      <c r="AH36" s="2154"/>
      <c r="AI36" s="2154"/>
      <c r="AJ36" s="2154"/>
      <c r="AK36" s="2154"/>
      <c r="AL36" s="2138"/>
      <c r="AM36" s="2139"/>
      <c r="AN36" s="2139"/>
      <c r="AO36" s="2140"/>
      <c r="AP36" s="2138"/>
      <c r="AQ36" s="2139"/>
      <c r="AR36" s="2140"/>
      <c r="AS36" s="2141">
        <f t="shared" ref="AS36:AS47" si="2">SUM(R36:AR36)</f>
        <v>0</v>
      </c>
      <c r="AT36" s="2142"/>
      <c r="AU36" s="2142"/>
      <c r="AV36" s="2142"/>
      <c r="AW36" s="2142"/>
      <c r="AX36" s="2143"/>
      <c r="AY36" s="2144">
        <f t="shared" ref="AY36:AY47" si="3">AS36/$J$29</f>
        <v>0</v>
      </c>
      <c r="AZ36" s="2145"/>
      <c r="BA36" s="2145"/>
      <c r="BB36" s="2145"/>
      <c r="BC36" s="2145"/>
      <c r="BD36" s="2146"/>
      <c r="BE36" s="1083"/>
    </row>
    <row r="37" spans="1:58" ht="15.75" customHeight="1">
      <c r="A37" s="1079"/>
      <c r="B37" s="2088" t="s">
        <v>1925</v>
      </c>
      <c r="C37" s="2089"/>
      <c r="D37" s="2089"/>
      <c r="E37" s="2089"/>
      <c r="F37" s="2089"/>
      <c r="G37" s="2089"/>
      <c r="H37" s="2089"/>
      <c r="I37" s="2089"/>
      <c r="J37" s="2153" t="s">
        <v>1926</v>
      </c>
      <c r="K37" s="2153"/>
      <c r="L37" s="2153"/>
      <c r="M37" s="2153"/>
      <c r="N37" s="2153">
        <v>55</v>
      </c>
      <c r="O37" s="2153"/>
      <c r="P37" s="2153"/>
      <c r="Q37" s="2153"/>
      <c r="R37" s="2154"/>
      <c r="S37" s="2154"/>
      <c r="T37" s="2154"/>
      <c r="U37" s="2154"/>
      <c r="V37" s="2154"/>
      <c r="W37" s="2154"/>
      <c r="X37" s="2154"/>
      <c r="Y37" s="2154"/>
      <c r="Z37" s="2154"/>
      <c r="AA37" s="2154"/>
      <c r="AB37" s="2154"/>
      <c r="AC37" s="2154"/>
      <c r="AD37" s="2154"/>
      <c r="AE37" s="2154"/>
      <c r="AF37" s="2154"/>
      <c r="AG37" s="2154"/>
      <c r="AH37" s="2154"/>
      <c r="AI37" s="2154"/>
      <c r="AJ37" s="2154"/>
      <c r="AK37" s="2154"/>
      <c r="AL37" s="2138"/>
      <c r="AM37" s="2139"/>
      <c r="AN37" s="2139"/>
      <c r="AO37" s="2140"/>
      <c r="AP37" s="2138"/>
      <c r="AQ37" s="2139"/>
      <c r="AR37" s="2140"/>
      <c r="AS37" s="2141">
        <f t="shared" si="2"/>
        <v>0</v>
      </c>
      <c r="AT37" s="2142"/>
      <c r="AU37" s="2142"/>
      <c r="AV37" s="2142"/>
      <c r="AW37" s="2142"/>
      <c r="AX37" s="2143"/>
      <c r="AY37" s="2144">
        <f t="shared" si="3"/>
        <v>0</v>
      </c>
      <c r="AZ37" s="2145"/>
      <c r="BA37" s="2145"/>
      <c r="BB37" s="2145"/>
      <c r="BC37" s="2145"/>
      <c r="BD37" s="2146"/>
      <c r="BE37" s="1083"/>
    </row>
    <row r="38" spans="1:58" ht="15.75" customHeight="1">
      <c r="A38" s="1079"/>
      <c r="B38" s="2088" t="s">
        <v>1927</v>
      </c>
      <c r="C38" s="2089"/>
      <c r="D38" s="2089"/>
      <c r="E38" s="2089"/>
      <c r="F38" s="2089"/>
      <c r="G38" s="2089"/>
      <c r="H38" s="2089"/>
      <c r="I38" s="2089"/>
      <c r="J38" s="2153" t="s">
        <v>1928</v>
      </c>
      <c r="K38" s="2153"/>
      <c r="L38" s="2153"/>
      <c r="M38" s="2153"/>
      <c r="N38" s="2153">
        <v>55</v>
      </c>
      <c r="O38" s="2153"/>
      <c r="P38" s="2153"/>
      <c r="Q38" s="2153"/>
      <c r="R38" s="2154"/>
      <c r="S38" s="2154"/>
      <c r="T38" s="2154"/>
      <c r="U38" s="2154"/>
      <c r="V38" s="2154"/>
      <c r="W38" s="2154"/>
      <c r="X38" s="2154"/>
      <c r="Y38" s="2154"/>
      <c r="Z38" s="2154"/>
      <c r="AA38" s="2154"/>
      <c r="AB38" s="2154"/>
      <c r="AC38" s="2154"/>
      <c r="AD38" s="2154"/>
      <c r="AE38" s="2154"/>
      <c r="AF38" s="2154"/>
      <c r="AG38" s="2154"/>
      <c r="AH38" s="2154"/>
      <c r="AI38" s="2154"/>
      <c r="AJ38" s="2154"/>
      <c r="AK38" s="2154"/>
      <c r="AL38" s="2138"/>
      <c r="AM38" s="2139"/>
      <c r="AN38" s="2139"/>
      <c r="AO38" s="2140"/>
      <c r="AP38" s="2138"/>
      <c r="AQ38" s="2139"/>
      <c r="AR38" s="2140"/>
      <c r="AS38" s="2141">
        <f t="shared" si="2"/>
        <v>0</v>
      </c>
      <c r="AT38" s="2142"/>
      <c r="AU38" s="2142"/>
      <c r="AV38" s="2142"/>
      <c r="AW38" s="2142"/>
      <c r="AX38" s="2143"/>
      <c r="AY38" s="2144">
        <f t="shared" si="3"/>
        <v>0</v>
      </c>
      <c r="AZ38" s="2145"/>
      <c r="BA38" s="2145"/>
      <c r="BB38" s="2145"/>
      <c r="BC38" s="2145"/>
      <c r="BD38" s="2146"/>
      <c r="BE38" s="1083"/>
    </row>
    <row r="39" spans="1:58" ht="15.75" customHeight="1">
      <c r="A39" s="1079"/>
      <c r="B39" s="2088" t="s">
        <v>1929</v>
      </c>
      <c r="C39" s="2089"/>
      <c r="D39" s="2089"/>
      <c r="E39" s="2089"/>
      <c r="F39" s="2089"/>
      <c r="G39" s="2089"/>
      <c r="H39" s="2089"/>
      <c r="I39" s="2089"/>
      <c r="J39" s="2153"/>
      <c r="K39" s="2153"/>
      <c r="L39" s="2153"/>
      <c r="M39" s="2153"/>
      <c r="N39" s="2153"/>
      <c r="O39" s="2153"/>
      <c r="P39" s="2153"/>
      <c r="Q39" s="2153"/>
      <c r="R39" s="2154"/>
      <c r="S39" s="2154"/>
      <c r="T39" s="2154"/>
      <c r="U39" s="2154"/>
      <c r="V39" s="2154"/>
      <c r="W39" s="2154"/>
      <c r="X39" s="2154"/>
      <c r="Y39" s="2154"/>
      <c r="Z39" s="2154"/>
      <c r="AA39" s="2154"/>
      <c r="AB39" s="2154"/>
      <c r="AC39" s="2154"/>
      <c r="AD39" s="2154"/>
      <c r="AE39" s="2154"/>
      <c r="AF39" s="2154"/>
      <c r="AG39" s="2154"/>
      <c r="AH39" s="2154"/>
      <c r="AI39" s="2154"/>
      <c r="AJ39" s="2154"/>
      <c r="AK39" s="2154"/>
      <c r="AL39" s="2138"/>
      <c r="AM39" s="2139"/>
      <c r="AN39" s="2139"/>
      <c r="AO39" s="2140"/>
      <c r="AP39" s="2138"/>
      <c r="AQ39" s="2139"/>
      <c r="AR39" s="2140"/>
      <c r="AS39" s="2141">
        <f t="shared" si="2"/>
        <v>0</v>
      </c>
      <c r="AT39" s="2142"/>
      <c r="AU39" s="2142"/>
      <c r="AV39" s="2142"/>
      <c r="AW39" s="2142"/>
      <c r="AX39" s="2143"/>
      <c r="AY39" s="2144">
        <f t="shared" si="3"/>
        <v>0</v>
      </c>
      <c r="AZ39" s="2145"/>
      <c r="BA39" s="2145"/>
      <c r="BB39" s="2145"/>
      <c r="BC39" s="2145"/>
      <c r="BD39" s="2146"/>
      <c r="BE39" s="1083"/>
    </row>
    <row r="40" spans="1:58" ht="15.75" customHeight="1">
      <c r="A40" s="1079"/>
      <c r="B40" s="2088" t="s">
        <v>1929</v>
      </c>
      <c r="C40" s="2089"/>
      <c r="D40" s="2089"/>
      <c r="E40" s="2089"/>
      <c r="F40" s="2089"/>
      <c r="G40" s="2089"/>
      <c r="H40" s="2089"/>
      <c r="I40" s="2089"/>
      <c r="J40" s="2153"/>
      <c r="K40" s="2153"/>
      <c r="L40" s="2153"/>
      <c r="M40" s="2153"/>
      <c r="N40" s="2153"/>
      <c r="O40" s="2153"/>
      <c r="P40" s="2153"/>
      <c r="Q40" s="2153"/>
      <c r="R40" s="2154"/>
      <c r="S40" s="2154"/>
      <c r="T40" s="2154"/>
      <c r="U40" s="2154"/>
      <c r="V40" s="2154"/>
      <c r="W40" s="2154"/>
      <c r="X40" s="2154"/>
      <c r="Y40" s="2154"/>
      <c r="Z40" s="2154"/>
      <c r="AA40" s="2154"/>
      <c r="AB40" s="2154"/>
      <c r="AC40" s="2154"/>
      <c r="AD40" s="2154"/>
      <c r="AE40" s="2154"/>
      <c r="AF40" s="2154"/>
      <c r="AG40" s="2154"/>
      <c r="AH40" s="2154"/>
      <c r="AI40" s="2154"/>
      <c r="AJ40" s="2154"/>
      <c r="AK40" s="2154"/>
      <c r="AL40" s="2138"/>
      <c r="AM40" s="2139"/>
      <c r="AN40" s="2139"/>
      <c r="AO40" s="2140"/>
      <c r="AP40" s="2138"/>
      <c r="AQ40" s="2139"/>
      <c r="AR40" s="2140"/>
      <c r="AS40" s="2141">
        <f t="shared" si="2"/>
        <v>0</v>
      </c>
      <c r="AT40" s="2142"/>
      <c r="AU40" s="2142"/>
      <c r="AV40" s="2142"/>
      <c r="AW40" s="2142"/>
      <c r="AX40" s="2143"/>
      <c r="AY40" s="2144">
        <f t="shared" si="3"/>
        <v>0</v>
      </c>
      <c r="AZ40" s="2145"/>
      <c r="BA40" s="2145"/>
      <c r="BB40" s="2145"/>
      <c r="BC40" s="2145"/>
      <c r="BD40" s="2146"/>
      <c r="BE40" s="1083"/>
    </row>
    <row r="41" spans="1:58" ht="15.75" customHeight="1">
      <c r="A41" s="1079"/>
      <c r="B41" s="2088" t="s">
        <v>1930</v>
      </c>
      <c r="C41" s="2089"/>
      <c r="D41" s="2089"/>
      <c r="E41" s="2089"/>
      <c r="F41" s="2089"/>
      <c r="G41" s="2089"/>
      <c r="H41" s="2089"/>
      <c r="I41" s="2089"/>
      <c r="J41" s="2153"/>
      <c r="K41" s="2153"/>
      <c r="L41" s="2153"/>
      <c r="M41" s="2153"/>
      <c r="N41" s="2153"/>
      <c r="O41" s="2153"/>
      <c r="P41" s="2153"/>
      <c r="Q41" s="2153"/>
      <c r="R41" s="2154"/>
      <c r="S41" s="2154"/>
      <c r="T41" s="2154"/>
      <c r="U41" s="2154"/>
      <c r="V41" s="2154"/>
      <c r="W41" s="2154"/>
      <c r="X41" s="2154"/>
      <c r="Y41" s="2154"/>
      <c r="Z41" s="2154"/>
      <c r="AA41" s="2154"/>
      <c r="AB41" s="2154"/>
      <c r="AC41" s="2154"/>
      <c r="AD41" s="2154"/>
      <c r="AE41" s="2154"/>
      <c r="AF41" s="2154"/>
      <c r="AG41" s="2154"/>
      <c r="AH41" s="2154"/>
      <c r="AI41" s="2154"/>
      <c r="AJ41" s="2154"/>
      <c r="AK41" s="2154"/>
      <c r="AL41" s="2138"/>
      <c r="AM41" s="2139"/>
      <c r="AN41" s="2139"/>
      <c r="AO41" s="2140"/>
      <c r="AP41" s="2138"/>
      <c r="AQ41" s="2139"/>
      <c r="AR41" s="2140"/>
      <c r="AS41" s="2141">
        <f t="shared" si="2"/>
        <v>0</v>
      </c>
      <c r="AT41" s="2142"/>
      <c r="AU41" s="2142"/>
      <c r="AV41" s="2142"/>
      <c r="AW41" s="2142"/>
      <c r="AX41" s="2143"/>
      <c r="AY41" s="2144">
        <f t="shared" si="3"/>
        <v>0</v>
      </c>
      <c r="AZ41" s="2145"/>
      <c r="BA41" s="2145"/>
      <c r="BB41" s="2145"/>
      <c r="BC41" s="2145"/>
      <c r="BD41" s="2146"/>
      <c r="BE41" s="1083"/>
    </row>
    <row r="42" spans="1:58" ht="15.75" customHeight="1">
      <c r="A42" s="1079"/>
      <c r="B42" s="2088" t="s">
        <v>1930</v>
      </c>
      <c r="C42" s="2089"/>
      <c r="D42" s="2089"/>
      <c r="E42" s="2089"/>
      <c r="F42" s="2089"/>
      <c r="G42" s="2089"/>
      <c r="H42" s="2089"/>
      <c r="I42" s="2089"/>
      <c r="J42" s="2153"/>
      <c r="K42" s="2153"/>
      <c r="L42" s="2153"/>
      <c r="M42" s="2153"/>
      <c r="N42" s="2153"/>
      <c r="O42" s="2153"/>
      <c r="P42" s="2153"/>
      <c r="Q42" s="2153"/>
      <c r="R42" s="2154"/>
      <c r="S42" s="2154"/>
      <c r="T42" s="2154"/>
      <c r="U42" s="2154"/>
      <c r="V42" s="2154"/>
      <c r="W42" s="2154"/>
      <c r="X42" s="2154"/>
      <c r="Y42" s="2154"/>
      <c r="Z42" s="2154"/>
      <c r="AA42" s="2154"/>
      <c r="AB42" s="2154"/>
      <c r="AC42" s="2154"/>
      <c r="AD42" s="2154"/>
      <c r="AE42" s="2154"/>
      <c r="AF42" s="2154"/>
      <c r="AG42" s="2154"/>
      <c r="AH42" s="2154"/>
      <c r="AI42" s="2154"/>
      <c r="AJ42" s="2154"/>
      <c r="AK42" s="2154"/>
      <c r="AL42" s="2138"/>
      <c r="AM42" s="2139"/>
      <c r="AN42" s="2139"/>
      <c r="AO42" s="2140"/>
      <c r="AP42" s="2138"/>
      <c r="AQ42" s="2139"/>
      <c r="AR42" s="2140"/>
      <c r="AS42" s="2141">
        <f t="shared" si="2"/>
        <v>0</v>
      </c>
      <c r="AT42" s="2142"/>
      <c r="AU42" s="2142"/>
      <c r="AV42" s="2142"/>
      <c r="AW42" s="2142"/>
      <c r="AX42" s="2143"/>
      <c r="AY42" s="2144">
        <f t="shared" si="3"/>
        <v>0</v>
      </c>
      <c r="AZ42" s="2145"/>
      <c r="BA42" s="2145"/>
      <c r="BB42" s="2145"/>
      <c r="BC42" s="2145"/>
      <c r="BD42" s="2146"/>
      <c r="BE42" s="1083"/>
    </row>
    <row r="43" spans="1:58" ht="15.75" customHeight="1">
      <c r="A43" s="1079"/>
      <c r="B43" s="2093" t="s">
        <v>1931</v>
      </c>
      <c r="C43" s="2094"/>
      <c r="D43" s="2094"/>
      <c r="E43" s="2094"/>
      <c r="F43" s="2094"/>
      <c r="G43" s="2094"/>
      <c r="H43" s="2094"/>
      <c r="I43" s="2094"/>
      <c r="J43" s="2153"/>
      <c r="K43" s="2153"/>
      <c r="L43" s="2153"/>
      <c r="M43" s="2153"/>
      <c r="N43" s="2153"/>
      <c r="O43" s="2153"/>
      <c r="P43" s="2153"/>
      <c r="Q43" s="2153"/>
      <c r="R43" s="2154"/>
      <c r="S43" s="2154"/>
      <c r="T43" s="2154"/>
      <c r="U43" s="2154"/>
      <c r="V43" s="2154"/>
      <c r="W43" s="2154"/>
      <c r="X43" s="2154"/>
      <c r="Y43" s="2154"/>
      <c r="Z43" s="2154"/>
      <c r="AA43" s="2154"/>
      <c r="AB43" s="2154"/>
      <c r="AC43" s="2154"/>
      <c r="AD43" s="2154"/>
      <c r="AE43" s="2154"/>
      <c r="AF43" s="2154"/>
      <c r="AG43" s="2154"/>
      <c r="AH43" s="2154"/>
      <c r="AI43" s="2154"/>
      <c r="AJ43" s="2154"/>
      <c r="AK43" s="2154"/>
      <c r="AL43" s="2138"/>
      <c r="AM43" s="2139"/>
      <c r="AN43" s="2139"/>
      <c r="AO43" s="2140"/>
      <c r="AP43" s="2138"/>
      <c r="AQ43" s="2139"/>
      <c r="AR43" s="2140"/>
      <c r="AS43" s="2141">
        <f t="shared" si="2"/>
        <v>0</v>
      </c>
      <c r="AT43" s="2142"/>
      <c r="AU43" s="2142"/>
      <c r="AV43" s="2142"/>
      <c r="AW43" s="2142"/>
      <c r="AX43" s="2143"/>
      <c r="AY43" s="2144">
        <f t="shared" si="3"/>
        <v>0</v>
      </c>
      <c r="AZ43" s="2145"/>
      <c r="BA43" s="2145"/>
      <c r="BB43" s="2145"/>
      <c r="BC43" s="2145"/>
      <c r="BD43" s="2146"/>
      <c r="BE43" s="1083"/>
    </row>
    <row r="44" spans="1:58" ht="15.75" customHeight="1">
      <c r="A44" s="1079"/>
      <c r="B44" s="2093" t="s">
        <v>1932</v>
      </c>
      <c r="C44" s="2094"/>
      <c r="D44" s="2094"/>
      <c r="E44" s="2094"/>
      <c r="F44" s="2094"/>
      <c r="G44" s="2094"/>
      <c r="H44" s="2094"/>
      <c r="I44" s="2094"/>
      <c r="J44" s="2153"/>
      <c r="K44" s="2153"/>
      <c r="L44" s="2153"/>
      <c r="M44" s="2153"/>
      <c r="N44" s="2153"/>
      <c r="O44" s="2153"/>
      <c r="P44" s="2153"/>
      <c r="Q44" s="2153"/>
      <c r="R44" s="2154"/>
      <c r="S44" s="2154"/>
      <c r="T44" s="2154"/>
      <c r="U44" s="2154"/>
      <c r="V44" s="2154"/>
      <c r="W44" s="2154"/>
      <c r="X44" s="2154"/>
      <c r="Y44" s="2154"/>
      <c r="Z44" s="2154"/>
      <c r="AA44" s="2154"/>
      <c r="AB44" s="2154"/>
      <c r="AC44" s="2154"/>
      <c r="AD44" s="2154"/>
      <c r="AE44" s="2154"/>
      <c r="AF44" s="2154"/>
      <c r="AG44" s="2154"/>
      <c r="AH44" s="2154"/>
      <c r="AI44" s="2154"/>
      <c r="AJ44" s="2154"/>
      <c r="AK44" s="2154"/>
      <c r="AL44" s="2138"/>
      <c r="AM44" s="2139"/>
      <c r="AN44" s="2139"/>
      <c r="AO44" s="2140"/>
      <c r="AP44" s="2138"/>
      <c r="AQ44" s="2139"/>
      <c r="AR44" s="2140"/>
      <c r="AS44" s="2141">
        <f t="shared" si="2"/>
        <v>0</v>
      </c>
      <c r="AT44" s="2142"/>
      <c r="AU44" s="2142"/>
      <c r="AV44" s="2142"/>
      <c r="AW44" s="2142"/>
      <c r="AX44" s="2143"/>
      <c r="AY44" s="2144">
        <f t="shared" si="3"/>
        <v>0</v>
      </c>
      <c r="AZ44" s="2145"/>
      <c r="BA44" s="2145"/>
      <c r="BB44" s="2145"/>
      <c r="BC44" s="2145"/>
      <c r="BD44" s="2146"/>
      <c r="BE44" s="1083"/>
    </row>
    <row r="45" spans="1:58" ht="15.75" customHeight="1">
      <c r="A45" s="1079"/>
      <c r="B45" s="2093" t="s">
        <v>1933</v>
      </c>
      <c r="C45" s="2094"/>
      <c r="D45" s="2094"/>
      <c r="E45" s="2094"/>
      <c r="F45" s="2094"/>
      <c r="G45" s="2094"/>
      <c r="H45" s="2094"/>
      <c r="I45" s="2094"/>
      <c r="J45" s="2153"/>
      <c r="K45" s="2153"/>
      <c r="L45" s="2153"/>
      <c r="M45" s="2153"/>
      <c r="N45" s="2153"/>
      <c r="O45" s="2153"/>
      <c r="P45" s="2153"/>
      <c r="Q45" s="2153"/>
      <c r="R45" s="2154"/>
      <c r="S45" s="2154"/>
      <c r="T45" s="2154"/>
      <c r="U45" s="2154"/>
      <c r="V45" s="2154"/>
      <c r="W45" s="2154"/>
      <c r="X45" s="2154"/>
      <c r="Y45" s="2154"/>
      <c r="Z45" s="2154"/>
      <c r="AA45" s="2154"/>
      <c r="AB45" s="2154"/>
      <c r="AC45" s="2154"/>
      <c r="AD45" s="2154"/>
      <c r="AE45" s="2154"/>
      <c r="AF45" s="2154"/>
      <c r="AG45" s="2154"/>
      <c r="AH45" s="2154"/>
      <c r="AI45" s="2154"/>
      <c r="AJ45" s="2154"/>
      <c r="AK45" s="2154"/>
      <c r="AL45" s="2138"/>
      <c r="AM45" s="2139"/>
      <c r="AN45" s="2139"/>
      <c r="AO45" s="2140"/>
      <c r="AP45" s="2138"/>
      <c r="AQ45" s="2139"/>
      <c r="AR45" s="2140"/>
      <c r="AS45" s="2141">
        <f t="shared" si="2"/>
        <v>0</v>
      </c>
      <c r="AT45" s="2142"/>
      <c r="AU45" s="2142"/>
      <c r="AV45" s="2142"/>
      <c r="AW45" s="2142"/>
      <c r="AX45" s="2143"/>
      <c r="AY45" s="2144">
        <f t="shared" si="3"/>
        <v>0</v>
      </c>
      <c r="AZ45" s="2145"/>
      <c r="BA45" s="2145"/>
      <c r="BB45" s="2145"/>
      <c r="BC45" s="2145"/>
      <c r="BD45" s="2146"/>
      <c r="BE45" s="1083"/>
    </row>
    <row r="46" spans="1:58" ht="15.75" customHeight="1">
      <c r="A46" s="1079"/>
      <c r="B46" s="2093" t="s">
        <v>1934</v>
      </c>
      <c r="C46" s="2094"/>
      <c r="D46" s="2094"/>
      <c r="E46" s="2094"/>
      <c r="F46" s="2094"/>
      <c r="G46" s="2094"/>
      <c r="H46" s="2094"/>
      <c r="I46" s="2094"/>
      <c r="J46" s="2153"/>
      <c r="K46" s="2153"/>
      <c r="L46" s="2153"/>
      <c r="M46" s="2153"/>
      <c r="N46" s="2153">
        <v>99</v>
      </c>
      <c r="O46" s="2153"/>
      <c r="P46" s="2153"/>
      <c r="Q46" s="2153"/>
      <c r="R46" s="2154"/>
      <c r="S46" s="2154"/>
      <c r="T46" s="2154"/>
      <c r="U46" s="2154"/>
      <c r="V46" s="2154"/>
      <c r="W46" s="2154"/>
      <c r="X46" s="2154"/>
      <c r="Y46" s="2154"/>
      <c r="Z46" s="2154"/>
      <c r="AA46" s="2154"/>
      <c r="AB46" s="2154"/>
      <c r="AC46" s="2154"/>
      <c r="AD46" s="2154"/>
      <c r="AE46" s="2154"/>
      <c r="AF46" s="2154"/>
      <c r="AG46" s="2154"/>
      <c r="AH46" s="2154"/>
      <c r="AI46" s="2154"/>
      <c r="AJ46" s="2154"/>
      <c r="AK46" s="2154"/>
      <c r="AL46" s="2138"/>
      <c r="AM46" s="2139"/>
      <c r="AN46" s="2139"/>
      <c r="AO46" s="2140"/>
      <c r="AP46" s="2138"/>
      <c r="AQ46" s="2139"/>
      <c r="AR46" s="2140"/>
      <c r="AS46" s="2141">
        <f t="shared" si="2"/>
        <v>0</v>
      </c>
      <c r="AT46" s="2142"/>
      <c r="AU46" s="2142"/>
      <c r="AV46" s="2142"/>
      <c r="AW46" s="2142"/>
      <c r="AX46" s="2143"/>
      <c r="AY46" s="2144">
        <f t="shared" si="3"/>
        <v>0</v>
      </c>
      <c r="AZ46" s="2145"/>
      <c r="BA46" s="2145"/>
      <c r="BB46" s="2145"/>
      <c r="BC46" s="2145"/>
      <c r="BD46" s="2146"/>
      <c r="BE46" s="1083"/>
    </row>
    <row r="47" spans="1:58" ht="15.75" customHeight="1" thickBot="1">
      <c r="A47" s="1079"/>
      <c r="B47" s="2147" t="s">
        <v>1050</v>
      </c>
      <c r="C47" s="2148"/>
      <c r="D47" s="2148"/>
      <c r="E47" s="2148"/>
      <c r="F47" s="2148"/>
      <c r="G47" s="2148"/>
      <c r="H47" s="2148"/>
      <c r="I47" s="2148"/>
      <c r="J47" s="2149"/>
      <c r="K47" s="2149"/>
      <c r="L47" s="2149"/>
      <c r="M47" s="2149"/>
      <c r="N47" s="2149"/>
      <c r="O47" s="2149"/>
      <c r="P47" s="2149"/>
      <c r="Q47" s="2149"/>
      <c r="R47" s="2134"/>
      <c r="S47" s="2134"/>
      <c r="T47" s="2134"/>
      <c r="U47" s="2134"/>
      <c r="V47" s="2134"/>
      <c r="W47" s="2134"/>
      <c r="X47" s="2134"/>
      <c r="Y47" s="2134"/>
      <c r="Z47" s="2134"/>
      <c r="AA47" s="2134"/>
      <c r="AB47" s="2134"/>
      <c r="AC47" s="2134"/>
      <c r="AD47" s="2134"/>
      <c r="AE47" s="2134"/>
      <c r="AF47" s="2134"/>
      <c r="AG47" s="2134"/>
      <c r="AH47" s="2134"/>
      <c r="AI47" s="2134"/>
      <c r="AJ47" s="2134"/>
      <c r="AK47" s="2134"/>
      <c r="AL47" s="2135"/>
      <c r="AM47" s="2136"/>
      <c r="AN47" s="2136"/>
      <c r="AO47" s="2137"/>
      <c r="AP47" s="2135"/>
      <c r="AQ47" s="2136"/>
      <c r="AR47" s="2137"/>
      <c r="AS47" s="2141">
        <f t="shared" si="2"/>
        <v>0</v>
      </c>
      <c r="AT47" s="2142"/>
      <c r="AU47" s="2142"/>
      <c r="AV47" s="2142"/>
      <c r="AW47" s="2142"/>
      <c r="AX47" s="2143"/>
      <c r="AY47" s="2150">
        <f t="shared" si="3"/>
        <v>0</v>
      </c>
      <c r="AZ47" s="2151"/>
      <c r="BA47" s="2151"/>
      <c r="BB47" s="2151"/>
      <c r="BC47" s="2151"/>
      <c r="BD47" s="2152"/>
      <c r="BE47" s="1083"/>
    </row>
    <row r="48" spans="1:58" ht="15.75" customHeight="1">
      <c r="A48" s="1079"/>
      <c r="B48" s="1085" t="s">
        <v>1935</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1936</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2000" t="s">
        <v>1937</v>
      </c>
      <c r="C50" s="1956"/>
      <c r="D50" s="1956"/>
      <c r="E50" s="1956"/>
      <c r="F50" s="1956"/>
      <c r="G50" s="1956"/>
      <c r="H50" s="1956"/>
      <c r="I50" s="1956"/>
      <c r="J50" s="1956"/>
      <c r="K50" s="1956"/>
      <c r="L50" s="1956"/>
      <c r="M50" s="1956"/>
      <c r="N50" s="1956"/>
      <c r="O50" s="1956"/>
      <c r="P50" s="1956"/>
      <c r="Q50" s="1956"/>
      <c r="R50" s="1956"/>
      <c r="S50" s="1956"/>
      <c r="T50" s="1956"/>
      <c r="U50" s="1956"/>
      <c r="V50" s="1956"/>
      <c r="W50" s="1956"/>
      <c r="X50" s="1956"/>
      <c r="Y50" s="1956"/>
      <c r="Z50" s="1956"/>
      <c r="AA50" s="1956"/>
      <c r="AB50" s="1956"/>
      <c r="AC50" s="1956"/>
      <c r="AD50" s="1956"/>
      <c r="AE50" s="1956"/>
      <c r="AF50" s="1956"/>
      <c r="AG50" s="1956"/>
      <c r="AH50" s="1956"/>
      <c r="AI50" s="1956"/>
      <c r="AJ50" s="1956"/>
      <c r="AK50" s="1956"/>
      <c r="AL50" s="1956"/>
      <c r="AM50" s="1956"/>
      <c r="AN50" s="1956"/>
      <c r="AO50" s="1957"/>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063" t="s">
        <v>1938</v>
      </c>
      <c r="C51" s="2031"/>
      <c r="D51" s="2031"/>
      <c r="E51" s="2031"/>
      <c r="F51" s="2031"/>
      <c r="G51" s="2031"/>
      <c r="H51" s="2031"/>
      <c r="I51" s="2031"/>
      <c r="J51" s="2031" t="s">
        <v>1939</v>
      </c>
      <c r="K51" s="2031"/>
      <c r="L51" s="2031"/>
      <c r="M51" s="2031"/>
      <c r="N51" s="2031"/>
      <c r="O51" s="2031"/>
      <c r="P51" s="2031"/>
      <c r="Q51" s="2031"/>
      <c r="R51" s="2132" t="s">
        <v>1940</v>
      </c>
      <c r="S51" s="2132"/>
      <c r="T51" s="2132"/>
      <c r="U51" s="2132"/>
      <c r="V51" s="2132"/>
      <c r="W51" s="2132"/>
      <c r="X51" s="2132"/>
      <c r="Y51" s="2132"/>
      <c r="Z51" s="2132" t="s">
        <v>1941</v>
      </c>
      <c r="AA51" s="2132"/>
      <c r="AB51" s="2132"/>
      <c r="AC51" s="2132"/>
      <c r="AD51" s="2132"/>
      <c r="AE51" s="2132"/>
      <c r="AF51" s="2132"/>
      <c r="AG51" s="2132"/>
      <c r="AH51" s="2132" t="s">
        <v>1942</v>
      </c>
      <c r="AI51" s="2132"/>
      <c r="AJ51" s="2132"/>
      <c r="AK51" s="2132"/>
      <c r="AL51" s="2132"/>
      <c r="AM51" s="2132"/>
      <c r="AN51" s="2132"/>
      <c r="AO51" s="2133"/>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093" t="s">
        <v>1943</v>
      </c>
      <c r="C52" s="2094"/>
      <c r="D52" s="2094"/>
      <c r="E52" s="2094"/>
      <c r="F52" s="2094"/>
      <c r="G52" s="2094"/>
      <c r="H52" s="2094"/>
      <c r="I52" s="2094"/>
      <c r="J52" s="1917">
        <v>0</v>
      </c>
      <c r="K52" s="1917"/>
      <c r="L52" s="1917"/>
      <c r="M52" s="1917"/>
      <c r="N52" s="1917"/>
      <c r="O52" s="1917"/>
      <c r="P52" s="1917"/>
      <c r="Q52" s="1917"/>
      <c r="R52" s="2124">
        <v>0</v>
      </c>
      <c r="S52" s="2124"/>
      <c r="T52" s="2124"/>
      <c r="U52" s="2124"/>
      <c r="V52" s="2124"/>
      <c r="W52" s="2124"/>
      <c r="X52" s="2124"/>
      <c r="Y52" s="2124"/>
      <c r="Z52" s="2125">
        <v>0</v>
      </c>
      <c r="AA52" s="2125"/>
      <c r="AB52" s="2125"/>
      <c r="AC52" s="2125"/>
      <c r="AD52" s="2125"/>
      <c r="AE52" s="2125"/>
      <c r="AF52" s="2125"/>
      <c r="AG52" s="2125"/>
      <c r="AH52" s="2126"/>
      <c r="AI52" s="2126"/>
      <c r="AJ52" s="2126"/>
      <c r="AK52" s="2126"/>
      <c r="AL52" s="2126"/>
      <c r="AM52" s="2126"/>
      <c r="AN52" s="2126"/>
      <c r="AO52" s="2127"/>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093" t="s">
        <v>1944</v>
      </c>
      <c r="C53" s="2094"/>
      <c r="D53" s="2094"/>
      <c r="E53" s="2094"/>
      <c r="F53" s="2094"/>
      <c r="G53" s="2094"/>
      <c r="H53" s="2094"/>
      <c r="I53" s="2094"/>
      <c r="J53" s="1917">
        <v>0</v>
      </c>
      <c r="K53" s="1917"/>
      <c r="L53" s="1917"/>
      <c r="M53" s="1917"/>
      <c r="N53" s="1917"/>
      <c r="O53" s="1917"/>
      <c r="P53" s="1917"/>
      <c r="Q53" s="1917"/>
      <c r="R53" s="2124">
        <v>0</v>
      </c>
      <c r="S53" s="2124"/>
      <c r="T53" s="2124"/>
      <c r="U53" s="2124"/>
      <c r="V53" s="2124"/>
      <c r="W53" s="2124"/>
      <c r="X53" s="2124"/>
      <c r="Y53" s="2124"/>
      <c r="Z53" s="2125">
        <v>0</v>
      </c>
      <c r="AA53" s="2125"/>
      <c r="AB53" s="2125"/>
      <c r="AC53" s="2125"/>
      <c r="AD53" s="2125"/>
      <c r="AE53" s="2125"/>
      <c r="AF53" s="2125"/>
      <c r="AG53" s="2125"/>
      <c r="AH53" s="2126"/>
      <c r="AI53" s="2126"/>
      <c r="AJ53" s="2126"/>
      <c r="AK53" s="2126"/>
      <c r="AL53" s="2126"/>
      <c r="AM53" s="2126"/>
      <c r="AN53" s="2126"/>
      <c r="AO53" s="2127"/>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093"/>
      <c r="C54" s="2094"/>
      <c r="D54" s="2094"/>
      <c r="E54" s="2094"/>
      <c r="F54" s="2094"/>
      <c r="G54" s="2094"/>
      <c r="H54" s="2094"/>
      <c r="I54" s="2094"/>
      <c r="J54" s="1917"/>
      <c r="K54" s="1917"/>
      <c r="L54" s="1917"/>
      <c r="M54" s="1917"/>
      <c r="N54" s="1917"/>
      <c r="O54" s="1917"/>
      <c r="P54" s="1917"/>
      <c r="Q54" s="1917"/>
      <c r="R54" s="2124"/>
      <c r="S54" s="2124"/>
      <c r="T54" s="2124"/>
      <c r="U54" s="2124"/>
      <c r="V54" s="2124"/>
      <c r="W54" s="2124"/>
      <c r="X54" s="2124"/>
      <c r="Y54" s="2124"/>
      <c r="Z54" s="2125"/>
      <c r="AA54" s="2125"/>
      <c r="AB54" s="2125"/>
      <c r="AC54" s="2125"/>
      <c r="AD54" s="2125"/>
      <c r="AE54" s="2125"/>
      <c r="AF54" s="2125"/>
      <c r="AG54" s="2125"/>
      <c r="AH54" s="2126"/>
      <c r="AI54" s="2126"/>
      <c r="AJ54" s="2126"/>
      <c r="AK54" s="2126"/>
      <c r="AL54" s="2126"/>
      <c r="AM54" s="2126"/>
      <c r="AN54" s="2126"/>
      <c r="AO54" s="2127"/>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093"/>
      <c r="C55" s="2094"/>
      <c r="D55" s="2094"/>
      <c r="E55" s="2094"/>
      <c r="F55" s="2094"/>
      <c r="G55" s="2094"/>
      <c r="H55" s="2094"/>
      <c r="I55" s="2094"/>
      <c r="J55" s="1917"/>
      <c r="K55" s="1917"/>
      <c r="L55" s="1917"/>
      <c r="M55" s="1917"/>
      <c r="N55" s="1917"/>
      <c r="O55" s="1917"/>
      <c r="P55" s="1917"/>
      <c r="Q55" s="1917"/>
      <c r="R55" s="2124"/>
      <c r="S55" s="2124"/>
      <c r="T55" s="2124"/>
      <c r="U55" s="2124"/>
      <c r="V55" s="2124"/>
      <c r="W55" s="2124"/>
      <c r="X55" s="2124"/>
      <c r="Y55" s="2124"/>
      <c r="Z55" s="2125"/>
      <c r="AA55" s="2125"/>
      <c r="AB55" s="2125"/>
      <c r="AC55" s="2125"/>
      <c r="AD55" s="2125"/>
      <c r="AE55" s="2125"/>
      <c r="AF55" s="2125"/>
      <c r="AG55" s="2125"/>
      <c r="AH55" s="2126"/>
      <c r="AI55" s="2126"/>
      <c r="AJ55" s="2126"/>
      <c r="AK55" s="2126"/>
      <c r="AL55" s="2126"/>
      <c r="AM55" s="2126"/>
      <c r="AN55" s="2126"/>
      <c r="AO55" s="2127"/>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093"/>
      <c r="C56" s="2094"/>
      <c r="D56" s="2094"/>
      <c r="E56" s="2094"/>
      <c r="F56" s="2094"/>
      <c r="G56" s="2094"/>
      <c r="H56" s="2094"/>
      <c r="I56" s="2094"/>
      <c r="J56" s="1917"/>
      <c r="K56" s="1917"/>
      <c r="L56" s="1917"/>
      <c r="M56" s="1917"/>
      <c r="N56" s="1917"/>
      <c r="O56" s="1917"/>
      <c r="P56" s="1917"/>
      <c r="Q56" s="1917"/>
      <c r="R56" s="2124"/>
      <c r="S56" s="2124"/>
      <c r="T56" s="2124"/>
      <c r="U56" s="2124"/>
      <c r="V56" s="2124"/>
      <c r="W56" s="2124"/>
      <c r="X56" s="2124"/>
      <c r="Y56" s="2124"/>
      <c r="Z56" s="2125"/>
      <c r="AA56" s="2125"/>
      <c r="AB56" s="2125"/>
      <c r="AC56" s="2125"/>
      <c r="AD56" s="2125"/>
      <c r="AE56" s="2125"/>
      <c r="AF56" s="2125"/>
      <c r="AG56" s="2125"/>
      <c r="AH56" s="2126"/>
      <c r="AI56" s="2126"/>
      <c r="AJ56" s="2126"/>
      <c r="AK56" s="2126"/>
      <c r="AL56" s="2126"/>
      <c r="AM56" s="2126"/>
      <c r="AN56" s="2126"/>
      <c r="AO56" s="2127"/>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061" t="s">
        <v>1912</v>
      </c>
      <c r="C57" s="2062"/>
      <c r="D57" s="2062"/>
      <c r="E57" s="2062"/>
      <c r="F57" s="2062"/>
      <c r="G57" s="2062"/>
      <c r="H57" s="2062"/>
      <c r="I57" s="2062"/>
      <c r="J57" s="2062"/>
      <c r="K57" s="2062"/>
      <c r="L57" s="2062"/>
      <c r="M57" s="2062"/>
      <c r="N57" s="2062"/>
      <c r="O57" s="2062"/>
      <c r="P57" s="2062"/>
      <c r="Q57" s="2062"/>
      <c r="R57" s="2128">
        <f>SUM(R52:Y56)</f>
        <v>0</v>
      </c>
      <c r="S57" s="2128"/>
      <c r="T57" s="2128"/>
      <c r="U57" s="2128"/>
      <c r="V57" s="2128"/>
      <c r="W57" s="2128"/>
      <c r="X57" s="2128"/>
      <c r="Y57" s="2128"/>
      <c r="Z57" s="2129">
        <f>SUM(Z52:AG56)</f>
        <v>0</v>
      </c>
      <c r="AA57" s="2129"/>
      <c r="AB57" s="2129"/>
      <c r="AC57" s="2129"/>
      <c r="AD57" s="2129"/>
      <c r="AE57" s="2129"/>
      <c r="AF57" s="2129"/>
      <c r="AG57" s="2129"/>
      <c r="AH57" s="2130"/>
      <c r="AI57" s="2130"/>
      <c r="AJ57" s="2130"/>
      <c r="AK57" s="2130"/>
      <c r="AL57" s="2130"/>
      <c r="AM57" s="2130"/>
      <c r="AN57" s="2130"/>
      <c r="AO57" s="2131"/>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121" t="s">
        <v>1938</v>
      </c>
      <c r="C59" s="2122"/>
      <c r="D59" s="2122"/>
      <c r="E59" s="2122"/>
      <c r="F59" s="2122"/>
      <c r="G59" s="2122"/>
      <c r="H59" s="2122"/>
      <c r="I59" s="2123"/>
      <c r="J59" s="2029" t="s">
        <v>1945</v>
      </c>
      <c r="K59" s="2029"/>
      <c r="L59" s="2029"/>
      <c r="M59" s="2029"/>
      <c r="N59" s="2029"/>
      <c r="O59" s="2029"/>
      <c r="P59" s="2029"/>
      <c r="Q59" s="2029"/>
      <c r="R59" s="2029"/>
      <c r="S59" s="2029"/>
      <c r="T59" s="2029"/>
      <c r="U59" s="2029"/>
      <c r="V59" s="2029"/>
      <c r="W59" s="2029"/>
      <c r="X59" s="2029"/>
      <c r="Y59" s="2029"/>
      <c r="Z59" s="2029"/>
      <c r="AA59" s="2029"/>
      <c r="AB59" s="2029"/>
      <c r="AC59" s="2029"/>
      <c r="AD59" s="2029"/>
      <c r="AE59" s="2029"/>
      <c r="AF59" s="2029"/>
      <c r="AG59" s="2029"/>
      <c r="AH59" s="2029"/>
      <c r="AI59" s="2029"/>
      <c r="AJ59" s="2029"/>
      <c r="AK59" s="2029"/>
      <c r="AL59" s="2029"/>
      <c r="AM59" s="2029"/>
      <c r="AN59" s="2029"/>
      <c r="AO59" s="2029"/>
      <c r="AP59" s="2029"/>
      <c r="AQ59" s="2029"/>
      <c r="AR59" s="2029"/>
      <c r="AS59" s="2029"/>
      <c r="AT59" s="2029"/>
      <c r="AU59" s="2029"/>
      <c r="AV59" s="2029"/>
      <c r="AW59" s="2030"/>
      <c r="AX59" s="1079"/>
      <c r="AY59" s="1079"/>
      <c r="AZ59" s="1079"/>
      <c r="BA59" s="1079"/>
      <c r="BB59" s="1079"/>
      <c r="BC59" s="1079"/>
      <c r="BD59" s="1079"/>
      <c r="BE59" s="1083"/>
    </row>
    <row r="60" spans="1:77" ht="15.75" customHeight="1">
      <c r="A60" s="1079"/>
      <c r="B60" s="2113" t="str">
        <f>IF(B52="", "", B52)</f>
        <v>Services Company 1</v>
      </c>
      <c r="C60" s="2114"/>
      <c r="D60" s="2114"/>
      <c r="E60" s="2114"/>
      <c r="F60" s="2114"/>
      <c r="G60" s="2114"/>
      <c r="H60" s="2114"/>
      <c r="I60" s="2115"/>
      <c r="J60" s="2116"/>
      <c r="K60" s="1920"/>
      <c r="L60" s="1920"/>
      <c r="M60" s="1920"/>
      <c r="N60" s="1920"/>
      <c r="O60" s="1920"/>
      <c r="P60" s="1920"/>
      <c r="Q60" s="1920"/>
      <c r="R60" s="1920"/>
      <c r="S60" s="1920"/>
      <c r="T60" s="1920"/>
      <c r="U60" s="1920"/>
      <c r="V60" s="1920"/>
      <c r="W60" s="1920"/>
      <c r="X60" s="1920"/>
      <c r="Y60" s="1920"/>
      <c r="Z60" s="1920"/>
      <c r="AA60" s="1920"/>
      <c r="AB60" s="1920"/>
      <c r="AC60" s="1920"/>
      <c r="AD60" s="1920"/>
      <c r="AE60" s="1920"/>
      <c r="AF60" s="1920"/>
      <c r="AG60" s="1920"/>
      <c r="AH60" s="1920"/>
      <c r="AI60" s="1920"/>
      <c r="AJ60" s="1920"/>
      <c r="AK60" s="1920"/>
      <c r="AL60" s="1920"/>
      <c r="AM60" s="1920"/>
      <c r="AN60" s="1920"/>
      <c r="AO60" s="1920"/>
      <c r="AP60" s="1920"/>
      <c r="AQ60" s="1920"/>
      <c r="AR60" s="1920"/>
      <c r="AS60" s="1920"/>
      <c r="AT60" s="1920"/>
      <c r="AU60" s="1920"/>
      <c r="AV60" s="1920"/>
      <c r="AW60" s="1921"/>
      <c r="AX60" s="1079"/>
      <c r="AY60" s="1079"/>
      <c r="AZ60" s="1079"/>
      <c r="BA60" s="1079"/>
      <c r="BB60" s="1079"/>
      <c r="BC60" s="1079"/>
      <c r="BD60" s="1079"/>
      <c r="BE60" s="1083"/>
    </row>
    <row r="61" spans="1:77" ht="15.75" customHeight="1">
      <c r="A61" s="1079"/>
      <c r="B61" s="2113" t="str">
        <f>IF(B53="", "", B53)</f>
        <v>Services Company 2</v>
      </c>
      <c r="C61" s="2114"/>
      <c r="D61" s="2114"/>
      <c r="E61" s="2114"/>
      <c r="F61" s="2114"/>
      <c r="G61" s="2114"/>
      <c r="H61" s="2114"/>
      <c r="I61" s="2115"/>
      <c r="J61" s="2116"/>
      <c r="K61" s="1920"/>
      <c r="L61" s="1920"/>
      <c r="M61" s="1920"/>
      <c r="N61" s="1920"/>
      <c r="O61" s="1920"/>
      <c r="P61" s="1920"/>
      <c r="Q61" s="1920"/>
      <c r="R61" s="1920"/>
      <c r="S61" s="1920"/>
      <c r="T61" s="1920"/>
      <c r="U61" s="1920"/>
      <c r="V61" s="1920"/>
      <c r="W61" s="1920"/>
      <c r="X61" s="1920"/>
      <c r="Y61" s="1920"/>
      <c r="Z61" s="1920"/>
      <c r="AA61" s="1920"/>
      <c r="AB61" s="1920"/>
      <c r="AC61" s="1920"/>
      <c r="AD61" s="1920"/>
      <c r="AE61" s="1920"/>
      <c r="AF61" s="1920"/>
      <c r="AG61" s="1920"/>
      <c r="AH61" s="1920"/>
      <c r="AI61" s="1920"/>
      <c r="AJ61" s="1920"/>
      <c r="AK61" s="1920"/>
      <c r="AL61" s="1920"/>
      <c r="AM61" s="1920"/>
      <c r="AN61" s="1920"/>
      <c r="AO61" s="1920"/>
      <c r="AP61" s="1920"/>
      <c r="AQ61" s="1920"/>
      <c r="AR61" s="1920"/>
      <c r="AS61" s="1920"/>
      <c r="AT61" s="1920"/>
      <c r="AU61" s="1920"/>
      <c r="AV61" s="1920"/>
      <c r="AW61" s="1921"/>
      <c r="AX61" s="1079"/>
      <c r="AY61" s="1079"/>
      <c r="AZ61" s="1079"/>
      <c r="BA61" s="1079"/>
      <c r="BB61" s="1079"/>
      <c r="BC61" s="1079"/>
      <c r="BD61" s="1079"/>
      <c r="BE61" s="1083"/>
    </row>
    <row r="62" spans="1:77" ht="15.75" customHeight="1">
      <c r="A62" s="1079"/>
      <c r="B62" s="2113" t="str">
        <f>IF(B54="", "", B54)</f>
        <v/>
      </c>
      <c r="C62" s="2114"/>
      <c r="D62" s="2114"/>
      <c r="E62" s="2114"/>
      <c r="F62" s="2114"/>
      <c r="G62" s="2114"/>
      <c r="H62" s="2114"/>
      <c r="I62" s="2115"/>
      <c r="J62" s="2116"/>
      <c r="K62" s="1920"/>
      <c r="L62" s="1920"/>
      <c r="M62" s="1920"/>
      <c r="N62" s="1920"/>
      <c r="O62" s="1920"/>
      <c r="P62" s="1920"/>
      <c r="Q62" s="1920"/>
      <c r="R62" s="1920"/>
      <c r="S62" s="1920"/>
      <c r="T62" s="1920"/>
      <c r="U62" s="1920"/>
      <c r="V62" s="1920"/>
      <c r="W62" s="1920"/>
      <c r="X62" s="1920"/>
      <c r="Y62" s="1920"/>
      <c r="Z62" s="1920"/>
      <c r="AA62" s="1920"/>
      <c r="AB62" s="1920"/>
      <c r="AC62" s="1920"/>
      <c r="AD62" s="1920"/>
      <c r="AE62" s="1920"/>
      <c r="AF62" s="1920"/>
      <c r="AG62" s="1920"/>
      <c r="AH62" s="1920"/>
      <c r="AI62" s="1920"/>
      <c r="AJ62" s="1920"/>
      <c r="AK62" s="1920"/>
      <c r="AL62" s="1920"/>
      <c r="AM62" s="1920"/>
      <c r="AN62" s="1920"/>
      <c r="AO62" s="1920"/>
      <c r="AP62" s="1920"/>
      <c r="AQ62" s="1920"/>
      <c r="AR62" s="1920"/>
      <c r="AS62" s="1920"/>
      <c r="AT62" s="1920"/>
      <c r="AU62" s="1920"/>
      <c r="AV62" s="1920"/>
      <c r="AW62" s="1921"/>
      <c r="AX62" s="1079"/>
      <c r="AY62" s="1079"/>
      <c r="AZ62" s="1079"/>
      <c r="BA62" s="1079"/>
      <c r="BB62" s="1079"/>
      <c r="BC62" s="1079"/>
      <c r="BD62" s="1079"/>
      <c r="BE62" s="1083"/>
    </row>
    <row r="63" spans="1:77" ht="15.75" customHeight="1">
      <c r="A63" s="1079"/>
      <c r="B63" s="2113" t="str">
        <f>IF(B55="", "", B55)</f>
        <v/>
      </c>
      <c r="C63" s="2114"/>
      <c r="D63" s="2114"/>
      <c r="E63" s="2114"/>
      <c r="F63" s="2114"/>
      <c r="G63" s="2114"/>
      <c r="H63" s="2114"/>
      <c r="I63" s="2115"/>
      <c r="J63" s="2116"/>
      <c r="K63" s="1920"/>
      <c r="L63" s="1920"/>
      <c r="M63" s="1920"/>
      <c r="N63" s="1920"/>
      <c r="O63" s="1920"/>
      <c r="P63" s="1920"/>
      <c r="Q63" s="1920"/>
      <c r="R63" s="1920"/>
      <c r="S63" s="1920"/>
      <c r="T63" s="1920"/>
      <c r="U63" s="1920"/>
      <c r="V63" s="1920"/>
      <c r="W63" s="1920"/>
      <c r="X63" s="1920"/>
      <c r="Y63" s="1920"/>
      <c r="Z63" s="1920"/>
      <c r="AA63" s="1920"/>
      <c r="AB63" s="1920"/>
      <c r="AC63" s="1920"/>
      <c r="AD63" s="1920"/>
      <c r="AE63" s="1920"/>
      <c r="AF63" s="1920"/>
      <c r="AG63" s="1920"/>
      <c r="AH63" s="1920"/>
      <c r="AI63" s="1920"/>
      <c r="AJ63" s="1920"/>
      <c r="AK63" s="1920"/>
      <c r="AL63" s="1920"/>
      <c r="AM63" s="1920"/>
      <c r="AN63" s="1920"/>
      <c r="AO63" s="1920"/>
      <c r="AP63" s="1920"/>
      <c r="AQ63" s="1920"/>
      <c r="AR63" s="1920"/>
      <c r="AS63" s="1920"/>
      <c r="AT63" s="1920"/>
      <c r="AU63" s="1920"/>
      <c r="AV63" s="1920"/>
      <c r="AW63" s="1921"/>
      <c r="AX63" s="1079"/>
      <c r="AY63" s="1079"/>
      <c r="AZ63" s="1079"/>
      <c r="BA63" s="1079"/>
      <c r="BB63" s="1079"/>
      <c r="BC63" s="1079"/>
      <c r="BD63" s="1079"/>
      <c r="BE63" s="1083"/>
    </row>
    <row r="64" spans="1:77" ht="15.75" customHeight="1" thickBot="1">
      <c r="A64" s="1079"/>
      <c r="B64" s="2117" t="str">
        <f>IF(B56="", "", B56)</f>
        <v/>
      </c>
      <c r="C64" s="2118"/>
      <c r="D64" s="2118"/>
      <c r="E64" s="2118"/>
      <c r="F64" s="2118"/>
      <c r="G64" s="2118"/>
      <c r="H64" s="2118"/>
      <c r="I64" s="2119"/>
      <c r="J64" s="2120"/>
      <c r="K64" s="2103"/>
      <c r="L64" s="2103"/>
      <c r="M64" s="2103"/>
      <c r="N64" s="2103"/>
      <c r="O64" s="2103"/>
      <c r="P64" s="2103"/>
      <c r="Q64" s="2103"/>
      <c r="R64" s="2103"/>
      <c r="S64" s="2103"/>
      <c r="T64" s="2103"/>
      <c r="U64" s="2103"/>
      <c r="V64" s="2103"/>
      <c r="W64" s="2103"/>
      <c r="X64" s="2103"/>
      <c r="Y64" s="2103"/>
      <c r="Z64" s="2103"/>
      <c r="AA64" s="2103"/>
      <c r="AB64" s="2103"/>
      <c r="AC64" s="2103"/>
      <c r="AD64" s="2103"/>
      <c r="AE64" s="2103"/>
      <c r="AF64" s="2103"/>
      <c r="AG64" s="2103"/>
      <c r="AH64" s="2103"/>
      <c r="AI64" s="2103"/>
      <c r="AJ64" s="2103"/>
      <c r="AK64" s="2103"/>
      <c r="AL64" s="2103"/>
      <c r="AM64" s="2103"/>
      <c r="AN64" s="2103"/>
      <c r="AO64" s="2103"/>
      <c r="AP64" s="2103"/>
      <c r="AQ64" s="2103"/>
      <c r="AR64" s="2103"/>
      <c r="AS64" s="2103"/>
      <c r="AT64" s="2103"/>
      <c r="AU64" s="2103"/>
      <c r="AV64" s="2103"/>
      <c r="AW64" s="2104"/>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1946</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28" t="s">
        <v>1947</v>
      </c>
      <c r="C68" s="2029"/>
      <c r="D68" s="2029"/>
      <c r="E68" s="2029"/>
      <c r="F68" s="2029"/>
      <c r="G68" s="2029"/>
      <c r="H68" s="2029"/>
      <c r="I68" s="2029"/>
      <c r="J68" s="2029"/>
      <c r="K68" s="2029"/>
      <c r="L68" s="2029"/>
      <c r="M68" s="2029"/>
      <c r="N68" s="2029"/>
      <c r="O68" s="2029"/>
      <c r="P68" s="2029"/>
      <c r="Q68" s="2029"/>
      <c r="R68" s="2029"/>
      <c r="S68" s="2029"/>
      <c r="T68" s="2029"/>
      <c r="U68" s="2029"/>
      <c r="V68" s="2029"/>
      <c r="W68" s="2029"/>
      <c r="X68" s="2029"/>
      <c r="Y68" s="2029"/>
      <c r="Z68" s="2029"/>
      <c r="AA68" s="2030"/>
      <c r="AB68" s="1079"/>
      <c r="AC68" s="1954" t="s">
        <v>1948</v>
      </c>
      <c r="AD68" s="1955"/>
      <c r="AE68" s="1955"/>
      <c r="AF68" s="1955"/>
      <c r="AG68" s="1955"/>
      <c r="AH68" s="1955"/>
      <c r="AI68" s="1955"/>
      <c r="AJ68" s="1955"/>
      <c r="AK68" s="1955"/>
      <c r="AL68" s="1955"/>
      <c r="AM68" s="1955"/>
      <c r="AN68" s="1955"/>
      <c r="AO68" s="1955"/>
      <c r="AP68" s="1955"/>
      <c r="AQ68" s="1955"/>
      <c r="AR68" s="1955"/>
      <c r="AS68" s="1955"/>
      <c r="AT68" s="1955"/>
      <c r="AU68" s="1955"/>
      <c r="AV68" s="2105" t="s">
        <v>692</v>
      </c>
      <c r="AW68" s="2011"/>
      <c r="AX68" s="2011"/>
      <c r="AY68" s="2011"/>
      <c r="AZ68" s="2011"/>
      <c r="BA68" s="2011"/>
      <c r="BB68" s="2011"/>
      <c r="BC68" s="2012"/>
      <c r="BD68" s="1079"/>
      <c r="BE68" s="1083"/>
      <c r="BM68" s="1088" t="s">
        <v>1949</v>
      </c>
    </row>
    <row r="69" spans="1:94" ht="15.75" customHeight="1" thickTop="1" thickBot="1">
      <c r="A69" s="1079"/>
      <c r="B69" s="2106" t="s">
        <v>1950</v>
      </c>
      <c r="C69" s="2107"/>
      <c r="D69" s="2107"/>
      <c r="E69" s="2107"/>
      <c r="F69" s="2107"/>
      <c r="G69" s="2107"/>
      <c r="H69" s="2107"/>
      <c r="I69" s="2107"/>
      <c r="J69" s="2107"/>
      <c r="K69" s="2107"/>
      <c r="L69" s="2107"/>
      <c r="M69" s="2107"/>
      <c r="N69" s="2107"/>
      <c r="O69" s="2108" t="s">
        <v>1951</v>
      </c>
      <c r="P69" s="2109"/>
      <c r="Q69" s="2109"/>
      <c r="R69" s="2109"/>
      <c r="S69" s="2109"/>
      <c r="T69" s="2109"/>
      <c r="U69" s="2109"/>
      <c r="V69" s="2109"/>
      <c r="W69" s="2109"/>
      <c r="X69" s="2109"/>
      <c r="Y69" s="2109"/>
      <c r="Z69" s="2109"/>
      <c r="AA69" s="2110"/>
      <c r="AB69" s="1079"/>
      <c r="AC69" s="2111" t="s">
        <v>1952</v>
      </c>
      <c r="AD69" s="2112"/>
      <c r="AE69" s="2112"/>
      <c r="AF69" s="2112"/>
      <c r="AG69" s="2112"/>
      <c r="AH69" s="2112"/>
      <c r="AI69" s="2112"/>
      <c r="AJ69" s="2112"/>
      <c r="AK69" s="2112"/>
      <c r="AL69" s="2112"/>
      <c r="AM69" s="2112"/>
      <c r="AN69" s="2112"/>
      <c r="AO69" s="2112"/>
      <c r="AP69" s="2112"/>
      <c r="AQ69" s="2112"/>
      <c r="AR69" s="2112"/>
      <c r="AS69" s="2112"/>
      <c r="AT69" s="2112"/>
      <c r="AU69" s="2112"/>
      <c r="AV69" s="2105" t="s">
        <v>692</v>
      </c>
      <c r="AW69" s="2011"/>
      <c r="AX69" s="2011"/>
      <c r="AY69" s="2011"/>
      <c r="AZ69" s="2011"/>
      <c r="BA69" s="2011"/>
      <c r="BB69" s="2011"/>
      <c r="BC69" s="2012"/>
      <c r="BD69" s="1079"/>
      <c r="BE69" s="1083"/>
      <c r="BM69" s="1089" t="s">
        <v>843</v>
      </c>
    </row>
    <row r="70" spans="1:94" ht="15.75" customHeight="1">
      <c r="A70" s="1079"/>
      <c r="B70" s="2088" t="s">
        <v>1953</v>
      </c>
      <c r="C70" s="2089"/>
      <c r="D70" s="2089"/>
      <c r="E70" s="2089"/>
      <c r="F70" s="2089"/>
      <c r="G70" s="2089"/>
      <c r="H70" s="2089"/>
      <c r="I70" s="2089"/>
      <c r="J70" s="2089"/>
      <c r="K70" s="2089"/>
      <c r="L70" s="2089"/>
      <c r="M70" s="2089"/>
      <c r="N70" s="2089"/>
      <c r="O70" s="1962">
        <v>0</v>
      </c>
      <c r="P70" s="1962"/>
      <c r="Q70" s="1962"/>
      <c r="R70" s="1962"/>
      <c r="S70" s="1962"/>
      <c r="T70" s="1962"/>
      <c r="U70" s="1962"/>
      <c r="V70" s="1962"/>
      <c r="W70" s="1962"/>
      <c r="X70" s="1962"/>
      <c r="Y70" s="1962"/>
      <c r="Z70" s="1962"/>
      <c r="AA70" s="2090"/>
      <c r="AB70" s="1079"/>
      <c r="AC70" s="2000" t="s">
        <v>1954</v>
      </c>
      <c r="AD70" s="1956"/>
      <c r="AE70" s="1956"/>
      <c r="AF70" s="2099"/>
      <c r="AG70" s="2099"/>
      <c r="AH70" s="2099"/>
      <c r="AI70" s="2099"/>
      <c r="AJ70" s="2099"/>
      <c r="AK70" s="2099"/>
      <c r="AL70" s="2099"/>
      <c r="AM70" s="2099"/>
      <c r="AN70" s="2099"/>
      <c r="AO70" s="2099"/>
      <c r="AP70" s="2099"/>
      <c r="AQ70" s="2099"/>
      <c r="AR70" s="2099"/>
      <c r="AS70" s="2099"/>
      <c r="AT70" s="2099"/>
      <c r="AU70" s="2100"/>
      <c r="AV70" s="1079"/>
      <c r="AW70" s="1079"/>
      <c r="AX70" s="1079"/>
      <c r="AY70" s="1079"/>
      <c r="AZ70" s="1079"/>
      <c r="BA70" s="1079"/>
      <c r="BB70" s="1079"/>
      <c r="BC70" s="1079"/>
      <c r="BD70" s="1079"/>
      <c r="BE70" s="1083"/>
      <c r="BM70" s="1090" t="s">
        <v>692</v>
      </c>
    </row>
    <row r="71" spans="1:94" ht="15.75" customHeight="1" thickBot="1">
      <c r="A71" s="1079"/>
      <c r="B71" s="2088" t="s">
        <v>1955</v>
      </c>
      <c r="C71" s="2089"/>
      <c r="D71" s="2089"/>
      <c r="E71" s="2089"/>
      <c r="F71" s="2089"/>
      <c r="G71" s="2089"/>
      <c r="H71" s="2089"/>
      <c r="I71" s="2089"/>
      <c r="J71" s="2089"/>
      <c r="K71" s="2089"/>
      <c r="L71" s="2089"/>
      <c r="M71" s="2089"/>
      <c r="N71" s="2089"/>
      <c r="O71" s="1962">
        <v>0</v>
      </c>
      <c r="P71" s="1962"/>
      <c r="Q71" s="1962"/>
      <c r="R71" s="1962"/>
      <c r="S71" s="1962"/>
      <c r="T71" s="1962"/>
      <c r="U71" s="1962"/>
      <c r="V71" s="1962"/>
      <c r="W71" s="1962"/>
      <c r="X71" s="1962"/>
      <c r="Y71" s="1962"/>
      <c r="Z71" s="1962"/>
      <c r="AA71" s="2090"/>
      <c r="AB71" s="1079"/>
      <c r="AC71" s="2101" t="s">
        <v>1956</v>
      </c>
      <c r="AD71" s="2102"/>
      <c r="AE71" s="2102"/>
      <c r="AF71" s="2103"/>
      <c r="AG71" s="2103"/>
      <c r="AH71" s="2103"/>
      <c r="AI71" s="2103"/>
      <c r="AJ71" s="2103"/>
      <c r="AK71" s="2103"/>
      <c r="AL71" s="2103"/>
      <c r="AM71" s="2103"/>
      <c r="AN71" s="2103"/>
      <c r="AO71" s="2103"/>
      <c r="AP71" s="2103"/>
      <c r="AQ71" s="2103"/>
      <c r="AR71" s="2103"/>
      <c r="AS71" s="2103"/>
      <c r="AT71" s="2103"/>
      <c r="AU71" s="2104"/>
      <c r="AV71" s="1079"/>
      <c r="AW71" s="1079"/>
      <c r="AX71" s="1079"/>
      <c r="AY71" s="1079"/>
      <c r="AZ71" s="1079"/>
      <c r="BA71" s="1079"/>
      <c r="BB71" s="1079"/>
      <c r="BC71" s="1079"/>
      <c r="BD71" s="1079"/>
      <c r="BE71" s="1083"/>
      <c r="BM71" s="1076" t="s">
        <v>1957</v>
      </c>
    </row>
    <row r="72" spans="1:94" ht="15.75" customHeight="1">
      <c r="A72" s="1079"/>
      <c r="B72" s="2088" t="s">
        <v>1958</v>
      </c>
      <c r="C72" s="2089"/>
      <c r="D72" s="2089"/>
      <c r="E72" s="2089"/>
      <c r="F72" s="2089"/>
      <c r="G72" s="2089"/>
      <c r="H72" s="2089"/>
      <c r="I72" s="2089"/>
      <c r="J72" s="2089"/>
      <c r="K72" s="2089"/>
      <c r="L72" s="2089"/>
      <c r="M72" s="2089"/>
      <c r="N72" s="2089"/>
      <c r="O72" s="1962">
        <v>0</v>
      </c>
      <c r="P72" s="1962"/>
      <c r="Q72" s="1962"/>
      <c r="R72" s="1962"/>
      <c r="S72" s="1962"/>
      <c r="T72" s="1962"/>
      <c r="U72" s="1962"/>
      <c r="V72" s="1962"/>
      <c r="W72" s="1962"/>
      <c r="X72" s="1962"/>
      <c r="Y72" s="1962"/>
      <c r="Z72" s="1962"/>
      <c r="AA72" s="2090"/>
      <c r="AB72" s="1079"/>
      <c r="AC72" s="2091" t="s">
        <v>1959</v>
      </c>
      <c r="AD72" s="2092"/>
      <c r="AE72" s="2092"/>
      <c r="AF72" s="2092"/>
      <c r="AG72" s="2092"/>
      <c r="AH72" s="2092"/>
      <c r="AI72" s="2092"/>
      <c r="AJ72" s="2092"/>
      <c r="AK72" s="2092"/>
      <c r="AL72" s="2092"/>
      <c r="AM72" s="2092"/>
      <c r="AN72" s="2092"/>
      <c r="AO72" s="2092"/>
      <c r="AP72" s="2092"/>
      <c r="AQ72" s="2092"/>
      <c r="AR72" s="2092"/>
      <c r="AS72" s="2092"/>
      <c r="AT72" s="2092"/>
      <c r="AU72" s="2092"/>
      <c r="AV72" s="1956"/>
      <c r="AW72" s="1956"/>
      <c r="AX72" s="1956"/>
      <c r="AY72" s="1956"/>
      <c r="AZ72" s="1956"/>
      <c r="BA72" s="1956"/>
      <c r="BB72" s="1956"/>
      <c r="BC72" s="1957"/>
      <c r="BD72" s="1079"/>
      <c r="BE72" s="1083"/>
    </row>
    <row r="73" spans="1:94" ht="15.75" customHeight="1">
      <c r="A73" s="1079"/>
      <c r="B73" s="2093" t="s">
        <v>1960</v>
      </c>
      <c r="C73" s="2094"/>
      <c r="D73" s="2094"/>
      <c r="E73" s="2094"/>
      <c r="F73" s="2094"/>
      <c r="G73" s="2094"/>
      <c r="H73" s="2094"/>
      <c r="I73" s="2094"/>
      <c r="J73" s="2094"/>
      <c r="K73" s="2094"/>
      <c r="L73" s="2094"/>
      <c r="M73" s="2094"/>
      <c r="N73" s="2094"/>
      <c r="O73" s="1962">
        <v>0</v>
      </c>
      <c r="P73" s="1962"/>
      <c r="Q73" s="1962"/>
      <c r="R73" s="1962"/>
      <c r="S73" s="1962"/>
      <c r="T73" s="1962"/>
      <c r="U73" s="1962"/>
      <c r="V73" s="1962"/>
      <c r="W73" s="1962"/>
      <c r="X73" s="1962"/>
      <c r="Y73" s="1962"/>
      <c r="Z73" s="1962"/>
      <c r="AA73" s="2090"/>
      <c r="AB73" s="1079"/>
      <c r="AC73" s="1971" t="s">
        <v>1961</v>
      </c>
      <c r="AD73" s="1972"/>
      <c r="AE73" s="1972"/>
      <c r="AF73" s="1972"/>
      <c r="AG73" s="1972"/>
      <c r="AH73" s="1972"/>
      <c r="AI73" s="1972"/>
      <c r="AJ73" s="1972"/>
      <c r="AK73" s="1972"/>
      <c r="AL73" s="1972"/>
      <c r="AM73" s="1972"/>
      <c r="AN73" s="1972"/>
      <c r="AO73" s="1972"/>
      <c r="AP73" s="1972"/>
      <c r="AQ73" s="1972"/>
      <c r="AR73" s="1972"/>
      <c r="AS73" s="1972"/>
      <c r="AT73" s="1972"/>
      <c r="AU73" s="1972"/>
      <c r="AV73" s="1972"/>
      <c r="AW73" s="1972"/>
      <c r="AX73" s="1972"/>
      <c r="AY73" s="1972"/>
      <c r="AZ73" s="1972"/>
      <c r="BA73" s="1972"/>
      <c r="BB73" s="1972"/>
      <c r="BC73" s="1973"/>
      <c r="BD73" s="1079"/>
      <c r="BE73" s="1083"/>
      <c r="CK73" s="1077"/>
      <c r="CL73" s="1077"/>
      <c r="CM73" s="1077"/>
      <c r="CN73" s="1077"/>
      <c r="CO73" s="1077"/>
      <c r="CP73" s="1077"/>
    </row>
    <row r="74" spans="1:94" ht="15.75" customHeight="1">
      <c r="A74" s="1079"/>
      <c r="B74" s="1916"/>
      <c r="C74" s="1917"/>
      <c r="D74" s="1917"/>
      <c r="E74" s="1917"/>
      <c r="F74" s="1917"/>
      <c r="G74" s="1917"/>
      <c r="H74" s="1917"/>
      <c r="I74" s="1917"/>
      <c r="J74" s="1917"/>
      <c r="K74" s="1917"/>
      <c r="L74" s="1917"/>
      <c r="M74" s="1917"/>
      <c r="N74" s="1917"/>
      <c r="O74" s="1962"/>
      <c r="P74" s="1962"/>
      <c r="Q74" s="1962"/>
      <c r="R74" s="1962"/>
      <c r="S74" s="1962"/>
      <c r="T74" s="1962"/>
      <c r="U74" s="1962"/>
      <c r="V74" s="1962"/>
      <c r="W74" s="1962"/>
      <c r="X74" s="1962"/>
      <c r="Y74" s="1962"/>
      <c r="Z74" s="1962"/>
      <c r="AA74" s="2090"/>
      <c r="AB74" s="1079"/>
      <c r="AC74" s="1971"/>
      <c r="AD74" s="1972"/>
      <c r="AE74" s="1972"/>
      <c r="AF74" s="1972"/>
      <c r="AG74" s="1972"/>
      <c r="AH74" s="1972"/>
      <c r="AI74" s="1972"/>
      <c r="AJ74" s="1972"/>
      <c r="AK74" s="1972"/>
      <c r="AL74" s="1972"/>
      <c r="AM74" s="1972"/>
      <c r="AN74" s="1972"/>
      <c r="AO74" s="1972"/>
      <c r="AP74" s="1972"/>
      <c r="AQ74" s="1972"/>
      <c r="AR74" s="1972"/>
      <c r="AS74" s="1972"/>
      <c r="AT74" s="1972"/>
      <c r="AU74" s="1972"/>
      <c r="AV74" s="1972"/>
      <c r="AW74" s="1972"/>
      <c r="AX74" s="1972"/>
      <c r="AY74" s="1972"/>
      <c r="AZ74" s="1972"/>
      <c r="BA74" s="1972"/>
      <c r="BB74" s="1972"/>
      <c r="BC74" s="1973"/>
      <c r="BD74" s="1079"/>
      <c r="BE74" s="1083"/>
      <c r="CK74" s="1077"/>
      <c r="CL74" s="1077"/>
      <c r="CM74" s="1077"/>
      <c r="CN74" s="1077"/>
      <c r="CO74" s="1077"/>
      <c r="CP74" s="1077"/>
    </row>
    <row r="75" spans="1:94" ht="15.75" customHeight="1" thickBot="1">
      <c r="A75" s="1079"/>
      <c r="B75" s="2095" t="s">
        <v>1478</v>
      </c>
      <c r="C75" s="2096"/>
      <c r="D75" s="2096"/>
      <c r="E75" s="2096"/>
      <c r="F75" s="2096"/>
      <c r="G75" s="2096"/>
      <c r="H75" s="2096"/>
      <c r="I75" s="2096"/>
      <c r="J75" s="2096"/>
      <c r="K75" s="2096"/>
      <c r="L75" s="2096"/>
      <c r="M75" s="2096"/>
      <c r="N75" s="2096"/>
      <c r="O75" s="2097">
        <f>SUM(O70:AA74)</f>
        <v>0</v>
      </c>
      <c r="P75" s="2097"/>
      <c r="Q75" s="2097"/>
      <c r="R75" s="2097"/>
      <c r="S75" s="2097"/>
      <c r="T75" s="2097"/>
      <c r="U75" s="2097"/>
      <c r="V75" s="2097"/>
      <c r="W75" s="2097"/>
      <c r="X75" s="2097"/>
      <c r="Y75" s="2097"/>
      <c r="Z75" s="2097"/>
      <c r="AA75" s="2098"/>
      <c r="AB75" s="1079"/>
      <c r="AC75" s="1971"/>
      <c r="AD75" s="1972"/>
      <c r="AE75" s="1972"/>
      <c r="AF75" s="1972"/>
      <c r="AG75" s="1972"/>
      <c r="AH75" s="1972"/>
      <c r="AI75" s="1972"/>
      <c r="AJ75" s="1972"/>
      <c r="AK75" s="1972"/>
      <c r="AL75" s="1972"/>
      <c r="AM75" s="1972"/>
      <c r="AN75" s="1972"/>
      <c r="AO75" s="1972"/>
      <c r="AP75" s="1972"/>
      <c r="AQ75" s="1972"/>
      <c r="AR75" s="1972"/>
      <c r="AS75" s="1972"/>
      <c r="AT75" s="1972"/>
      <c r="AU75" s="1972"/>
      <c r="AV75" s="1972"/>
      <c r="AW75" s="1972"/>
      <c r="AX75" s="1972"/>
      <c r="AY75" s="1972"/>
      <c r="AZ75" s="1972"/>
      <c r="BA75" s="1972"/>
      <c r="BB75" s="1972"/>
      <c r="BC75" s="1973"/>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71"/>
      <c r="AD76" s="1972"/>
      <c r="AE76" s="1972"/>
      <c r="AF76" s="1972"/>
      <c r="AG76" s="1972"/>
      <c r="AH76" s="1972"/>
      <c r="AI76" s="1972"/>
      <c r="AJ76" s="1972"/>
      <c r="AK76" s="1972"/>
      <c r="AL76" s="1972"/>
      <c r="AM76" s="1972"/>
      <c r="AN76" s="1972"/>
      <c r="AO76" s="1972"/>
      <c r="AP76" s="1972"/>
      <c r="AQ76" s="1972"/>
      <c r="AR76" s="1972"/>
      <c r="AS76" s="1972"/>
      <c r="AT76" s="1972"/>
      <c r="AU76" s="1972"/>
      <c r="AV76" s="1972"/>
      <c r="AW76" s="1972"/>
      <c r="AX76" s="1972"/>
      <c r="AY76" s="1972"/>
      <c r="AZ76" s="1972"/>
      <c r="BA76" s="1972"/>
      <c r="BB76" s="1972"/>
      <c r="BC76" s="1973"/>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74"/>
      <c r="AD77" s="1975"/>
      <c r="AE77" s="1975"/>
      <c r="AF77" s="1975"/>
      <c r="AG77" s="1975"/>
      <c r="AH77" s="1975"/>
      <c r="AI77" s="1975"/>
      <c r="AJ77" s="1975"/>
      <c r="AK77" s="1975"/>
      <c r="AL77" s="1975"/>
      <c r="AM77" s="1975"/>
      <c r="AN77" s="1975"/>
      <c r="AO77" s="1975"/>
      <c r="AP77" s="1975"/>
      <c r="AQ77" s="1975"/>
      <c r="AR77" s="1975"/>
      <c r="AS77" s="1975"/>
      <c r="AT77" s="1975"/>
      <c r="AU77" s="1975"/>
      <c r="AV77" s="1975"/>
      <c r="AW77" s="1975"/>
      <c r="AX77" s="1975"/>
      <c r="AY77" s="1975"/>
      <c r="AZ77" s="1975"/>
      <c r="BA77" s="1975"/>
      <c r="BB77" s="1975"/>
      <c r="BC77" s="1976"/>
      <c r="BD77" s="1079"/>
      <c r="BE77" s="1083"/>
      <c r="CK77" s="1077"/>
      <c r="CL77" s="1077"/>
      <c r="CM77" s="1077"/>
      <c r="CN77" s="1077"/>
      <c r="CO77" s="1077"/>
      <c r="CP77" s="1077"/>
    </row>
    <row r="78" spans="1:94" ht="15.75" customHeight="1" thickBot="1">
      <c r="A78" s="1079"/>
      <c r="B78" s="1091" t="s">
        <v>1962</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1963</v>
      </c>
      <c r="C79" s="1095"/>
      <c r="D79" s="1095"/>
      <c r="E79" s="1096"/>
      <c r="F79" s="2073"/>
      <c r="G79" s="2074"/>
      <c r="H79" s="2074"/>
      <c r="I79" s="2074"/>
      <c r="J79" s="2074"/>
      <c r="K79" s="2074"/>
      <c r="L79" s="2074"/>
      <c r="M79" s="2074"/>
      <c r="N79" s="2074"/>
      <c r="O79" s="2074"/>
      <c r="P79" s="2074"/>
      <c r="Q79" s="2074"/>
      <c r="R79" s="2074"/>
      <c r="S79" s="2074"/>
      <c r="T79" s="2075"/>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76" t="s">
        <v>1964</v>
      </c>
      <c r="C80" s="2077"/>
      <c r="D80" s="2077"/>
      <c r="E80" s="2077"/>
      <c r="F80" s="2077"/>
      <c r="G80" s="2077"/>
      <c r="H80" s="2077"/>
      <c r="I80" s="2077"/>
      <c r="J80" s="2077"/>
      <c r="K80" s="2077"/>
      <c r="L80" s="2077"/>
      <c r="M80" s="2077"/>
      <c r="N80" s="2077"/>
      <c r="O80" s="2077"/>
      <c r="P80" s="2077"/>
      <c r="Q80" s="2077"/>
      <c r="R80" s="2079" t="str">
        <f>IFERROR(INDEX(BR96:BR98,MATCH(F79,$BQ$96:$BQ$98,0))/SUM($BR$96:$BR$98),"")</f>
        <v/>
      </c>
      <c r="S80" s="2080"/>
      <c r="T80" s="2081"/>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82" t="s">
        <v>1965</v>
      </c>
      <c r="C81" s="2083"/>
      <c r="D81" s="2083"/>
      <c r="E81" s="2083"/>
      <c r="F81" s="2083"/>
      <c r="G81" s="2083"/>
      <c r="H81" s="2083"/>
      <c r="I81" s="2083"/>
      <c r="J81" s="2083"/>
      <c r="K81" s="2083"/>
      <c r="L81" s="2083"/>
      <c r="M81" s="2083"/>
      <c r="N81" s="2083"/>
      <c r="O81" s="2083"/>
      <c r="P81" s="2083"/>
      <c r="Q81" s="2083"/>
      <c r="R81" s="2064" t="s">
        <v>1966</v>
      </c>
      <c r="S81" s="2065"/>
      <c r="T81" s="2066"/>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85" t="s">
        <v>1967</v>
      </c>
      <c r="C83" s="2086"/>
      <c r="D83" s="2086"/>
      <c r="E83" s="2086"/>
      <c r="F83" s="2086"/>
      <c r="G83" s="2086"/>
      <c r="H83" s="2086"/>
      <c r="I83" s="2086"/>
      <c r="J83" s="2086"/>
      <c r="K83" s="2086"/>
      <c r="L83" s="2086"/>
      <c r="M83" s="2086"/>
      <c r="N83" s="2086"/>
      <c r="O83" s="2086"/>
      <c r="P83" s="2086"/>
      <c r="Q83" s="2086"/>
      <c r="R83" s="2086"/>
      <c r="S83" s="2086"/>
      <c r="T83" s="2086"/>
      <c r="U83" s="2086"/>
      <c r="V83" s="2086"/>
      <c r="W83" s="2086"/>
      <c r="X83" s="2086"/>
      <c r="Y83" s="2086"/>
      <c r="Z83" s="2086"/>
      <c r="AA83" s="2086"/>
      <c r="AB83" s="2086"/>
      <c r="AC83" s="2086"/>
      <c r="AD83" s="2086"/>
      <c r="AE83" s="2086"/>
      <c r="AF83" s="2086"/>
      <c r="AG83" s="2086"/>
      <c r="AH83" s="2087"/>
      <c r="AI83" s="1079"/>
      <c r="AJ83" s="2052" t="s">
        <v>1968</v>
      </c>
      <c r="AK83" s="2053"/>
      <c r="AL83" s="2053"/>
      <c r="AM83" s="2053"/>
      <c r="AN83" s="2053"/>
      <c r="AO83" s="2053"/>
      <c r="AP83" s="2053"/>
      <c r="AQ83" s="2053"/>
      <c r="AR83" s="2053"/>
      <c r="AS83" s="2053"/>
      <c r="AT83" s="2053"/>
      <c r="AU83" s="2053"/>
      <c r="AV83" s="2053"/>
      <c r="AW83" s="2053"/>
      <c r="AX83" s="2053"/>
      <c r="AY83" s="2069" t="s">
        <v>843</v>
      </c>
      <c r="AZ83" s="2069"/>
      <c r="BA83" s="2069"/>
      <c r="BB83" s="2070"/>
      <c r="BC83" s="1079"/>
      <c r="BD83" s="1079"/>
      <c r="BE83" s="1083"/>
      <c r="CK83" s="1077"/>
      <c r="CL83" s="1077"/>
      <c r="CM83" s="1077"/>
      <c r="CN83" s="1077"/>
      <c r="CO83" s="1077"/>
      <c r="CP83" s="1077"/>
    </row>
    <row r="84" spans="1:94" ht="15.75" customHeight="1">
      <c r="A84" s="1079"/>
      <c r="B84" s="2063"/>
      <c r="C84" s="2031"/>
      <c r="D84" s="2031"/>
      <c r="E84" s="2031"/>
      <c r="F84" s="2031"/>
      <c r="G84" s="2031"/>
      <c r="H84" s="2031"/>
      <c r="I84" s="2031" t="s">
        <v>1969</v>
      </c>
      <c r="J84" s="2031"/>
      <c r="K84" s="2031"/>
      <c r="L84" s="2031"/>
      <c r="M84" s="2031"/>
      <c r="N84" s="2031"/>
      <c r="O84" s="2031" t="s">
        <v>1970</v>
      </c>
      <c r="P84" s="2031"/>
      <c r="Q84" s="2031"/>
      <c r="R84" s="2031"/>
      <c r="S84" s="2031"/>
      <c r="T84" s="2031"/>
      <c r="U84" s="2031"/>
      <c r="V84" s="2067" t="s">
        <v>1971</v>
      </c>
      <c r="W84" s="2067"/>
      <c r="X84" s="2067"/>
      <c r="Y84" s="2067"/>
      <c r="Z84" s="2067"/>
      <c r="AA84" s="2067"/>
      <c r="AB84" s="2001" t="s">
        <v>1972</v>
      </c>
      <c r="AC84" s="2001"/>
      <c r="AD84" s="2001"/>
      <c r="AE84" s="2001"/>
      <c r="AF84" s="2001"/>
      <c r="AG84" s="2001"/>
      <c r="AH84" s="2068"/>
      <c r="AI84" s="1079"/>
      <c r="AJ84" s="2055"/>
      <c r="AK84" s="2056"/>
      <c r="AL84" s="2056"/>
      <c r="AM84" s="2056"/>
      <c r="AN84" s="2056"/>
      <c r="AO84" s="2056"/>
      <c r="AP84" s="2056"/>
      <c r="AQ84" s="2056"/>
      <c r="AR84" s="2056"/>
      <c r="AS84" s="2056"/>
      <c r="AT84" s="2056"/>
      <c r="AU84" s="2056"/>
      <c r="AV84" s="2056"/>
      <c r="AW84" s="2056"/>
      <c r="AX84" s="2056"/>
      <c r="AY84" s="2071"/>
      <c r="AZ84" s="2071"/>
      <c r="BA84" s="2071"/>
      <c r="BB84" s="2072"/>
      <c r="BC84" s="1079"/>
      <c r="BD84" s="1079"/>
      <c r="BE84" s="1083"/>
      <c r="CK84" s="1077"/>
      <c r="CL84" s="1077"/>
      <c r="CM84" s="1077"/>
      <c r="CN84" s="1077"/>
      <c r="CO84" s="1077"/>
      <c r="CP84" s="1077"/>
    </row>
    <row r="85" spans="1:94" ht="15.75" customHeight="1">
      <c r="A85" s="1079"/>
      <c r="B85" s="2063"/>
      <c r="C85" s="2031"/>
      <c r="D85" s="2031"/>
      <c r="E85" s="2031"/>
      <c r="F85" s="2031"/>
      <c r="G85" s="2031"/>
      <c r="H85" s="2031"/>
      <c r="I85" s="2031"/>
      <c r="J85" s="2031"/>
      <c r="K85" s="2031"/>
      <c r="L85" s="2031"/>
      <c r="M85" s="2031"/>
      <c r="N85" s="2031"/>
      <c r="O85" s="2031"/>
      <c r="P85" s="2031"/>
      <c r="Q85" s="2031"/>
      <c r="R85" s="2031"/>
      <c r="S85" s="2031"/>
      <c r="T85" s="2031"/>
      <c r="U85" s="2031"/>
      <c r="V85" s="2067"/>
      <c r="W85" s="2067"/>
      <c r="X85" s="2067"/>
      <c r="Y85" s="2067"/>
      <c r="Z85" s="2067"/>
      <c r="AA85" s="2067"/>
      <c r="AB85" s="2001"/>
      <c r="AC85" s="2001"/>
      <c r="AD85" s="2001"/>
      <c r="AE85" s="2001"/>
      <c r="AF85" s="2001"/>
      <c r="AG85" s="2001"/>
      <c r="AH85" s="2068"/>
      <c r="AI85" s="1079"/>
      <c r="AJ85" s="2055"/>
      <c r="AK85" s="2056"/>
      <c r="AL85" s="2056"/>
      <c r="AM85" s="2056"/>
      <c r="AN85" s="2056"/>
      <c r="AO85" s="2056"/>
      <c r="AP85" s="2056"/>
      <c r="AQ85" s="2056"/>
      <c r="AR85" s="2056"/>
      <c r="AS85" s="2056"/>
      <c r="AT85" s="2056"/>
      <c r="AU85" s="2056"/>
      <c r="AV85" s="2056"/>
      <c r="AW85" s="2056"/>
      <c r="AX85" s="2056"/>
      <c r="AY85" s="2071"/>
      <c r="AZ85" s="2071"/>
      <c r="BA85" s="2071"/>
      <c r="BB85" s="2072"/>
      <c r="BC85" s="1079"/>
      <c r="BD85" s="1079"/>
      <c r="BE85" s="1083"/>
      <c r="CK85" s="1077"/>
      <c r="CL85" s="1077"/>
      <c r="CM85" s="1077"/>
      <c r="CN85" s="1077"/>
      <c r="CO85" s="1077"/>
      <c r="CP85" s="1077"/>
    </row>
    <row r="86" spans="1:94" ht="15.75" customHeight="1">
      <c r="A86" s="1079"/>
      <c r="B86" s="2063" t="s">
        <v>1973</v>
      </c>
      <c r="C86" s="2031"/>
      <c r="D86" s="2031"/>
      <c r="E86" s="2031"/>
      <c r="F86" s="2031"/>
      <c r="G86" s="2031"/>
      <c r="H86" s="2031"/>
      <c r="I86" s="2004">
        <v>0</v>
      </c>
      <c r="J86" s="2004"/>
      <c r="K86" s="2004"/>
      <c r="L86" s="2004"/>
      <c r="M86" s="2004"/>
      <c r="N86" s="2004"/>
      <c r="O86" s="2004">
        <v>0</v>
      </c>
      <c r="P86" s="2004"/>
      <c r="Q86" s="2004"/>
      <c r="R86" s="2004"/>
      <c r="S86" s="2004"/>
      <c r="T86" s="2004"/>
      <c r="U86" s="2004"/>
      <c r="V86" s="2004">
        <v>0</v>
      </c>
      <c r="W86" s="2004"/>
      <c r="X86" s="2004"/>
      <c r="Y86" s="2004"/>
      <c r="Z86" s="2004"/>
      <c r="AA86" s="2004"/>
      <c r="AB86" s="2004">
        <v>0</v>
      </c>
      <c r="AC86" s="2004"/>
      <c r="AD86" s="2004"/>
      <c r="AE86" s="2004"/>
      <c r="AF86" s="2004"/>
      <c r="AG86" s="2004"/>
      <c r="AH86" s="2005"/>
      <c r="AI86" s="1079"/>
      <c r="AJ86" s="2055"/>
      <c r="AK86" s="2056"/>
      <c r="AL86" s="2056"/>
      <c r="AM86" s="2056"/>
      <c r="AN86" s="2056"/>
      <c r="AO86" s="2056"/>
      <c r="AP86" s="2056"/>
      <c r="AQ86" s="2056"/>
      <c r="AR86" s="2056"/>
      <c r="AS86" s="2056"/>
      <c r="AT86" s="2056"/>
      <c r="AU86" s="2056"/>
      <c r="AV86" s="2056"/>
      <c r="AW86" s="2056"/>
      <c r="AX86" s="2056"/>
      <c r="AY86" s="2071"/>
      <c r="AZ86" s="2071"/>
      <c r="BA86" s="2071"/>
      <c r="BB86" s="2072"/>
      <c r="BC86" s="1079"/>
      <c r="BD86" s="1079"/>
      <c r="BE86" s="1083"/>
      <c r="CK86" s="1077"/>
      <c r="CL86" s="1077"/>
      <c r="CM86" s="1077"/>
      <c r="CN86" s="1077"/>
      <c r="CO86" s="1077"/>
      <c r="CP86" s="1077"/>
    </row>
    <row r="87" spans="1:94" ht="15.75" customHeight="1">
      <c r="A87" s="1079"/>
      <c r="B87" s="2063" t="s">
        <v>1974</v>
      </c>
      <c r="C87" s="2031"/>
      <c r="D87" s="2031"/>
      <c r="E87" s="2031"/>
      <c r="F87" s="2031"/>
      <c r="G87" s="2031"/>
      <c r="H87" s="2031"/>
      <c r="I87" s="2004">
        <v>0</v>
      </c>
      <c r="J87" s="2004"/>
      <c r="K87" s="2004"/>
      <c r="L87" s="2004"/>
      <c r="M87" s="2004"/>
      <c r="N87" s="2004"/>
      <c r="O87" s="2004">
        <v>0</v>
      </c>
      <c r="P87" s="2004"/>
      <c r="Q87" s="2004"/>
      <c r="R87" s="2004"/>
      <c r="S87" s="2004"/>
      <c r="T87" s="2004"/>
      <c r="U87" s="2004"/>
      <c r="V87" s="2004">
        <v>0</v>
      </c>
      <c r="W87" s="2004"/>
      <c r="X87" s="2004"/>
      <c r="Y87" s="2004"/>
      <c r="Z87" s="2004"/>
      <c r="AA87" s="2004"/>
      <c r="AB87" s="2004">
        <v>0</v>
      </c>
      <c r="AC87" s="2004"/>
      <c r="AD87" s="2004"/>
      <c r="AE87" s="2004"/>
      <c r="AF87" s="2004"/>
      <c r="AG87" s="2004"/>
      <c r="AH87" s="2005"/>
      <c r="AI87" s="1079"/>
      <c r="AJ87" s="1971" t="s">
        <v>1975</v>
      </c>
      <c r="AK87" s="1972"/>
      <c r="AL87" s="1972"/>
      <c r="AM87" s="1972"/>
      <c r="AN87" s="1972"/>
      <c r="AO87" s="1972"/>
      <c r="AP87" s="1972"/>
      <c r="AQ87" s="1972"/>
      <c r="AR87" s="1972"/>
      <c r="AS87" s="1972"/>
      <c r="AT87" s="1972"/>
      <c r="AU87" s="1972"/>
      <c r="AV87" s="1972"/>
      <c r="AW87" s="1972"/>
      <c r="AX87" s="1972"/>
      <c r="AY87" s="1972"/>
      <c r="AZ87" s="1972"/>
      <c r="BA87" s="1972"/>
      <c r="BB87" s="1973"/>
      <c r="BC87" s="1079"/>
      <c r="BD87" s="1079"/>
      <c r="BE87" s="1083"/>
      <c r="CK87" s="1077"/>
      <c r="CL87" s="1077"/>
      <c r="CM87" s="1077"/>
      <c r="CN87" s="1077"/>
      <c r="CO87" s="1077"/>
      <c r="CP87" s="1077"/>
    </row>
    <row r="88" spans="1:94" ht="15.75" customHeight="1" thickBot="1">
      <c r="A88" s="1079"/>
      <c r="B88" s="2061" t="s">
        <v>1976</v>
      </c>
      <c r="C88" s="2062"/>
      <c r="D88" s="2062"/>
      <c r="E88" s="2062"/>
      <c r="F88" s="2062"/>
      <c r="G88" s="2062"/>
      <c r="H88" s="2062"/>
      <c r="I88" s="1998">
        <v>0</v>
      </c>
      <c r="J88" s="1998"/>
      <c r="K88" s="1998"/>
      <c r="L88" s="1998"/>
      <c r="M88" s="1998"/>
      <c r="N88" s="1998"/>
      <c r="O88" s="1998">
        <v>0</v>
      </c>
      <c r="P88" s="1998"/>
      <c r="Q88" s="1998"/>
      <c r="R88" s="1998"/>
      <c r="S88" s="1998"/>
      <c r="T88" s="1998"/>
      <c r="U88" s="1998"/>
      <c r="V88" s="1998">
        <v>0</v>
      </c>
      <c r="W88" s="1998"/>
      <c r="X88" s="1998"/>
      <c r="Y88" s="1998"/>
      <c r="Z88" s="1998"/>
      <c r="AA88" s="1998"/>
      <c r="AB88" s="1998">
        <v>0</v>
      </c>
      <c r="AC88" s="1998"/>
      <c r="AD88" s="1998"/>
      <c r="AE88" s="1998"/>
      <c r="AF88" s="1998"/>
      <c r="AG88" s="1998"/>
      <c r="AH88" s="1999"/>
      <c r="AI88" s="1079"/>
      <c r="AJ88" s="1974"/>
      <c r="AK88" s="1975"/>
      <c r="AL88" s="1975"/>
      <c r="AM88" s="1975"/>
      <c r="AN88" s="1975"/>
      <c r="AO88" s="1975"/>
      <c r="AP88" s="1975"/>
      <c r="AQ88" s="1975"/>
      <c r="AR88" s="1975"/>
      <c r="AS88" s="1975"/>
      <c r="AT88" s="1975"/>
      <c r="AU88" s="1975"/>
      <c r="AV88" s="1975"/>
      <c r="AW88" s="1975"/>
      <c r="AX88" s="1975"/>
      <c r="AY88" s="1975"/>
      <c r="AZ88" s="1975"/>
      <c r="BA88" s="1975"/>
      <c r="BB88" s="1976"/>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1977</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1963</v>
      </c>
      <c r="C92" s="1101"/>
      <c r="D92" s="1102"/>
      <c r="E92" s="1103"/>
      <c r="F92" s="2073"/>
      <c r="G92" s="2074"/>
      <c r="H92" s="2074"/>
      <c r="I92" s="2074"/>
      <c r="J92" s="2074"/>
      <c r="K92" s="2074"/>
      <c r="L92" s="2074"/>
      <c r="M92" s="2074"/>
      <c r="N92" s="2074"/>
      <c r="O92" s="2074"/>
      <c r="P92" s="2074"/>
      <c r="Q92" s="2074"/>
      <c r="R92" s="2074"/>
      <c r="S92" s="2074"/>
      <c r="T92" s="2075"/>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76" t="s">
        <v>1978</v>
      </c>
      <c r="C93" s="2077"/>
      <c r="D93" s="2077"/>
      <c r="E93" s="2077"/>
      <c r="F93" s="2077"/>
      <c r="G93" s="2077"/>
      <c r="H93" s="2077"/>
      <c r="I93" s="2077"/>
      <c r="J93" s="2077"/>
      <c r="K93" s="2077"/>
      <c r="L93" s="2077"/>
      <c r="M93" s="2077"/>
      <c r="N93" s="2077"/>
      <c r="O93" s="2077"/>
      <c r="P93" s="2077"/>
      <c r="Q93" s="2078"/>
      <c r="R93" s="2079" t="str">
        <f>IFERROR(INDEX(BR96:BR98,MATCH(F92,$BQ$96:$BQ$98,0))/SUM($BR$96:$BR$98),"")</f>
        <v/>
      </c>
      <c r="S93" s="2080"/>
      <c r="T93" s="2081"/>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82" t="s">
        <v>1979</v>
      </c>
      <c r="C94" s="2083"/>
      <c r="D94" s="2083"/>
      <c r="E94" s="2083"/>
      <c r="F94" s="2083"/>
      <c r="G94" s="2083"/>
      <c r="H94" s="2083"/>
      <c r="I94" s="2083"/>
      <c r="J94" s="2083"/>
      <c r="K94" s="2083"/>
      <c r="L94" s="2083"/>
      <c r="M94" s="2083"/>
      <c r="N94" s="2083"/>
      <c r="O94" s="2083"/>
      <c r="P94" s="2083"/>
      <c r="Q94" s="2084"/>
      <c r="R94" s="2064" t="s">
        <v>1966</v>
      </c>
      <c r="S94" s="2065"/>
      <c r="T94" s="2066"/>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85" t="s">
        <v>1980</v>
      </c>
      <c r="C96" s="2086"/>
      <c r="D96" s="2086"/>
      <c r="E96" s="2086"/>
      <c r="F96" s="2086"/>
      <c r="G96" s="2086"/>
      <c r="H96" s="2086"/>
      <c r="I96" s="2086"/>
      <c r="J96" s="2086"/>
      <c r="K96" s="2086"/>
      <c r="L96" s="2086"/>
      <c r="M96" s="2086"/>
      <c r="N96" s="2086"/>
      <c r="O96" s="2086"/>
      <c r="P96" s="2086"/>
      <c r="Q96" s="2086"/>
      <c r="R96" s="2086"/>
      <c r="S96" s="2086"/>
      <c r="T96" s="2086"/>
      <c r="U96" s="2086"/>
      <c r="V96" s="2086"/>
      <c r="W96" s="2086"/>
      <c r="X96" s="2086"/>
      <c r="Y96" s="2086"/>
      <c r="Z96" s="2086"/>
      <c r="AA96" s="2086"/>
      <c r="AB96" s="2086"/>
      <c r="AC96" s="2086"/>
      <c r="AD96" s="2086"/>
      <c r="AE96" s="2086"/>
      <c r="AF96" s="2086"/>
      <c r="AG96" s="2086"/>
      <c r="AH96" s="2087"/>
      <c r="AI96" s="1079"/>
      <c r="AJ96" s="2052" t="s">
        <v>1981</v>
      </c>
      <c r="AK96" s="2053"/>
      <c r="AL96" s="2053"/>
      <c r="AM96" s="2053"/>
      <c r="AN96" s="2053"/>
      <c r="AO96" s="2053"/>
      <c r="AP96" s="2053"/>
      <c r="AQ96" s="2053"/>
      <c r="AR96" s="2053"/>
      <c r="AS96" s="2053"/>
      <c r="AT96" s="2053"/>
      <c r="AU96" s="2053"/>
      <c r="AV96" s="2053"/>
      <c r="AW96" s="2053"/>
      <c r="AX96" s="2053"/>
      <c r="AY96" s="2069" t="s">
        <v>843</v>
      </c>
      <c r="AZ96" s="2069"/>
      <c r="BA96" s="2069"/>
      <c r="BB96" s="2070"/>
      <c r="BC96" s="1079"/>
      <c r="BD96" s="1079"/>
      <c r="BE96" s="1083"/>
      <c r="BQ96" s="1145" t="str">
        <f>Application!M243&amp;IF(TRIM(Application!AA249)&lt;&gt;""," ("&amp;Application!AA249&amp;")","")</f>
        <v>HOM Buchanan Crossing LLC
(California) (Housing on Merit )</v>
      </c>
      <c r="BR96" s="1148">
        <f>Application!AH246</f>
        <v>4.0000000000000001E-3</v>
      </c>
      <c r="CM96" s="1077"/>
      <c r="CN96" s="1077"/>
      <c r="CO96" s="1077"/>
      <c r="CP96" s="1077"/>
    </row>
    <row r="97" spans="1:94" ht="15.75" customHeight="1">
      <c r="A97" s="1079"/>
      <c r="B97" s="2063"/>
      <c r="C97" s="2031"/>
      <c r="D97" s="2031"/>
      <c r="E97" s="2031"/>
      <c r="F97" s="2031"/>
      <c r="G97" s="2031"/>
      <c r="H97" s="2031"/>
      <c r="I97" s="2031" t="s">
        <v>1969</v>
      </c>
      <c r="J97" s="2031"/>
      <c r="K97" s="2031"/>
      <c r="L97" s="2031"/>
      <c r="M97" s="2031"/>
      <c r="N97" s="2031"/>
      <c r="O97" s="2031" t="s">
        <v>1970</v>
      </c>
      <c r="P97" s="2031"/>
      <c r="Q97" s="2031"/>
      <c r="R97" s="2031"/>
      <c r="S97" s="2031"/>
      <c r="T97" s="2031"/>
      <c r="U97" s="2031"/>
      <c r="V97" s="2067" t="s">
        <v>1971</v>
      </c>
      <c r="W97" s="2067"/>
      <c r="X97" s="2067"/>
      <c r="Y97" s="2067"/>
      <c r="Z97" s="2067"/>
      <c r="AA97" s="2067"/>
      <c r="AB97" s="2001" t="s">
        <v>1972</v>
      </c>
      <c r="AC97" s="2001"/>
      <c r="AD97" s="2001"/>
      <c r="AE97" s="2001"/>
      <c r="AF97" s="2001"/>
      <c r="AG97" s="2001"/>
      <c r="AH97" s="2068"/>
      <c r="AI97" s="1079"/>
      <c r="AJ97" s="2055"/>
      <c r="AK97" s="2056"/>
      <c r="AL97" s="2056"/>
      <c r="AM97" s="2056"/>
      <c r="AN97" s="2056"/>
      <c r="AO97" s="2056"/>
      <c r="AP97" s="2056"/>
      <c r="AQ97" s="2056"/>
      <c r="AR97" s="2056"/>
      <c r="AS97" s="2056"/>
      <c r="AT97" s="2056"/>
      <c r="AU97" s="2056"/>
      <c r="AV97" s="2056"/>
      <c r="AW97" s="2056"/>
      <c r="AX97" s="2056"/>
      <c r="AY97" s="2071"/>
      <c r="AZ97" s="2071"/>
      <c r="BA97" s="2071"/>
      <c r="BB97" s="2072"/>
      <c r="BC97" s="1079"/>
      <c r="BD97" s="1079"/>
      <c r="BE97" s="1083"/>
      <c r="BQ97" s="1145" t="str">
        <f>Application!M251&amp;IF(TRIM(Application!AA257)&lt;&gt;""," ("&amp;Application!AA257&amp;")","")</f>
        <v>Standard Buchanan Manager LLC</v>
      </c>
      <c r="BR97" s="1148">
        <f>Application!AH254</f>
        <v>6.0000000000000001E-3</v>
      </c>
      <c r="CM97" s="1077"/>
      <c r="CN97" s="1077"/>
      <c r="CO97" s="1077"/>
      <c r="CP97" s="1077"/>
    </row>
    <row r="98" spans="1:94" ht="15.75" customHeight="1">
      <c r="A98" s="1079"/>
      <c r="B98" s="2063"/>
      <c r="C98" s="2031"/>
      <c r="D98" s="2031"/>
      <c r="E98" s="2031"/>
      <c r="F98" s="2031"/>
      <c r="G98" s="2031"/>
      <c r="H98" s="2031"/>
      <c r="I98" s="2031"/>
      <c r="J98" s="2031"/>
      <c r="K98" s="2031"/>
      <c r="L98" s="2031"/>
      <c r="M98" s="2031"/>
      <c r="N98" s="2031"/>
      <c r="O98" s="2031"/>
      <c r="P98" s="2031"/>
      <c r="Q98" s="2031"/>
      <c r="R98" s="2031"/>
      <c r="S98" s="2031"/>
      <c r="T98" s="2031"/>
      <c r="U98" s="2031"/>
      <c r="V98" s="2067"/>
      <c r="W98" s="2067"/>
      <c r="X98" s="2067"/>
      <c r="Y98" s="2067"/>
      <c r="Z98" s="2067"/>
      <c r="AA98" s="2067"/>
      <c r="AB98" s="2001"/>
      <c r="AC98" s="2001"/>
      <c r="AD98" s="2001"/>
      <c r="AE98" s="2001"/>
      <c r="AF98" s="2001"/>
      <c r="AG98" s="2001"/>
      <c r="AH98" s="2068"/>
      <c r="AI98" s="1079"/>
      <c r="AJ98" s="2055"/>
      <c r="AK98" s="2056"/>
      <c r="AL98" s="2056"/>
      <c r="AM98" s="2056"/>
      <c r="AN98" s="2056"/>
      <c r="AO98" s="2056"/>
      <c r="AP98" s="2056"/>
      <c r="AQ98" s="2056"/>
      <c r="AR98" s="2056"/>
      <c r="AS98" s="2056"/>
      <c r="AT98" s="2056"/>
      <c r="AU98" s="2056"/>
      <c r="AV98" s="2056"/>
      <c r="AW98" s="2056"/>
      <c r="AX98" s="2056"/>
      <c r="AY98" s="2071"/>
      <c r="AZ98" s="2071"/>
      <c r="BA98" s="2071"/>
      <c r="BB98" s="2072"/>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2063" t="s">
        <v>1973</v>
      </c>
      <c r="C99" s="2031"/>
      <c r="D99" s="2031"/>
      <c r="E99" s="2031"/>
      <c r="F99" s="2031"/>
      <c r="G99" s="2031"/>
      <c r="H99" s="2031"/>
      <c r="I99" s="2004">
        <v>0</v>
      </c>
      <c r="J99" s="2004"/>
      <c r="K99" s="2004"/>
      <c r="L99" s="2004"/>
      <c r="M99" s="2004"/>
      <c r="N99" s="2004"/>
      <c r="O99" s="2004">
        <v>0</v>
      </c>
      <c r="P99" s="2004"/>
      <c r="Q99" s="2004"/>
      <c r="R99" s="2004"/>
      <c r="S99" s="2004"/>
      <c r="T99" s="2004"/>
      <c r="U99" s="2004"/>
      <c r="V99" s="2004">
        <v>0</v>
      </c>
      <c r="W99" s="2004"/>
      <c r="X99" s="2004"/>
      <c r="Y99" s="2004"/>
      <c r="Z99" s="2004"/>
      <c r="AA99" s="2004"/>
      <c r="AB99" s="2004">
        <v>0</v>
      </c>
      <c r="AC99" s="2004"/>
      <c r="AD99" s="2004"/>
      <c r="AE99" s="2004"/>
      <c r="AF99" s="2004"/>
      <c r="AG99" s="2004"/>
      <c r="AH99" s="2005"/>
      <c r="AI99" s="1079"/>
      <c r="AJ99" s="2055"/>
      <c r="AK99" s="2056"/>
      <c r="AL99" s="2056"/>
      <c r="AM99" s="2056"/>
      <c r="AN99" s="2056"/>
      <c r="AO99" s="2056"/>
      <c r="AP99" s="2056"/>
      <c r="AQ99" s="2056"/>
      <c r="AR99" s="2056"/>
      <c r="AS99" s="2056"/>
      <c r="AT99" s="2056"/>
      <c r="AU99" s="2056"/>
      <c r="AV99" s="2056"/>
      <c r="AW99" s="2056"/>
      <c r="AX99" s="2056"/>
      <c r="AY99" s="2071"/>
      <c r="AZ99" s="2071"/>
      <c r="BA99" s="2071"/>
      <c r="BB99" s="2072"/>
      <c r="BC99" s="1079"/>
      <c r="BD99" s="1079"/>
      <c r="BE99" s="1083"/>
      <c r="CM99" s="1077"/>
      <c r="CN99" s="1077"/>
      <c r="CO99" s="1077"/>
      <c r="CP99" s="1077"/>
    </row>
    <row r="100" spans="1:94" ht="15.75" customHeight="1">
      <c r="A100" s="1079"/>
      <c r="B100" s="2063" t="s">
        <v>1974</v>
      </c>
      <c r="C100" s="2031"/>
      <c r="D100" s="2031"/>
      <c r="E100" s="2031"/>
      <c r="F100" s="2031"/>
      <c r="G100" s="2031"/>
      <c r="H100" s="2031"/>
      <c r="I100" s="2004">
        <v>0</v>
      </c>
      <c r="J100" s="2004"/>
      <c r="K100" s="2004"/>
      <c r="L100" s="2004"/>
      <c r="M100" s="2004"/>
      <c r="N100" s="2004"/>
      <c r="O100" s="2004">
        <v>0</v>
      </c>
      <c r="P100" s="2004"/>
      <c r="Q100" s="2004"/>
      <c r="R100" s="2004"/>
      <c r="S100" s="2004"/>
      <c r="T100" s="2004"/>
      <c r="U100" s="2004"/>
      <c r="V100" s="2004">
        <v>0</v>
      </c>
      <c r="W100" s="2004"/>
      <c r="X100" s="2004"/>
      <c r="Y100" s="2004"/>
      <c r="Z100" s="2004"/>
      <c r="AA100" s="2004"/>
      <c r="AB100" s="2004">
        <v>0</v>
      </c>
      <c r="AC100" s="2004"/>
      <c r="AD100" s="2004"/>
      <c r="AE100" s="2004"/>
      <c r="AF100" s="2004"/>
      <c r="AG100" s="2004"/>
      <c r="AH100" s="2005"/>
      <c r="AI100" s="1079"/>
      <c r="AJ100" s="1971" t="s">
        <v>1975</v>
      </c>
      <c r="AK100" s="1972"/>
      <c r="AL100" s="1972"/>
      <c r="AM100" s="1972"/>
      <c r="AN100" s="1972"/>
      <c r="AO100" s="1972"/>
      <c r="AP100" s="1972"/>
      <c r="AQ100" s="1972"/>
      <c r="AR100" s="1972"/>
      <c r="AS100" s="1972"/>
      <c r="AT100" s="1972"/>
      <c r="AU100" s="1972"/>
      <c r="AV100" s="1972"/>
      <c r="AW100" s="1972"/>
      <c r="AX100" s="1972"/>
      <c r="AY100" s="1972"/>
      <c r="AZ100" s="1972"/>
      <c r="BA100" s="1972"/>
      <c r="BB100" s="1973"/>
      <c r="BC100" s="1079"/>
      <c r="BD100" s="1079"/>
      <c r="BE100" s="1083"/>
      <c r="CM100" s="1077"/>
      <c r="CN100" s="1077"/>
      <c r="CO100" s="1077"/>
      <c r="CP100" s="1077"/>
    </row>
    <row r="101" spans="1:94" ht="15.75" customHeight="1" thickBot="1">
      <c r="A101" s="1079"/>
      <c r="B101" s="2061" t="s">
        <v>1976</v>
      </c>
      <c r="C101" s="2062"/>
      <c r="D101" s="2062"/>
      <c r="E101" s="2062"/>
      <c r="F101" s="2062"/>
      <c r="G101" s="2062"/>
      <c r="H101" s="2062"/>
      <c r="I101" s="1998">
        <v>0</v>
      </c>
      <c r="J101" s="1998"/>
      <c r="K101" s="1998"/>
      <c r="L101" s="1998"/>
      <c r="M101" s="1998"/>
      <c r="N101" s="1998"/>
      <c r="O101" s="1998">
        <v>0</v>
      </c>
      <c r="P101" s="1998"/>
      <c r="Q101" s="1998"/>
      <c r="R101" s="1998"/>
      <c r="S101" s="1998"/>
      <c r="T101" s="1998"/>
      <c r="U101" s="1998"/>
      <c r="V101" s="1998">
        <v>0</v>
      </c>
      <c r="W101" s="1998"/>
      <c r="X101" s="1998"/>
      <c r="Y101" s="1998"/>
      <c r="Z101" s="1998"/>
      <c r="AA101" s="1998"/>
      <c r="AB101" s="1998">
        <v>0</v>
      </c>
      <c r="AC101" s="1998"/>
      <c r="AD101" s="1998"/>
      <c r="AE101" s="1998"/>
      <c r="AF101" s="1998"/>
      <c r="AG101" s="1998"/>
      <c r="AH101" s="1999"/>
      <c r="AI101" s="1079"/>
      <c r="AJ101" s="1974"/>
      <c r="AK101" s="1975"/>
      <c r="AL101" s="1975"/>
      <c r="AM101" s="1975"/>
      <c r="AN101" s="1975"/>
      <c r="AO101" s="1975"/>
      <c r="AP101" s="1975"/>
      <c r="AQ101" s="1975"/>
      <c r="AR101" s="1975"/>
      <c r="AS101" s="1975"/>
      <c r="AT101" s="1975"/>
      <c r="AU101" s="1975"/>
      <c r="AV101" s="1975"/>
      <c r="AW101" s="1975"/>
      <c r="AX101" s="1975"/>
      <c r="AY101" s="1975"/>
      <c r="AZ101" s="1975"/>
      <c r="BA101" s="1975"/>
      <c r="BB101" s="1976"/>
      <c r="BC101" s="1079"/>
      <c r="BD101" s="1079"/>
      <c r="BE101" s="1083"/>
      <c r="BQ101" s="1145" t="str">
        <f>Application!AA335</f>
        <v>Apartment Management Company</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1982</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1963</v>
      </c>
      <c r="C104" s="1101"/>
      <c r="D104" s="1106"/>
      <c r="E104" s="1107"/>
      <c r="F104" s="2025"/>
      <c r="G104" s="2026"/>
      <c r="H104" s="2026"/>
      <c r="I104" s="2026"/>
      <c r="J104" s="2026"/>
      <c r="K104" s="2026"/>
      <c r="L104" s="2026"/>
      <c r="M104" s="2026"/>
      <c r="N104" s="2026"/>
      <c r="O104" s="2026"/>
      <c r="P104" s="2026"/>
      <c r="Q104" s="2026"/>
      <c r="R104" s="2027"/>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1983</v>
      </c>
      <c r="C105" s="1109"/>
      <c r="D105" s="1110"/>
      <c r="E105" s="1110"/>
      <c r="F105" s="1110"/>
      <c r="G105" s="1110"/>
      <c r="H105" s="1110"/>
      <c r="I105" s="1110"/>
      <c r="J105" s="1110"/>
      <c r="K105" s="1110"/>
      <c r="L105" s="1111"/>
      <c r="M105" s="1110"/>
      <c r="N105" s="1111"/>
      <c r="O105" s="2064" t="str">
        <f>IFERROR(INDEX(BR96:BR98,MATCH(F104,$BQ$96:$BQ$98,0))/SUM($BR$96:$BR$98),"")</f>
        <v/>
      </c>
      <c r="P105" s="2065"/>
      <c r="Q105" s="2065"/>
      <c r="R105" s="2066"/>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54" t="s">
        <v>1984</v>
      </c>
      <c r="C107" s="1955"/>
      <c r="D107" s="1955"/>
      <c r="E107" s="1955"/>
      <c r="F107" s="1955"/>
      <c r="G107" s="1955"/>
      <c r="H107" s="1955"/>
      <c r="I107" s="1955"/>
      <c r="J107" s="1955"/>
      <c r="K107" s="1955"/>
      <c r="L107" s="1955"/>
      <c r="M107" s="1955"/>
      <c r="N107" s="1955"/>
      <c r="O107" s="1955"/>
      <c r="P107" s="1955"/>
      <c r="Q107" s="1955"/>
      <c r="R107" s="1955"/>
      <c r="S107" s="1955"/>
      <c r="T107" s="1955"/>
      <c r="U107" s="1955"/>
      <c r="V107" s="1955"/>
      <c r="W107" s="1955"/>
      <c r="X107" s="1955"/>
      <c r="Y107" s="1955"/>
      <c r="Z107" s="1955"/>
      <c r="AA107" s="1955"/>
      <c r="AB107" s="1955"/>
      <c r="AC107" s="1955"/>
      <c r="AD107" s="1955"/>
      <c r="AE107" s="1955"/>
      <c r="AF107" s="1955"/>
      <c r="AG107" s="1955"/>
      <c r="AH107" s="1964"/>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63"/>
      <c r="C108" s="2031"/>
      <c r="D108" s="2031"/>
      <c r="E108" s="2031"/>
      <c r="F108" s="2031"/>
      <c r="G108" s="2031"/>
      <c r="H108" s="2031"/>
      <c r="I108" s="2031" t="s">
        <v>1969</v>
      </c>
      <c r="J108" s="2031"/>
      <c r="K108" s="2031"/>
      <c r="L108" s="2031"/>
      <c r="M108" s="2031"/>
      <c r="N108" s="2031"/>
      <c r="O108" s="2031" t="s">
        <v>1970</v>
      </c>
      <c r="P108" s="2031"/>
      <c r="Q108" s="2031"/>
      <c r="R108" s="2031"/>
      <c r="S108" s="2031"/>
      <c r="T108" s="2031"/>
      <c r="U108" s="2031"/>
      <c r="V108" s="2067" t="s">
        <v>1971</v>
      </c>
      <c r="W108" s="2067"/>
      <c r="X108" s="2067"/>
      <c r="Y108" s="2067"/>
      <c r="Z108" s="2067"/>
      <c r="AA108" s="2067"/>
      <c r="AB108" s="2001" t="s">
        <v>1972</v>
      </c>
      <c r="AC108" s="2001"/>
      <c r="AD108" s="2001"/>
      <c r="AE108" s="2001"/>
      <c r="AF108" s="2001"/>
      <c r="AG108" s="2001"/>
      <c r="AH108" s="2068"/>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63"/>
      <c r="C109" s="2031"/>
      <c r="D109" s="2031"/>
      <c r="E109" s="2031"/>
      <c r="F109" s="2031"/>
      <c r="G109" s="2031"/>
      <c r="H109" s="2031"/>
      <c r="I109" s="2031"/>
      <c r="J109" s="2031"/>
      <c r="K109" s="2031"/>
      <c r="L109" s="2031"/>
      <c r="M109" s="2031"/>
      <c r="N109" s="2031"/>
      <c r="O109" s="2031"/>
      <c r="P109" s="2031"/>
      <c r="Q109" s="2031"/>
      <c r="R109" s="2031"/>
      <c r="S109" s="2031"/>
      <c r="T109" s="2031"/>
      <c r="U109" s="2031"/>
      <c r="V109" s="2067"/>
      <c r="W109" s="2067"/>
      <c r="X109" s="2067"/>
      <c r="Y109" s="2067"/>
      <c r="Z109" s="2067"/>
      <c r="AA109" s="2067"/>
      <c r="AB109" s="2001"/>
      <c r="AC109" s="2001"/>
      <c r="AD109" s="2001"/>
      <c r="AE109" s="2001"/>
      <c r="AF109" s="2001"/>
      <c r="AG109" s="2001"/>
      <c r="AH109" s="2068"/>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063" t="s">
        <v>1973</v>
      </c>
      <c r="C110" s="2031"/>
      <c r="D110" s="2031"/>
      <c r="E110" s="2031"/>
      <c r="F110" s="2031"/>
      <c r="G110" s="2031"/>
      <c r="H110" s="2031"/>
      <c r="I110" s="2004">
        <v>0</v>
      </c>
      <c r="J110" s="2004"/>
      <c r="K110" s="2004"/>
      <c r="L110" s="2004"/>
      <c r="M110" s="2004"/>
      <c r="N110" s="2004"/>
      <c r="O110" s="2004">
        <v>0</v>
      </c>
      <c r="P110" s="2004"/>
      <c r="Q110" s="2004"/>
      <c r="R110" s="2004"/>
      <c r="S110" s="2004"/>
      <c r="T110" s="2004"/>
      <c r="U110" s="2004"/>
      <c r="V110" s="2004">
        <v>0</v>
      </c>
      <c r="W110" s="2004"/>
      <c r="X110" s="2004"/>
      <c r="Y110" s="2004"/>
      <c r="Z110" s="2004"/>
      <c r="AA110" s="2004"/>
      <c r="AB110" s="2004">
        <v>0</v>
      </c>
      <c r="AC110" s="2004"/>
      <c r="AD110" s="2004"/>
      <c r="AE110" s="2004"/>
      <c r="AF110" s="2004"/>
      <c r="AG110" s="2004"/>
      <c r="AH110" s="2005"/>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063" t="s">
        <v>1974</v>
      </c>
      <c r="C111" s="2031"/>
      <c r="D111" s="2031"/>
      <c r="E111" s="2031"/>
      <c r="F111" s="2031"/>
      <c r="G111" s="2031"/>
      <c r="H111" s="2031"/>
      <c r="I111" s="2004">
        <v>0</v>
      </c>
      <c r="J111" s="2004"/>
      <c r="K111" s="2004"/>
      <c r="L111" s="2004"/>
      <c r="M111" s="2004"/>
      <c r="N111" s="2004"/>
      <c r="O111" s="2004">
        <v>0</v>
      </c>
      <c r="P111" s="2004"/>
      <c r="Q111" s="2004"/>
      <c r="R111" s="2004"/>
      <c r="S111" s="2004"/>
      <c r="T111" s="2004"/>
      <c r="U111" s="2004"/>
      <c r="V111" s="2004">
        <v>0</v>
      </c>
      <c r="W111" s="2004"/>
      <c r="X111" s="2004"/>
      <c r="Y111" s="2004"/>
      <c r="Z111" s="2004"/>
      <c r="AA111" s="2004"/>
      <c r="AB111" s="2004">
        <v>0</v>
      </c>
      <c r="AC111" s="2004"/>
      <c r="AD111" s="2004"/>
      <c r="AE111" s="2004"/>
      <c r="AF111" s="2004"/>
      <c r="AG111" s="2004"/>
      <c r="AH111" s="2005"/>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61" t="s">
        <v>1976</v>
      </c>
      <c r="C112" s="2062"/>
      <c r="D112" s="2062"/>
      <c r="E112" s="2062"/>
      <c r="F112" s="2062"/>
      <c r="G112" s="2062"/>
      <c r="H112" s="2062"/>
      <c r="I112" s="1998">
        <v>0</v>
      </c>
      <c r="J112" s="1998"/>
      <c r="K112" s="1998"/>
      <c r="L112" s="1998"/>
      <c r="M112" s="1998"/>
      <c r="N112" s="1998"/>
      <c r="O112" s="1998">
        <v>0</v>
      </c>
      <c r="P112" s="1998"/>
      <c r="Q112" s="1998"/>
      <c r="R112" s="1998"/>
      <c r="S112" s="1998"/>
      <c r="T112" s="1998"/>
      <c r="U112" s="1998"/>
      <c r="V112" s="1998">
        <v>0</v>
      </c>
      <c r="W112" s="1998"/>
      <c r="X112" s="1998"/>
      <c r="Y112" s="1998"/>
      <c r="Z112" s="1998"/>
      <c r="AA112" s="1998"/>
      <c r="AB112" s="1998">
        <v>0</v>
      </c>
      <c r="AC112" s="1998"/>
      <c r="AD112" s="1998"/>
      <c r="AE112" s="1998"/>
      <c r="AF112" s="1998"/>
      <c r="AG112" s="1998"/>
      <c r="AH112" s="1999"/>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1985</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1963</v>
      </c>
      <c r="C115" s="1101"/>
      <c r="D115" s="1106"/>
      <c r="E115" s="1107"/>
      <c r="F115" s="2025"/>
      <c r="G115" s="2026"/>
      <c r="H115" s="2026"/>
      <c r="I115" s="2026"/>
      <c r="J115" s="2026"/>
      <c r="K115" s="2026"/>
      <c r="L115" s="2026"/>
      <c r="M115" s="2026"/>
      <c r="N115" s="2026"/>
      <c r="O115" s="2026"/>
      <c r="P115" s="2026"/>
      <c r="Q115" s="2026"/>
      <c r="R115" s="2027"/>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36" t="s">
        <v>1986</v>
      </c>
      <c r="C117" s="2037"/>
      <c r="D117" s="2037"/>
      <c r="E117" s="2037"/>
      <c r="F117" s="2037"/>
      <c r="G117" s="2037"/>
      <c r="H117" s="2037"/>
      <c r="I117" s="2037"/>
      <c r="J117" s="2037"/>
      <c r="K117" s="2037"/>
      <c r="L117" s="2037"/>
      <c r="M117" s="2037"/>
      <c r="N117" s="2037"/>
      <c r="O117" s="2037"/>
      <c r="P117" s="2037"/>
      <c r="Q117" s="2037"/>
      <c r="R117" s="2037"/>
      <c r="S117" s="2037"/>
      <c r="T117" s="2037"/>
      <c r="U117" s="2040" t="s">
        <v>843</v>
      </c>
      <c r="V117" s="2040"/>
      <c r="W117" s="2040"/>
      <c r="X117" s="2041"/>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38"/>
      <c r="C118" s="2039"/>
      <c r="D118" s="2039"/>
      <c r="E118" s="2039"/>
      <c r="F118" s="2039"/>
      <c r="G118" s="2039"/>
      <c r="H118" s="2039"/>
      <c r="I118" s="2039"/>
      <c r="J118" s="2039"/>
      <c r="K118" s="2039"/>
      <c r="L118" s="2039"/>
      <c r="M118" s="2039"/>
      <c r="N118" s="2039"/>
      <c r="O118" s="2039"/>
      <c r="P118" s="2039"/>
      <c r="Q118" s="2039"/>
      <c r="R118" s="2039"/>
      <c r="S118" s="2039"/>
      <c r="T118" s="2039"/>
      <c r="U118" s="2042"/>
      <c r="V118" s="2042"/>
      <c r="W118" s="2042"/>
      <c r="X118" s="2043"/>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38"/>
      <c r="C119" s="2039"/>
      <c r="D119" s="2039"/>
      <c r="E119" s="2039"/>
      <c r="F119" s="2039"/>
      <c r="G119" s="2039"/>
      <c r="H119" s="2039"/>
      <c r="I119" s="2039"/>
      <c r="J119" s="2039"/>
      <c r="K119" s="2039"/>
      <c r="L119" s="2039"/>
      <c r="M119" s="2039"/>
      <c r="N119" s="2039"/>
      <c r="O119" s="2039"/>
      <c r="P119" s="2039"/>
      <c r="Q119" s="2039"/>
      <c r="R119" s="2039"/>
      <c r="S119" s="2039"/>
      <c r="T119" s="2039"/>
      <c r="U119" s="2042"/>
      <c r="V119" s="2042"/>
      <c r="W119" s="2042"/>
      <c r="X119" s="2043"/>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38"/>
      <c r="C120" s="2039"/>
      <c r="D120" s="2039"/>
      <c r="E120" s="2039"/>
      <c r="F120" s="2039"/>
      <c r="G120" s="2039"/>
      <c r="H120" s="2039"/>
      <c r="I120" s="2039"/>
      <c r="J120" s="2039"/>
      <c r="K120" s="2039"/>
      <c r="L120" s="2039"/>
      <c r="M120" s="2039"/>
      <c r="N120" s="2039"/>
      <c r="O120" s="2039"/>
      <c r="P120" s="2039"/>
      <c r="Q120" s="2039"/>
      <c r="R120" s="2039"/>
      <c r="S120" s="2039"/>
      <c r="T120" s="2039"/>
      <c r="U120" s="2042"/>
      <c r="V120" s="2042"/>
      <c r="W120" s="2042"/>
      <c r="X120" s="2043"/>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44" t="s">
        <v>1986</v>
      </c>
      <c r="C121" s="2045"/>
      <c r="D121" s="2045"/>
      <c r="E121" s="2045"/>
      <c r="F121" s="2045"/>
      <c r="G121" s="2045"/>
      <c r="H121" s="2045"/>
      <c r="I121" s="2045"/>
      <c r="J121" s="2045"/>
      <c r="K121" s="2045"/>
      <c r="L121" s="2045"/>
      <c r="M121" s="2045"/>
      <c r="N121" s="2045"/>
      <c r="O121" s="2045"/>
      <c r="P121" s="2045"/>
      <c r="Q121" s="2045"/>
      <c r="R121" s="2045"/>
      <c r="S121" s="2045"/>
      <c r="T121" s="2045"/>
      <c r="U121" s="2048" t="s">
        <v>843</v>
      </c>
      <c r="V121" s="2048"/>
      <c r="W121" s="2048"/>
      <c r="X121" s="2049"/>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46"/>
      <c r="C122" s="2047"/>
      <c r="D122" s="2047"/>
      <c r="E122" s="2047"/>
      <c r="F122" s="2047"/>
      <c r="G122" s="2047"/>
      <c r="H122" s="2047"/>
      <c r="I122" s="2047"/>
      <c r="J122" s="2047"/>
      <c r="K122" s="2047"/>
      <c r="L122" s="2047"/>
      <c r="M122" s="2047"/>
      <c r="N122" s="2047"/>
      <c r="O122" s="2047"/>
      <c r="P122" s="2047"/>
      <c r="Q122" s="2047"/>
      <c r="R122" s="2047"/>
      <c r="S122" s="2047"/>
      <c r="T122" s="2047"/>
      <c r="U122" s="2050"/>
      <c r="V122" s="2050"/>
      <c r="W122" s="2050"/>
      <c r="X122" s="2051"/>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1987</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52" t="s">
        <v>1988</v>
      </c>
      <c r="Y125" s="2053"/>
      <c r="Z125" s="2053"/>
      <c r="AA125" s="2053"/>
      <c r="AB125" s="2053"/>
      <c r="AC125" s="2053"/>
      <c r="AD125" s="2053"/>
      <c r="AE125" s="2053"/>
      <c r="AF125" s="2053"/>
      <c r="AG125" s="2053"/>
      <c r="AH125" s="2053"/>
      <c r="AI125" s="2053"/>
      <c r="AJ125" s="2053"/>
      <c r="AK125" s="2053"/>
      <c r="AL125" s="2053"/>
      <c r="AM125" s="2053"/>
      <c r="AN125" s="2053"/>
      <c r="AO125" s="2053"/>
      <c r="AP125" s="2053"/>
      <c r="AQ125" s="2053"/>
      <c r="AR125" s="2053"/>
      <c r="AS125" s="2053"/>
      <c r="AT125" s="2053"/>
      <c r="AU125" s="2053"/>
      <c r="AV125" s="2053"/>
      <c r="AW125" s="2053"/>
      <c r="AX125" s="2053"/>
      <c r="AY125" s="2053"/>
      <c r="AZ125" s="2053"/>
      <c r="BA125" s="2053"/>
      <c r="BB125" s="2053"/>
      <c r="BC125" s="2053"/>
      <c r="BD125" s="2054"/>
      <c r="BE125" s="1083"/>
    </row>
    <row r="126" spans="1:57" ht="15.75" customHeight="1">
      <c r="A126" s="1079"/>
      <c r="B126" s="2058" t="s">
        <v>1989</v>
      </c>
      <c r="C126" s="2059"/>
      <c r="D126" s="2059"/>
      <c r="E126" s="2059"/>
      <c r="F126" s="2059"/>
      <c r="G126" s="2059"/>
      <c r="H126" s="2059"/>
      <c r="I126" s="2059"/>
      <c r="J126" s="2059"/>
      <c r="K126" s="2059"/>
      <c r="L126" s="2059"/>
      <c r="M126" s="2059"/>
      <c r="N126" s="2059"/>
      <c r="O126" s="2059"/>
      <c r="P126" s="2059"/>
      <c r="Q126" s="2059"/>
      <c r="R126" s="2059"/>
      <c r="S126" s="2059"/>
      <c r="T126" s="2059"/>
      <c r="U126" s="2060"/>
      <c r="V126" s="1079"/>
      <c r="W126" s="1079"/>
      <c r="X126" s="2055"/>
      <c r="Y126" s="2056"/>
      <c r="Z126" s="2056"/>
      <c r="AA126" s="2056"/>
      <c r="AB126" s="2056"/>
      <c r="AC126" s="2056"/>
      <c r="AD126" s="2056"/>
      <c r="AE126" s="2056"/>
      <c r="AF126" s="2056"/>
      <c r="AG126" s="2056"/>
      <c r="AH126" s="2056"/>
      <c r="AI126" s="2056"/>
      <c r="AJ126" s="2056"/>
      <c r="AK126" s="2056"/>
      <c r="AL126" s="2056"/>
      <c r="AM126" s="2056"/>
      <c r="AN126" s="2056"/>
      <c r="AO126" s="2056"/>
      <c r="AP126" s="2056"/>
      <c r="AQ126" s="2056"/>
      <c r="AR126" s="2056"/>
      <c r="AS126" s="2056"/>
      <c r="AT126" s="2056"/>
      <c r="AU126" s="2056"/>
      <c r="AV126" s="2056"/>
      <c r="AW126" s="2056"/>
      <c r="AX126" s="2056"/>
      <c r="AY126" s="2056"/>
      <c r="AZ126" s="2056"/>
      <c r="BA126" s="2056"/>
      <c r="BB126" s="2056"/>
      <c r="BC126" s="2056"/>
      <c r="BD126" s="2057"/>
      <c r="BE126" s="1083"/>
    </row>
    <row r="127" spans="1:57" ht="15.75" customHeight="1">
      <c r="A127" s="1079"/>
      <c r="B127" s="1968"/>
      <c r="C127" s="1969"/>
      <c r="D127" s="1969"/>
      <c r="E127" s="1969"/>
      <c r="F127" s="1969"/>
      <c r="G127" s="1969"/>
      <c r="H127" s="1969"/>
      <c r="I127" s="2031" t="s">
        <v>1990</v>
      </c>
      <c r="J127" s="2031"/>
      <c r="K127" s="2031"/>
      <c r="L127" s="2031"/>
      <c r="M127" s="2031"/>
      <c r="N127" s="2031"/>
      <c r="O127" s="2032" t="s">
        <v>1991</v>
      </c>
      <c r="P127" s="2032"/>
      <c r="Q127" s="2032"/>
      <c r="R127" s="2032"/>
      <c r="S127" s="2032"/>
      <c r="T127" s="2032"/>
      <c r="U127" s="2033"/>
      <c r="V127" s="1079"/>
      <c r="W127" s="1079"/>
      <c r="X127" s="1971" t="s">
        <v>1961</v>
      </c>
      <c r="Y127" s="1972"/>
      <c r="Z127" s="1972"/>
      <c r="AA127" s="1972"/>
      <c r="AB127" s="1972"/>
      <c r="AC127" s="1972"/>
      <c r="AD127" s="1972"/>
      <c r="AE127" s="1972"/>
      <c r="AF127" s="1972"/>
      <c r="AG127" s="1972"/>
      <c r="AH127" s="1972"/>
      <c r="AI127" s="1972"/>
      <c r="AJ127" s="1972"/>
      <c r="AK127" s="1972"/>
      <c r="AL127" s="1972"/>
      <c r="AM127" s="1972"/>
      <c r="AN127" s="1972"/>
      <c r="AO127" s="1972"/>
      <c r="AP127" s="1972"/>
      <c r="AQ127" s="1972"/>
      <c r="AR127" s="1972"/>
      <c r="AS127" s="1972"/>
      <c r="AT127" s="1972"/>
      <c r="AU127" s="1972"/>
      <c r="AV127" s="1972"/>
      <c r="AW127" s="1972"/>
      <c r="AX127" s="1972"/>
      <c r="AY127" s="1972"/>
      <c r="AZ127" s="1972"/>
      <c r="BA127" s="1972"/>
      <c r="BB127" s="1972"/>
      <c r="BC127" s="1972"/>
      <c r="BD127" s="1973"/>
      <c r="BE127" s="1083"/>
    </row>
    <row r="128" spans="1:57" ht="15.75" customHeight="1">
      <c r="A128" s="1079"/>
      <c r="B128" s="2002" t="s">
        <v>1992</v>
      </c>
      <c r="C128" s="2003"/>
      <c r="D128" s="2003"/>
      <c r="E128" s="2003"/>
      <c r="F128" s="2003"/>
      <c r="G128" s="2003"/>
      <c r="H128" s="2003"/>
      <c r="I128" s="2004">
        <v>0</v>
      </c>
      <c r="J128" s="2004"/>
      <c r="K128" s="2004"/>
      <c r="L128" s="2004"/>
      <c r="M128" s="2004"/>
      <c r="N128" s="2004"/>
      <c r="O128" s="2004">
        <v>0</v>
      </c>
      <c r="P128" s="2004"/>
      <c r="Q128" s="2004"/>
      <c r="R128" s="2004"/>
      <c r="S128" s="2004"/>
      <c r="T128" s="2004"/>
      <c r="U128" s="2005"/>
      <c r="V128" s="1079"/>
      <c r="W128" s="1079"/>
      <c r="X128" s="1971"/>
      <c r="Y128" s="1972"/>
      <c r="Z128" s="1972"/>
      <c r="AA128" s="1972"/>
      <c r="AB128" s="1972"/>
      <c r="AC128" s="1972"/>
      <c r="AD128" s="1972"/>
      <c r="AE128" s="1972"/>
      <c r="AF128" s="1972"/>
      <c r="AG128" s="1972"/>
      <c r="AH128" s="1972"/>
      <c r="AI128" s="1972"/>
      <c r="AJ128" s="1972"/>
      <c r="AK128" s="1972"/>
      <c r="AL128" s="1972"/>
      <c r="AM128" s="1972"/>
      <c r="AN128" s="1972"/>
      <c r="AO128" s="1972"/>
      <c r="AP128" s="1972"/>
      <c r="AQ128" s="1972"/>
      <c r="AR128" s="1972"/>
      <c r="AS128" s="1972"/>
      <c r="AT128" s="1972"/>
      <c r="AU128" s="1972"/>
      <c r="AV128" s="1972"/>
      <c r="AW128" s="1972"/>
      <c r="AX128" s="1972"/>
      <c r="AY128" s="1972"/>
      <c r="AZ128" s="1972"/>
      <c r="BA128" s="1972"/>
      <c r="BB128" s="1972"/>
      <c r="BC128" s="1972"/>
      <c r="BD128" s="1973"/>
      <c r="BE128" s="1083"/>
    </row>
    <row r="129" spans="1:57" ht="15.75" customHeight="1" thickBot="1">
      <c r="A129" s="1079"/>
      <c r="B129" s="1996" t="s">
        <v>1993</v>
      </c>
      <c r="C129" s="1997"/>
      <c r="D129" s="1997"/>
      <c r="E129" s="1997"/>
      <c r="F129" s="1997"/>
      <c r="G129" s="1997"/>
      <c r="H129" s="1997"/>
      <c r="I129" s="1998">
        <v>0</v>
      </c>
      <c r="J129" s="1998"/>
      <c r="K129" s="1998"/>
      <c r="L129" s="1998"/>
      <c r="M129" s="1998"/>
      <c r="N129" s="1998"/>
      <c r="O129" s="2034"/>
      <c r="P129" s="2034"/>
      <c r="Q129" s="2034"/>
      <c r="R129" s="2034"/>
      <c r="S129" s="2034"/>
      <c r="T129" s="2034"/>
      <c r="U129" s="2035"/>
      <c r="V129" s="1079"/>
      <c r="W129" s="1079"/>
      <c r="X129" s="1971"/>
      <c r="Y129" s="1972"/>
      <c r="Z129" s="1972"/>
      <c r="AA129" s="1972"/>
      <c r="AB129" s="1972"/>
      <c r="AC129" s="1972"/>
      <c r="AD129" s="1972"/>
      <c r="AE129" s="1972"/>
      <c r="AF129" s="1972"/>
      <c r="AG129" s="1972"/>
      <c r="AH129" s="1972"/>
      <c r="AI129" s="1972"/>
      <c r="AJ129" s="1972"/>
      <c r="AK129" s="1972"/>
      <c r="AL129" s="1972"/>
      <c r="AM129" s="1972"/>
      <c r="AN129" s="1972"/>
      <c r="AO129" s="1972"/>
      <c r="AP129" s="1972"/>
      <c r="AQ129" s="1972"/>
      <c r="AR129" s="1972"/>
      <c r="AS129" s="1972"/>
      <c r="AT129" s="1972"/>
      <c r="AU129" s="1972"/>
      <c r="AV129" s="1972"/>
      <c r="AW129" s="1972"/>
      <c r="AX129" s="1972"/>
      <c r="AY129" s="1972"/>
      <c r="AZ129" s="1972"/>
      <c r="BA129" s="1972"/>
      <c r="BB129" s="1972"/>
      <c r="BC129" s="1972"/>
      <c r="BD129" s="1973"/>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71"/>
      <c r="Y130" s="1972"/>
      <c r="Z130" s="1972"/>
      <c r="AA130" s="1972"/>
      <c r="AB130" s="1972"/>
      <c r="AC130" s="1972"/>
      <c r="AD130" s="1972"/>
      <c r="AE130" s="1972"/>
      <c r="AF130" s="1972"/>
      <c r="AG130" s="1972"/>
      <c r="AH130" s="1972"/>
      <c r="AI130" s="1972"/>
      <c r="AJ130" s="1972"/>
      <c r="AK130" s="1972"/>
      <c r="AL130" s="1972"/>
      <c r="AM130" s="1972"/>
      <c r="AN130" s="1972"/>
      <c r="AO130" s="1972"/>
      <c r="AP130" s="1972"/>
      <c r="AQ130" s="1972"/>
      <c r="AR130" s="1972"/>
      <c r="AS130" s="1972"/>
      <c r="AT130" s="1972"/>
      <c r="AU130" s="1972"/>
      <c r="AV130" s="1972"/>
      <c r="AW130" s="1972"/>
      <c r="AX130" s="1972"/>
      <c r="AY130" s="1972"/>
      <c r="AZ130" s="1972"/>
      <c r="BA130" s="1972"/>
      <c r="BB130" s="1972"/>
      <c r="BC130" s="1972"/>
      <c r="BD130" s="1973"/>
      <c r="BE130" s="1083"/>
    </row>
    <row r="131" spans="1:57" ht="15.75" customHeight="1" thickBot="1">
      <c r="A131" s="1079"/>
      <c r="B131" s="1098" t="s">
        <v>1994</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71"/>
      <c r="Y131" s="1972"/>
      <c r="Z131" s="1972"/>
      <c r="AA131" s="1972"/>
      <c r="AB131" s="1972"/>
      <c r="AC131" s="1972"/>
      <c r="AD131" s="1972"/>
      <c r="AE131" s="1972"/>
      <c r="AF131" s="1972"/>
      <c r="AG131" s="1972"/>
      <c r="AH131" s="1972"/>
      <c r="AI131" s="1972"/>
      <c r="AJ131" s="1972"/>
      <c r="AK131" s="1972"/>
      <c r="AL131" s="1972"/>
      <c r="AM131" s="1972"/>
      <c r="AN131" s="1972"/>
      <c r="AO131" s="1972"/>
      <c r="AP131" s="1972"/>
      <c r="AQ131" s="1972"/>
      <c r="AR131" s="1972"/>
      <c r="AS131" s="1972"/>
      <c r="AT131" s="1972"/>
      <c r="AU131" s="1972"/>
      <c r="AV131" s="1972"/>
      <c r="AW131" s="1972"/>
      <c r="AX131" s="1972"/>
      <c r="AY131" s="1972"/>
      <c r="AZ131" s="1972"/>
      <c r="BA131" s="1972"/>
      <c r="BB131" s="1972"/>
      <c r="BC131" s="1972"/>
      <c r="BD131" s="1973"/>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71"/>
      <c r="Y132" s="1972"/>
      <c r="Z132" s="1972"/>
      <c r="AA132" s="1972"/>
      <c r="AB132" s="1972"/>
      <c r="AC132" s="1972"/>
      <c r="AD132" s="1972"/>
      <c r="AE132" s="1972"/>
      <c r="AF132" s="1972"/>
      <c r="AG132" s="1972"/>
      <c r="AH132" s="1972"/>
      <c r="AI132" s="1972"/>
      <c r="AJ132" s="1972"/>
      <c r="AK132" s="1972"/>
      <c r="AL132" s="1972"/>
      <c r="AM132" s="1972"/>
      <c r="AN132" s="1972"/>
      <c r="AO132" s="1972"/>
      <c r="AP132" s="1972"/>
      <c r="AQ132" s="1972"/>
      <c r="AR132" s="1972"/>
      <c r="AS132" s="1972"/>
      <c r="AT132" s="1972"/>
      <c r="AU132" s="1972"/>
      <c r="AV132" s="1972"/>
      <c r="AW132" s="1972"/>
      <c r="AX132" s="1972"/>
      <c r="AY132" s="1972"/>
      <c r="AZ132" s="1972"/>
      <c r="BA132" s="1972"/>
      <c r="BB132" s="1972"/>
      <c r="BC132" s="1972"/>
      <c r="BD132" s="1973"/>
      <c r="BE132" s="1083"/>
    </row>
    <row r="133" spans="1:57" ht="15.75" customHeight="1">
      <c r="A133" s="1079"/>
      <c r="B133" s="2028" t="s">
        <v>1995</v>
      </c>
      <c r="C133" s="2029"/>
      <c r="D133" s="2029"/>
      <c r="E133" s="2029"/>
      <c r="F133" s="2029"/>
      <c r="G133" s="2029"/>
      <c r="H133" s="2029"/>
      <c r="I133" s="2029"/>
      <c r="J133" s="2029"/>
      <c r="K133" s="2029"/>
      <c r="L133" s="2029"/>
      <c r="M133" s="2029"/>
      <c r="N133" s="2029"/>
      <c r="O133" s="2029"/>
      <c r="P133" s="2029"/>
      <c r="Q133" s="2029"/>
      <c r="R133" s="2029"/>
      <c r="S133" s="2029"/>
      <c r="T133" s="2029"/>
      <c r="U133" s="2030"/>
      <c r="V133" s="1079"/>
      <c r="W133" s="1079"/>
      <c r="X133" s="1971"/>
      <c r="Y133" s="1972"/>
      <c r="Z133" s="1972"/>
      <c r="AA133" s="1972"/>
      <c r="AB133" s="1972"/>
      <c r="AC133" s="1972"/>
      <c r="AD133" s="1972"/>
      <c r="AE133" s="1972"/>
      <c r="AF133" s="1972"/>
      <c r="AG133" s="1972"/>
      <c r="AH133" s="1972"/>
      <c r="AI133" s="1972"/>
      <c r="AJ133" s="1972"/>
      <c r="AK133" s="1972"/>
      <c r="AL133" s="1972"/>
      <c r="AM133" s="1972"/>
      <c r="AN133" s="1972"/>
      <c r="AO133" s="1972"/>
      <c r="AP133" s="1972"/>
      <c r="AQ133" s="1972"/>
      <c r="AR133" s="1972"/>
      <c r="AS133" s="1972"/>
      <c r="AT133" s="1972"/>
      <c r="AU133" s="1972"/>
      <c r="AV133" s="1972"/>
      <c r="AW133" s="1972"/>
      <c r="AX133" s="1972"/>
      <c r="AY133" s="1972"/>
      <c r="AZ133" s="1972"/>
      <c r="BA133" s="1972"/>
      <c r="BB133" s="1972"/>
      <c r="BC133" s="1972"/>
      <c r="BD133" s="1973"/>
      <c r="BE133" s="1083"/>
    </row>
    <row r="134" spans="1:57" ht="15.75" customHeight="1">
      <c r="A134" s="1079"/>
      <c r="B134" s="1968"/>
      <c r="C134" s="1969"/>
      <c r="D134" s="1969"/>
      <c r="E134" s="1969"/>
      <c r="F134" s="1969"/>
      <c r="G134" s="1969"/>
      <c r="H134" s="1969"/>
      <c r="I134" s="2006" t="s">
        <v>1970</v>
      </c>
      <c r="J134" s="2006"/>
      <c r="K134" s="2006"/>
      <c r="L134" s="2006"/>
      <c r="M134" s="2006"/>
      <c r="N134" s="2006"/>
      <c r="O134" s="2006"/>
      <c r="P134" s="2006" t="s">
        <v>1971</v>
      </c>
      <c r="Q134" s="2006"/>
      <c r="R134" s="2006"/>
      <c r="S134" s="2006"/>
      <c r="T134" s="2006"/>
      <c r="U134" s="2007"/>
      <c r="V134" s="1079"/>
      <c r="W134" s="1079"/>
      <c r="X134" s="1971"/>
      <c r="Y134" s="1972"/>
      <c r="Z134" s="1972"/>
      <c r="AA134" s="1972"/>
      <c r="AB134" s="1972"/>
      <c r="AC134" s="1972"/>
      <c r="AD134" s="1972"/>
      <c r="AE134" s="1972"/>
      <c r="AF134" s="1972"/>
      <c r="AG134" s="1972"/>
      <c r="AH134" s="1972"/>
      <c r="AI134" s="1972"/>
      <c r="AJ134" s="1972"/>
      <c r="AK134" s="1972"/>
      <c r="AL134" s="1972"/>
      <c r="AM134" s="1972"/>
      <c r="AN134" s="1972"/>
      <c r="AO134" s="1972"/>
      <c r="AP134" s="1972"/>
      <c r="AQ134" s="1972"/>
      <c r="AR134" s="1972"/>
      <c r="AS134" s="1972"/>
      <c r="AT134" s="1972"/>
      <c r="AU134" s="1972"/>
      <c r="AV134" s="1972"/>
      <c r="AW134" s="1972"/>
      <c r="AX134" s="1972"/>
      <c r="AY134" s="1972"/>
      <c r="AZ134" s="1972"/>
      <c r="BA134" s="1972"/>
      <c r="BB134" s="1972"/>
      <c r="BC134" s="1972"/>
      <c r="BD134" s="1973"/>
      <c r="BE134" s="1083"/>
    </row>
    <row r="135" spans="1:57" ht="15.75" customHeight="1">
      <c r="A135" s="1079"/>
      <c r="B135" s="1968"/>
      <c r="C135" s="1969"/>
      <c r="D135" s="1969"/>
      <c r="E135" s="1969"/>
      <c r="F135" s="1969"/>
      <c r="G135" s="1969"/>
      <c r="H135" s="1969"/>
      <c r="I135" s="2006"/>
      <c r="J135" s="2006"/>
      <c r="K135" s="2006"/>
      <c r="L135" s="2006"/>
      <c r="M135" s="2006"/>
      <c r="N135" s="2006"/>
      <c r="O135" s="2006"/>
      <c r="P135" s="2006"/>
      <c r="Q135" s="2006"/>
      <c r="R135" s="2006"/>
      <c r="S135" s="2006"/>
      <c r="T135" s="2006"/>
      <c r="U135" s="2007"/>
      <c r="V135" s="1079"/>
      <c r="W135" s="1079"/>
      <c r="X135" s="1971"/>
      <c r="Y135" s="1972"/>
      <c r="Z135" s="1972"/>
      <c r="AA135" s="1972"/>
      <c r="AB135" s="1972"/>
      <c r="AC135" s="1972"/>
      <c r="AD135" s="1972"/>
      <c r="AE135" s="1972"/>
      <c r="AF135" s="1972"/>
      <c r="AG135" s="1972"/>
      <c r="AH135" s="1972"/>
      <c r="AI135" s="1972"/>
      <c r="AJ135" s="1972"/>
      <c r="AK135" s="1972"/>
      <c r="AL135" s="1972"/>
      <c r="AM135" s="1972"/>
      <c r="AN135" s="1972"/>
      <c r="AO135" s="1972"/>
      <c r="AP135" s="1972"/>
      <c r="AQ135" s="1972"/>
      <c r="AR135" s="1972"/>
      <c r="AS135" s="1972"/>
      <c r="AT135" s="1972"/>
      <c r="AU135" s="1972"/>
      <c r="AV135" s="1972"/>
      <c r="AW135" s="1972"/>
      <c r="AX135" s="1972"/>
      <c r="AY135" s="1972"/>
      <c r="AZ135" s="1972"/>
      <c r="BA135" s="1972"/>
      <c r="BB135" s="1972"/>
      <c r="BC135" s="1972"/>
      <c r="BD135" s="1973"/>
      <c r="BE135" s="1083"/>
    </row>
    <row r="136" spans="1:57" ht="15.75" customHeight="1">
      <c r="A136" s="1079"/>
      <c r="B136" s="2002" t="s">
        <v>1992</v>
      </c>
      <c r="C136" s="2003"/>
      <c r="D136" s="2003"/>
      <c r="E136" s="2003"/>
      <c r="F136" s="2003"/>
      <c r="G136" s="2003"/>
      <c r="H136" s="2003"/>
      <c r="I136" s="2004">
        <v>0</v>
      </c>
      <c r="J136" s="2004"/>
      <c r="K136" s="2004"/>
      <c r="L136" s="2004"/>
      <c r="M136" s="2004"/>
      <c r="N136" s="2004"/>
      <c r="O136" s="2004"/>
      <c r="P136" s="2004">
        <v>0</v>
      </c>
      <c r="Q136" s="2004"/>
      <c r="R136" s="2004"/>
      <c r="S136" s="2004"/>
      <c r="T136" s="2004"/>
      <c r="U136" s="2005"/>
      <c r="V136" s="1079"/>
      <c r="W136" s="1079"/>
      <c r="X136" s="1971"/>
      <c r="Y136" s="1972"/>
      <c r="Z136" s="1972"/>
      <c r="AA136" s="1972"/>
      <c r="AB136" s="1972"/>
      <c r="AC136" s="1972"/>
      <c r="AD136" s="1972"/>
      <c r="AE136" s="1972"/>
      <c r="AF136" s="1972"/>
      <c r="AG136" s="1972"/>
      <c r="AH136" s="1972"/>
      <c r="AI136" s="1972"/>
      <c r="AJ136" s="1972"/>
      <c r="AK136" s="1972"/>
      <c r="AL136" s="1972"/>
      <c r="AM136" s="1972"/>
      <c r="AN136" s="1972"/>
      <c r="AO136" s="1972"/>
      <c r="AP136" s="1972"/>
      <c r="AQ136" s="1972"/>
      <c r="AR136" s="1972"/>
      <c r="AS136" s="1972"/>
      <c r="AT136" s="1972"/>
      <c r="AU136" s="1972"/>
      <c r="AV136" s="1972"/>
      <c r="AW136" s="1972"/>
      <c r="AX136" s="1972"/>
      <c r="AY136" s="1972"/>
      <c r="AZ136" s="1972"/>
      <c r="BA136" s="1972"/>
      <c r="BB136" s="1972"/>
      <c r="BC136" s="1972"/>
      <c r="BD136" s="1973"/>
      <c r="BE136" s="1083"/>
    </row>
    <row r="137" spans="1:57" ht="15.75" customHeight="1" thickBot="1">
      <c r="A137" s="1079"/>
      <c r="B137" s="1996" t="s">
        <v>1993</v>
      </c>
      <c r="C137" s="1997"/>
      <c r="D137" s="1997"/>
      <c r="E137" s="1997"/>
      <c r="F137" s="1997"/>
      <c r="G137" s="1997"/>
      <c r="H137" s="1997"/>
      <c r="I137" s="1998">
        <v>0</v>
      </c>
      <c r="J137" s="1998"/>
      <c r="K137" s="1998"/>
      <c r="L137" s="1998"/>
      <c r="M137" s="1998"/>
      <c r="N137" s="1998"/>
      <c r="O137" s="1998"/>
      <c r="P137" s="1998">
        <v>0</v>
      </c>
      <c r="Q137" s="1998"/>
      <c r="R137" s="1998"/>
      <c r="S137" s="1998"/>
      <c r="T137" s="1998"/>
      <c r="U137" s="1999"/>
      <c r="V137" s="1079"/>
      <c r="W137" s="1079"/>
      <c r="X137" s="1974"/>
      <c r="Y137" s="1975"/>
      <c r="Z137" s="1975"/>
      <c r="AA137" s="1975"/>
      <c r="AB137" s="1975"/>
      <c r="AC137" s="1975"/>
      <c r="AD137" s="1975"/>
      <c r="AE137" s="1975"/>
      <c r="AF137" s="1975"/>
      <c r="AG137" s="1975"/>
      <c r="AH137" s="1975"/>
      <c r="AI137" s="1975"/>
      <c r="AJ137" s="1975"/>
      <c r="AK137" s="1975"/>
      <c r="AL137" s="1975"/>
      <c r="AM137" s="1975"/>
      <c r="AN137" s="1975"/>
      <c r="AO137" s="1975"/>
      <c r="AP137" s="1975"/>
      <c r="AQ137" s="1975"/>
      <c r="AR137" s="1975"/>
      <c r="AS137" s="1975"/>
      <c r="AT137" s="1975"/>
      <c r="AU137" s="1975"/>
      <c r="AV137" s="1975"/>
      <c r="AW137" s="1975"/>
      <c r="AX137" s="1975"/>
      <c r="AY137" s="1975"/>
      <c r="AZ137" s="1975"/>
      <c r="BA137" s="1975"/>
      <c r="BB137" s="1975"/>
      <c r="BC137" s="1975"/>
      <c r="BD137" s="1976"/>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23" t="s">
        <v>1996</v>
      </c>
      <c r="C139" s="2024"/>
      <c r="D139" s="2024"/>
      <c r="E139" s="2024"/>
      <c r="F139" s="2024"/>
      <c r="G139" s="2024"/>
      <c r="H139" s="2024"/>
      <c r="I139" s="2024"/>
      <c r="J139" s="2024"/>
      <c r="K139" s="2024"/>
      <c r="L139" s="2024"/>
      <c r="M139" s="2024"/>
      <c r="N139" s="2024"/>
      <c r="O139" s="2024"/>
      <c r="P139" s="2024"/>
      <c r="Q139" s="2024"/>
      <c r="R139" s="2024"/>
      <c r="S139" s="2024"/>
      <c r="T139" s="2024"/>
      <c r="U139" s="2024"/>
      <c r="V139" s="2024"/>
      <c r="W139" s="2024"/>
      <c r="X139" s="2024"/>
      <c r="Y139" s="2024"/>
      <c r="Z139" s="2024"/>
      <c r="AA139" s="2024"/>
      <c r="AB139" s="2024"/>
      <c r="AC139" s="2024"/>
      <c r="AD139" s="2024"/>
      <c r="AE139" s="2024"/>
      <c r="AF139" s="2024"/>
      <c r="AG139" s="2024"/>
      <c r="AH139" s="2011" t="s">
        <v>843</v>
      </c>
      <c r="AI139" s="2011"/>
      <c r="AJ139" s="2011"/>
      <c r="AK139" s="2011"/>
      <c r="AL139" s="2011"/>
      <c r="AM139" s="2011"/>
      <c r="AN139" s="2011"/>
      <c r="AO139" s="2011"/>
      <c r="AP139" s="2011"/>
      <c r="AQ139" s="2011"/>
      <c r="AR139" s="2011"/>
      <c r="AS139" s="2011"/>
      <c r="AT139" s="2011"/>
      <c r="AU139" s="2011"/>
      <c r="AV139" s="2011"/>
      <c r="AW139" s="2011"/>
      <c r="AX139" s="2012"/>
      <c r="AY139" s="1079"/>
      <c r="AZ139" s="1079"/>
      <c r="BA139" s="1079"/>
      <c r="BB139" s="1079"/>
      <c r="BC139" s="1079"/>
      <c r="BD139" s="1079"/>
      <c r="BE139" s="1083"/>
    </row>
    <row r="140" spans="1:57" ht="15.75" customHeight="1" thickBot="1">
      <c r="A140" s="1079"/>
      <c r="B140" s="2008" t="s">
        <v>1997</v>
      </c>
      <c r="C140" s="2009"/>
      <c r="D140" s="2009"/>
      <c r="E140" s="2009"/>
      <c r="F140" s="2009"/>
      <c r="G140" s="2009"/>
      <c r="H140" s="2009"/>
      <c r="I140" s="2009"/>
      <c r="J140" s="2009"/>
      <c r="K140" s="2009"/>
      <c r="L140" s="2009"/>
      <c r="M140" s="2009"/>
      <c r="N140" s="2009"/>
      <c r="O140" s="2009"/>
      <c r="P140" s="2009"/>
      <c r="Q140" s="2009"/>
      <c r="R140" s="2009"/>
      <c r="S140" s="2009"/>
      <c r="T140" s="2009"/>
      <c r="U140" s="2009"/>
      <c r="V140" s="2009"/>
      <c r="W140" s="2009"/>
      <c r="X140" s="2009"/>
      <c r="Y140" s="2009"/>
      <c r="Z140" s="2009"/>
      <c r="AA140" s="2009"/>
      <c r="AB140" s="2009"/>
      <c r="AC140" s="2009"/>
      <c r="AD140" s="2009"/>
      <c r="AE140" s="2009"/>
      <c r="AF140" s="2009"/>
      <c r="AG140" s="2010"/>
      <c r="AH140" s="2025"/>
      <c r="AI140" s="2026"/>
      <c r="AJ140" s="2026"/>
      <c r="AK140" s="2026"/>
      <c r="AL140" s="2026"/>
      <c r="AM140" s="2026"/>
      <c r="AN140" s="2026"/>
      <c r="AO140" s="2026"/>
      <c r="AP140" s="2026"/>
      <c r="AQ140" s="2026"/>
      <c r="AR140" s="2026"/>
      <c r="AS140" s="2026"/>
      <c r="AT140" s="2026"/>
      <c r="AU140" s="2026"/>
      <c r="AV140" s="2026"/>
      <c r="AW140" s="2026"/>
      <c r="AX140" s="2027"/>
      <c r="AY140" s="1079"/>
      <c r="AZ140" s="1079"/>
      <c r="BA140" s="1079"/>
      <c r="BB140" s="1079"/>
      <c r="BC140" s="1079"/>
      <c r="BD140" s="1079"/>
      <c r="BE140" s="1083"/>
    </row>
    <row r="141" spans="1:57" ht="15.75" customHeight="1">
      <c r="A141" s="1079"/>
      <c r="B141" s="2008" t="s">
        <v>1998</v>
      </c>
      <c r="C141" s="2009"/>
      <c r="D141" s="2009"/>
      <c r="E141" s="2009"/>
      <c r="F141" s="2009"/>
      <c r="G141" s="2009"/>
      <c r="H141" s="2009"/>
      <c r="I141" s="2009"/>
      <c r="J141" s="2009"/>
      <c r="K141" s="2009"/>
      <c r="L141" s="2009"/>
      <c r="M141" s="2009"/>
      <c r="N141" s="2009"/>
      <c r="O141" s="2009"/>
      <c r="P141" s="2009"/>
      <c r="Q141" s="2009"/>
      <c r="R141" s="2009"/>
      <c r="S141" s="2009"/>
      <c r="T141" s="2009"/>
      <c r="U141" s="2009"/>
      <c r="V141" s="2009"/>
      <c r="W141" s="2009"/>
      <c r="X141" s="2009"/>
      <c r="Y141" s="2009"/>
      <c r="Z141" s="2009"/>
      <c r="AA141" s="2009"/>
      <c r="AB141" s="2009"/>
      <c r="AC141" s="2009"/>
      <c r="AD141" s="2009"/>
      <c r="AE141" s="2009"/>
      <c r="AF141" s="2009"/>
      <c r="AG141" s="2010"/>
      <c r="AH141" s="2011" t="s">
        <v>843</v>
      </c>
      <c r="AI141" s="2011"/>
      <c r="AJ141" s="2011"/>
      <c r="AK141" s="2011"/>
      <c r="AL141" s="2011"/>
      <c r="AM141" s="2011"/>
      <c r="AN141" s="2011"/>
      <c r="AO141" s="2011"/>
      <c r="AP141" s="2011"/>
      <c r="AQ141" s="2011"/>
      <c r="AR141" s="2011"/>
      <c r="AS141" s="2011"/>
      <c r="AT141" s="2011"/>
      <c r="AU141" s="2011"/>
      <c r="AV141" s="2011"/>
      <c r="AW141" s="2011"/>
      <c r="AX141" s="2012"/>
      <c r="AY141" s="1079"/>
      <c r="AZ141" s="1079"/>
      <c r="BA141" s="1079"/>
      <c r="BB141" s="1079"/>
      <c r="BC141" s="1079"/>
      <c r="BD141" s="1079"/>
      <c r="BE141" s="1083"/>
    </row>
    <row r="142" spans="1:57" ht="15.75" customHeight="1">
      <c r="A142" s="1079"/>
      <c r="B142" s="2013" t="s">
        <v>1999</v>
      </c>
      <c r="C142" s="2014"/>
      <c r="D142" s="2014"/>
      <c r="E142" s="2014"/>
      <c r="F142" s="2014"/>
      <c r="G142" s="2014"/>
      <c r="H142" s="2014"/>
      <c r="I142" s="2014"/>
      <c r="J142" s="2014"/>
      <c r="K142" s="2014"/>
      <c r="L142" s="2014"/>
      <c r="M142" s="2014"/>
      <c r="N142" s="2014"/>
      <c r="O142" s="2014"/>
      <c r="P142" s="2014"/>
      <c r="Q142" s="2014"/>
      <c r="R142" s="2015" t="s">
        <v>2000</v>
      </c>
      <c r="S142" s="2015"/>
      <c r="T142" s="2015"/>
      <c r="U142" s="2015"/>
      <c r="V142" s="2015"/>
      <c r="W142" s="2015"/>
      <c r="X142" s="2015"/>
      <c r="Y142" s="2015"/>
      <c r="Z142" s="2015"/>
      <c r="AA142" s="2015"/>
      <c r="AB142" s="2015"/>
      <c r="AC142" s="2015"/>
      <c r="AD142" s="2015"/>
      <c r="AE142" s="2015"/>
      <c r="AF142" s="2015"/>
      <c r="AG142" s="2015"/>
      <c r="AH142" s="2015"/>
      <c r="AI142" s="2015"/>
      <c r="AJ142" s="2015"/>
      <c r="AK142" s="2015"/>
      <c r="AL142" s="2015"/>
      <c r="AM142" s="2015"/>
      <c r="AN142" s="2015"/>
      <c r="AO142" s="2015"/>
      <c r="AP142" s="2015"/>
      <c r="AQ142" s="2015"/>
      <c r="AR142" s="2015"/>
      <c r="AS142" s="2015"/>
      <c r="AT142" s="2015"/>
      <c r="AU142" s="2015"/>
      <c r="AV142" s="2015"/>
      <c r="AW142" s="2015"/>
      <c r="AX142" s="2016"/>
      <c r="AY142" s="1079"/>
      <c r="AZ142" s="1079"/>
      <c r="BA142" s="1079"/>
      <c r="BB142" s="1079"/>
      <c r="BC142" s="1079" t="s">
        <v>254</v>
      </c>
      <c r="BD142" s="1079"/>
      <c r="BE142" s="1083"/>
    </row>
    <row r="143" spans="1:57" ht="15.75" customHeight="1">
      <c r="A143" s="1079"/>
      <c r="B143" s="2017" t="s">
        <v>2001</v>
      </c>
      <c r="C143" s="2018"/>
      <c r="D143" s="2018"/>
      <c r="E143" s="2018"/>
      <c r="F143" s="2018"/>
      <c r="G143" s="2018"/>
      <c r="H143" s="2018"/>
      <c r="I143" s="2018"/>
      <c r="J143" s="2018"/>
      <c r="K143" s="2018"/>
      <c r="L143" s="2018"/>
      <c r="M143" s="2018"/>
      <c r="N143" s="2018"/>
      <c r="O143" s="2018"/>
      <c r="P143" s="2018"/>
      <c r="Q143" s="2018"/>
      <c r="R143" s="2018"/>
      <c r="S143" s="2018"/>
      <c r="T143" s="2018"/>
      <c r="U143" s="2018"/>
      <c r="V143" s="2018"/>
      <c r="W143" s="2018"/>
      <c r="X143" s="2018"/>
      <c r="Y143" s="2018"/>
      <c r="Z143" s="2018"/>
      <c r="AA143" s="2018"/>
      <c r="AB143" s="2018"/>
      <c r="AC143" s="2018"/>
      <c r="AD143" s="2018"/>
      <c r="AE143" s="2018"/>
      <c r="AF143" s="2018"/>
      <c r="AG143" s="2018"/>
      <c r="AH143" s="2018"/>
      <c r="AI143" s="2018"/>
      <c r="AJ143" s="2018"/>
      <c r="AK143" s="2018"/>
      <c r="AL143" s="2018"/>
      <c r="AM143" s="2018"/>
      <c r="AN143" s="2018"/>
      <c r="AO143" s="2018"/>
      <c r="AP143" s="2018"/>
      <c r="AQ143" s="2018"/>
      <c r="AR143" s="2018"/>
      <c r="AS143" s="2018"/>
      <c r="AT143" s="2018"/>
      <c r="AU143" s="2018"/>
      <c r="AV143" s="2018"/>
      <c r="AW143" s="2018"/>
      <c r="AX143" s="2019"/>
      <c r="AY143" s="1079"/>
      <c r="AZ143" s="1079"/>
      <c r="BA143" s="1079"/>
      <c r="BB143" s="1079"/>
      <c r="BC143" s="1079"/>
      <c r="BD143" s="1079"/>
      <c r="BE143" s="1083"/>
    </row>
    <row r="144" spans="1:57" ht="15.75" customHeight="1">
      <c r="A144" s="1079"/>
      <c r="B144" s="2017"/>
      <c r="C144" s="2018"/>
      <c r="D144" s="2018"/>
      <c r="E144" s="2018"/>
      <c r="F144" s="2018"/>
      <c r="G144" s="2018"/>
      <c r="H144" s="2018"/>
      <c r="I144" s="2018"/>
      <c r="J144" s="2018"/>
      <c r="K144" s="2018"/>
      <c r="L144" s="2018"/>
      <c r="M144" s="2018"/>
      <c r="N144" s="2018"/>
      <c r="O144" s="2018"/>
      <c r="P144" s="2018"/>
      <c r="Q144" s="2018"/>
      <c r="R144" s="2018"/>
      <c r="S144" s="2018"/>
      <c r="T144" s="2018"/>
      <c r="U144" s="2018"/>
      <c r="V144" s="2018"/>
      <c r="W144" s="2018"/>
      <c r="X144" s="2018"/>
      <c r="Y144" s="2018"/>
      <c r="Z144" s="2018"/>
      <c r="AA144" s="2018"/>
      <c r="AB144" s="2018"/>
      <c r="AC144" s="2018"/>
      <c r="AD144" s="2018"/>
      <c r="AE144" s="2018"/>
      <c r="AF144" s="2018"/>
      <c r="AG144" s="2018"/>
      <c r="AH144" s="2018"/>
      <c r="AI144" s="2018"/>
      <c r="AJ144" s="2018"/>
      <c r="AK144" s="2018"/>
      <c r="AL144" s="2018"/>
      <c r="AM144" s="2018"/>
      <c r="AN144" s="2018"/>
      <c r="AO144" s="2018"/>
      <c r="AP144" s="2018"/>
      <c r="AQ144" s="2018"/>
      <c r="AR144" s="2018"/>
      <c r="AS144" s="2018"/>
      <c r="AT144" s="2018"/>
      <c r="AU144" s="2018"/>
      <c r="AV144" s="2018"/>
      <c r="AW144" s="2018"/>
      <c r="AX144" s="2019"/>
      <c r="AY144" s="1079"/>
      <c r="AZ144" s="1079"/>
      <c r="BA144" s="1079"/>
      <c r="BB144" s="1079"/>
      <c r="BC144" s="1079"/>
      <c r="BD144" s="1079"/>
      <c r="BE144" s="1083"/>
    </row>
    <row r="145" spans="1:57" ht="15.75" customHeight="1">
      <c r="A145" s="1079"/>
      <c r="B145" s="2017"/>
      <c r="C145" s="2018"/>
      <c r="D145" s="2018"/>
      <c r="E145" s="2018"/>
      <c r="F145" s="2018"/>
      <c r="G145" s="2018"/>
      <c r="H145" s="2018"/>
      <c r="I145" s="2018"/>
      <c r="J145" s="2018"/>
      <c r="K145" s="2018"/>
      <c r="L145" s="2018"/>
      <c r="M145" s="2018"/>
      <c r="N145" s="2018"/>
      <c r="O145" s="2018"/>
      <c r="P145" s="2018"/>
      <c r="Q145" s="2018"/>
      <c r="R145" s="2018"/>
      <c r="S145" s="2018"/>
      <c r="T145" s="2018"/>
      <c r="U145" s="2018"/>
      <c r="V145" s="2018"/>
      <c r="W145" s="2018"/>
      <c r="X145" s="2018"/>
      <c r="Y145" s="2018"/>
      <c r="Z145" s="2018"/>
      <c r="AA145" s="2018"/>
      <c r="AB145" s="2018"/>
      <c r="AC145" s="2018"/>
      <c r="AD145" s="2018"/>
      <c r="AE145" s="2018"/>
      <c r="AF145" s="2018"/>
      <c r="AG145" s="2018"/>
      <c r="AH145" s="2018"/>
      <c r="AI145" s="2018"/>
      <c r="AJ145" s="2018"/>
      <c r="AK145" s="2018"/>
      <c r="AL145" s="2018"/>
      <c r="AM145" s="2018"/>
      <c r="AN145" s="2018"/>
      <c r="AO145" s="2018"/>
      <c r="AP145" s="2018"/>
      <c r="AQ145" s="2018"/>
      <c r="AR145" s="2018"/>
      <c r="AS145" s="2018"/>
      <c r="AT145" s="2018"/>
      <c r="AU145" s="2018"/>
      <c r="AV145" s="2018"/>
      <c r="AW145" s="2018"/>
      <c r="AX145" s="2019"/>
      <c r="AY145" s="1079"/>
      <c r="AZ145" s="1079"/>
      <c r="BA145" s="1079"/>
      <c r="BB145" s="1079"/>
      <c r="BC145" s="1079"/>
      <c r="BD145" s="1079"/>
      <c r="BE145" s="1083"/>
    </row>
    <row r="146" spans="1:57" ht="15.75" customHeight="1">
      <c r="A146" s="1079"/>
      <c r="B146" s="2017"/>
      <c r="C146" s="2018"/>
      <c r="D146" s="2018"/>
      <c r="E146" s="2018"/>
      <c r="F146" s="2018"/>
      <c r="G146" s="2018"/>
      <c r="H146" s="2018"/>
      <c r="I146" s="2018"/>
      <c r="J146" s="2018"/>
      <c r="K146" s="2018"/>
      <c r="L146" s="2018"/>
      <c r="M146" s="2018"/>
      <c r="N146" s="2018"/>
      <c r="O146" s="2018"/>
      <c r="P146" s="2018"/>
      <c r="Q146" s="2018"/>
      <c r="R146" s="2018"/>
      <c r="S146" s="2018"/>
      <c r="T146" s="2018"/>
      <c r="U146" s="2018"/>
      <c r="V146" s="2018"/>
      <c r="W146" s="2018"/>
      <c r="X146" s="2018"/>
      <c r="Y146" s="2018"/>
      <c r="Z146" s="2018"/>
      <c r="AA146" s="2018"/>
      <c r="AB146" s="2018"/>
      <c r="AC146" s="2018"/>
      <c r="AD146" s="2018"/>
      <c r="AE146" s="2018"/>
      <c r="AF146" s="2018"/>
      <c r="AG146" s="2018"/>
      <c r="AH146" s="2018"/>
      <c r="AI146" s="2018"/>
      <c r="AJ146" s="2018"/>
      <c r="AK146" s="2018"/>
      <c r="AL146" s="2018"/>
      <c r="AM146" s="2018"/>
      <c r="AN146" s="2018"/>
      <c r="AO146" s="2018"/>
      <c r="AP146" s="2018"/>
      <c r="AQ146" s="2018"/>
      <c r="AR146" s="2018"/>
      <c r="AS146" s="2018"/>
      <c r="AT146" s="2018"/>
      <c r="AU146" s="2018"/>
      <c r="AV146" s="2018"/>
      <c r="AW146" s="2018"/>
      <c r="AX146" s="2019"/>
      <c r="AY146" s="1079"/>
      <c r="AZ146" s="1079"/>
      <c r="BA146" s="1079"/>
      <c r="BB146" s="1079"/>
      <c r="BC146" s="1079"/>
      <c r="BD146" s="1079"/>
      <c r="BE146" s="1083"/>
    </row>
    <row r="147" spans="1:57" ht="15.75" customHeight="1">
      <c r="A147" s="1079"/>
      <c r="B147" s="2017"/>
      <c r="C147" s="2018"/>
      <c r="D147" s="2018"/>
      <c r="E147" s="2018"/>
      <c r="F147" s="2018"/>
      <c r="G147" s="2018"/>
      <c r="H147" s="2018"/>
      <c r="I147" s="2018"/>
      <c r="J147" s="2018"/>
      <c r="K147" s="2018"/>
      <c r="L147" s="2018"/>
      <c r="M147" s="2018"/>
      <c r="N147" s="2018"/>
      <c r="O147" s="2018"/>
      <c r="P147" s="2018"/>
      <c r="Q147" s="2018"/>
      <c r="R147" s="2018"/>
      <c r="S147" s="2018"/>
      <c r="T147" s="2018"/>
      <c r="U147" s="2018"/>
      <c r="V147" s="2018"/>
      <c r="W147" s="2018"/>
      <c r="X147" s="2018"/>
      <c r="Y147" s="2018"/>
      <c r="Z147" s="2018"/>
      <c r="AA147" s="2018"/>
      <c r="AB147" s="2018"/>
      <c r="AC147" s="2018"/>
      <c r="AD147" s="2018"/>
      <c r="AE147" s="2018"/>
      <c r="AF147" s="2018"/>
      <c r="AG147" s="2018"/>
      <c r="AH147" s="2018"/>
      <c r="AI147" s="2018"/>
      <c r="AJ147" s="2018"/>
      <c r="AK147" s="2018"/>
      <c r="AL147" s="2018"/>
      <c r="AM147" s="2018"/>
      <c r="AN147" s="2018"/>
      <c r="AO147" s="2018"/>
      <c r="AP147" s="2018"/>
      <c r="AQ147" s="2018"/>
      <c r="AR147" s="2018"/>
      <c r="AS147" s="2018"/>
      <c r="AT147" s="2018"/>
      <c r="AU147" s="2018"/>
      <c r="AV147" s="2018"/>
      <c r="AW147" s="2018"/>
      <c r="AX147" s="2019"/>
      <c r="AY147" s="1079"/>
      <c r="AZ147" s="1079"/>
      <c r="BA147" s="1079"/>
      <c r="BB147" s="1079"/>
      <c r="BC147" s="1079"/>
      <c r="BD147" s="1079"/>
      <c r="BE147" s="1083"/>
    </row>
    <row r="148" spans="1:57" ht="15.75" customHeight="1">
      <c r="A148" s="1079"/>
      <c r="B148" s="2017"/>
      <c r="C148" s="2018"/>
      <c r="D148" s="2018"/>
      <c r="E148" s="2018"/>
      <c r="F148" s="2018"/>
      <c r="G148" s="2018"/>
      <c r="H148" s="2018"/>
      <c r="I148" s="2018"/>
      <c r="J148" s="2018"/>
      <c r="K148" s="2018"/>
      <c r="L148" s="2018"/>
      <c r="M148" s="2018"/>
      <c r="N148" s="2018"/>
      <c r="O148" s="2018"/>
      <c r="P148" s="2018"/>
      <c r="Q148" s="2018"/>
      <c r="R148" s="2018"/>
      <c r="S148" s="2018"/>
      <c r="T148" s="2018"/>
      <c r="U148" s="2018"/>
      <c r="V148" s="2018"/>
      <c r="W148" s="2018"/>
      <c r="X148" s="2018"/>
      <c r="Y148" s="2018"/>
      <c r="Z148" s="2018"/>
      <c r="AA148" s="2018"/>
      <c r="AB148" s="2018"/>
      <c r="AC148" s="2018"/>
      <c r="AD148" s="2018"/>
      <c r="AE148" s="2018"/>
      <c r="AF148" s="2018"/>
      <c r="AG148" s="2018"/>
      <c r="AH148" s="2018"/>
      <c r="AI148" s="2018"/>
      <c r="AJ148" s="2018"/>
      <c r="AK148" s="2018"/>
      <c r="AL148" s="2018"/>
      <c r="AM148" s="2018"/>
      <c r="AN148" s="2018"/>
      <c r="AO148" s="2018"/>
      <c r="AP148" s="2018"/>
      <c r="AQ148" s="2018"/>
      <c r="AR148" s="2018"/>
      <c r="AS148" s="2018"/>
      <c r="AT148" s="2018"/>
      <c r="AU148" s="2018"/>
      <c r="AV148" s="2018"/>
      <c r="AW148" s="2018"/>
      <c r="AX148" s="2019"/>
      <c r="AY148" s="1079"/>
      <c r="AZ148" s="1079"/>
      <c r="BA148" s="1079"/>
      <c r="BB148" s="1079"/>
      <c r="BC148" s="1079"/>
      <c r="BD148" s="1079"/>
      <c r="BE148" s="1083"/>
    </row>
    <row r="149" spans="1:57" ht="15.75" customHeight="1">
      <c r="A149" s="1079"/>
      <c r="B149" s="2017"/>
      <c r="C149" s="2018"/>
      <c r="D149" s="2018"/>
      <c r="E149" s="2018"/>
      <c r="F149" s="2018"/>
      <c r="G149" s="2018"/>
      <c r="H149" s="2018"/>
      <c r="I149" s="2018"/>
      <c r="J149" s="2018"/>
      <c r="K149" s="2018"/>
      <c r="L149" s="2018"/>
      <c r="M149" s="2018"/>
      <c r="N149" s="2018"/>
      <c r="O149" s="2018"/>
      <c r="P149" s="2018"/>
      <c r="Q149" s="2018"/>
      <c r="R149" s="2018"/>
      <c r="S149" s="2018"/>
      <c r="T149" s="2018"/>
      <c r="U149" s="2018"/>
      <c r="V149" s="2018"/>
      <c r="W149" s="2018"/>
      <c r="X149" s="2018"/>
      <c r="Y149" s="2018"/>
      <c r="Z149" s="2018"/>
      <c r="AA149" s="2018"/>
      <c r="AB149" s="2018"/>
      <c r="AC149" s="2018"/>
      <c r="AD149" s="2018"/>
      <c r="AE149" s="2018"/>
      <c r="AF149" s="2018"/>
      <c r="AG149" s="2018"/>
      <c r="AH149" s="2018"/>
      <c r="AI149" s="2018"/>
      <c r="AJ149" s="2018"/>
      <c r="AK149" s="2018"/>
      <c r="AL149" s="2018"/>
      <c r="AM149" s="2018"/>
      <c r="AN149" s="2018"/>
      <c r="AO149" s="2018"/>
      <c r="AP149" s="2018"/>
      <c r="AQ149" s="2018"/>
      <c r="AR149" s="2018"/>
      <c r="AS149" s="2018"/>
      <c r="AT149" s="2018"/>
      <c r="AU149" s="2018"/>
      <c r="AV149" s="2018"/>
      <c r="AW149" s="2018"/>
      <c r="AX149" s="2019"/>
      <c r="AY149" s="1079"/>
      <c r="AZ149" s="1079"/>
      <c r="BA149" s="1079"/>
      <c r="BB149" s="1079"/>
      <c r="BC149" s="1079"/>
      <c r="BD149" s="1079"/>
      <c r="BE149" s="1083"/>
    </row>
    <row r="150" spans="1:57" ht="15.75" customHeight="1">
      <c r="A150" s="1079"/>
      <c r="B150" s="2017"/>
      <c r="C150" s="2018"/>
      <c r="D150" s="2018"/>
      <c r="E150" s="2018"/>
      <c r="F150" s="2018"/>
      <c r="G150" s="2018"/>
      <c r="H150" s="2018"/>
      <c r="I150" s="2018"/>
      <c r="J150" s="2018"/>
      <c r="K150" s="2018"/>
      <c r="L150" s="2018"/>
      <c r="M150" s="2018"/>
      <c r="N150" s="2018"/>
      <c r="O150" s="2018"/>
      <c r="P150" s="2018"/>
      <c r="Q150" s="2018"/>
      <c r="R150" s="2018"/>
      <c r="S150" s="2018"/>
      <c r="T150" s="2018"/>
      <c r="U150" s="2018"/>
      <c r="V150" s="2018"/>
      <c r="W150" s="2018"/>
      <c r="X150" s="2018"/>
      <c r="Y150" s="2018"/>
      <c r="Z150" s="2018"/>
      <c r="AA150" s="2018"/>
      <c r="AB150" s="2018"/>
      <c r="AC150" s="2018"/>
      <c r="AD150" s="2018"/>
      <c r="AE150" s="2018"/>
      <c r="AF150" s="2018"/>
      <c r="AG150" s="2018"/>
      <c r="AH150" s="2018"/>
      <c r="AI150" s="2018"/>
      <c r="AJ150" s="2018"/>
      <c r="AK150" s="2018"/>
      <c r="AL150" s="2018"/>
      <c r="AM150" s="2018"/>
      <c r="AN150" s="2018"/>
      <c r="AO150" s="2018"/>
      <c r="AP150" s="2018"/>
      <c r="AQ150" s="2018"/>
      <c r="AR150" s="2018"/>
      <c r="AS150" s="2018"/>
      <c r="AT150" s="2018"/>
      <c r="AU150" s="2018"/>
      <c r="AV150" s="2018"/>
      <c r="AW150" s="2018"/>
      <c r="AX150" s="2019"/>
      <c r="AY150" s="1079"/>
      <c r="AZ150" s="1079"/>
      <c r="BA150" s="1079"/>
      <c r="BB150" s="1079"/>
      <c r="BC150" s="1079"/>
      <c r="BD150" s="1079"/>
      <c r="BE150" s="1083"/>
    </row>
    <row r="151" spans="1:57" ht="15.75" customHeight="1">
      <c r="A151" s="1079"/>
      <c r="B151" s="2017"/>
      <c r="C151" s="2018"/>
      <c r="D151" s="2018"/>
      <c r="E151" s="2018"/>
      <c r="F151" s="2018"/>
      <c r="G151" s="2018"/>
      <c r="H151" s="2018"/>
      <c r="I151" s="2018"/>
      <c r="J151" s="2018"/>
      <c r="K151" s="2018"/>
      <c r="L151" s="2018"/>
      <c r="M151" s="2018"/>
      <c r="N151" s="2018"/>
      <c r="O151" s="2018"/>
      <c r="P151" s="2018"/>
      <c r="Q151" s="2018"/>
      <c r="R151" s="2018"/>
      <c r="S151" s="2018"/>
      <c r="T151" s="2018"/>
      <c r="U151" s="2018"/>
      <c r="V151" s="2018"/>
      <c r="W151" s="2018"/>
      <c r="X151" s="2018"/>
      <c r="Y151" s="2018"/>
      <c r="Z151" s="2018"/>
      <c r="AA151" s="2018"/>
      <c r="AB151" s="2018"/>
      <c r="AC151" s="2018"/>
      <c r="AD151" s="2018"/>
      <c r="AE151" s="2018"/>
      <c r="AF151" s="2018"/>
      <c r="AG151" s="2018"/>
      <c r="AH151" s="2018"/>
      <c r="AI151" s="2018"/>
      <c r="AJ151" s="2018"/>
      <c r="AK151" s="2018"/>
      <c r="AL151" s="2018"/>
      <c r="AM151" s="2018"/>
      <c r="AN151" s="2018"/>
      <c r="AO151" s="2018"/>
      <c r="AP151" s="2018"/>
      <c r="AQ151" s="2018"/>
      <c r="AR151" s="2018"/>
      <c r="AS151" s="2018"/>
      <c r="AT151" s="2018"/>
      <c r="AU151" s="2018"/>
      <c r="AV151" s="2018"/>
      <c r="AW151" s="2018"/>
      <c r="AX151" s="2019"/>
      <c r="AY151" s="1079"/>
      <c r="AZ151" s="1079"/>
      <c r="BA151" s="1079"/>
      <c r="BB151" s="1079"/>
      <c r="BC151" s="1079"/>
      <c r="BD151" s="1079"/>
      <c r="BE151" s="1083"/>
    </row>
    <row r="152" spans="1:57" ht="15.75" customHeight="1" thickBot="1">
      <c r="A152" s="1079"/>
      <c r="B152" s="2020"/>
      <c r="C152" s="2021"/>
      <c r="D152" s="2021"/>
      <c r="E152" s="2021"/>
      <c r="F152" s="2021"/>
      <c r="G152" s="2021"/>
      <c r="H152" s="2021"/>
      <c r="I152" s="2021"/>
      <c r="J152" s="2021"/>
      <c r="K152" s="2021"/>
      <c r="L152" s="2021"/>
      <c r="M152" s="2021"/>
      <c r="N152" s="2021"/>
      <c r="O152" s="2021"/>
      <c r="P152" s="2021"/>
      <c r="Q152" s="2021"/>
      <c r="R152" s="2021"/>
      <c r="S152" s="2021"/>
      <c r="T152" s="2021"/>
      <c r="U152" s="2021"/>
      <c r="V152" s="2021"/>
      <c r="W152" s="2021"/>
      <c r="X152" s="2021"/>
      <c r="Y152" s="2021"/>
      <c r="Z152" s="2021"/>
      <c r="AA152" s="2021"/>
      <c r="AB152" s="2021"/>
      <c r="AC152" s="2021"/>
      <c r="AD152" s="2021"/>
      <c r="AE152" s="2021"/>
      <c r="AF152" s="2021"/>
      <c r="AG152" s="2021"/>
      <c r="AH152" s="2021"/>
      <c r="AI152" s="2021"/>
      <c r="AJ152" s="2021"/>
      <c r="AK152" s="2021"/>
      <c r="AL152" s="2021"/>
      <c r="AM152" s="2021"/>
      <c r="AN152" s="2021"/>
      <c r="AO152" s="2021"/>
      <c r="AP152" s="2021"/>
      <c r="AQ152" s="2021"/>
      <c r="AR152" s="2021"/>
      <c r="AS152" s="2021"/>
      <c r="AT152" s="2021"/>
      <c r="AU152" s="2021"/>
      <c r="AV152" s="2021"/>
      <c r="AW152" s="2021"/>
      <c r="AX152" s="2022"/>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2002</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2003</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2000" t="s">
        <v>2004</v>
      </c>
      <c r="C156" s="1956"/>
      <c r="D156" s="1956"/>
      <c r="E156" s="1956"/>
      <c r="F156" s="1956"/>
      <c r="G156" s="1956"/>
      <c r="H156" s="1956"/>
      <c r="I156" s="1956"/>
      <c r="J156" s="1956"/>
      <c r="K156" s="1956"/>
      <c r="L156" s="1956"/>
      <c r="M156" s="1956"/>
      <c r="N156" s="1956"/>
      <c r="O156" s="1956"/>
      <c r="P156" s="1956"/>
      <c r="Q156" s="1956"/>
      <c r="R156" s="1956"/>
      <c r="S156" s="1956"/>
      <c r="T156" s="1956"/>
      <c r="U156" s="1957"/>
      <c r="V156" s="1079"/>
      <c r="W156" s="1081"/>
      <c r="X156" s="2000" t="s">
        <v>2005</v>
      </c>
      <c r="Y156" s="1956"/>
      <c r="Z156" s="1956"/>
      <c r="AA156" s="1956"/>
      <c r="AB156" s="1956"/>
      <c r="AC156" s="1956"/>
      <c r="AD156" s="1956"/>
      <c r="AE156" s="1956"/>
      <c r="AF156" s="1956"/>
      <c r="AG156" s="1956"/>
      <c r="AH156" s="1956"/>
      <c r="AI156" s="1956"/>
      <c r="AJ156" s="1956"/>
      <c r="AK156" s="1956"/>
      <c r="AL156" s="1956"/>
      <c r="AM156" s="1956"/>
      <c r="AN156" s="1956"/>
      <c r="AO156" s="1956"/>
      <c r="AP156" s="1956"/>
      <c r="AQ156" s="1957"/>
      <c r="AR156" s="1079"/>
      <c r="AS156" s="1079"/>
      <c r="AT156" s="1079"/>
      <c r="AU156" s="1079"/>
      <c r="AV156" s="1079"/>
      <c r="AW156" s="1079"/>
      <c r="AX156" s="1079"/>
      <c r="AY156" s="1079"/>
      <c r="AZ156" s="1079"/>
      <c r="BA156" s="1079"/>
      <c r="BB156" s="1079"/>
      <c r="BC156" s="1079"/>
      <c r="BD156" s="1079"/>
      <c r="BE156" s="1083"/>
    </row>
    <row r="157" spans="1:57" ht="15.75" customHeight="1">
      <c r="A157" s="1079"/>
      <c r="B157" s="1968"/>
      <c r="C157" s="1969"/>
      <c r="D157" s="1969"/>
      <c r="E157" s="1969"/>
      <c r="F157" s="1969"/>
      <c r="G157" s="1969"/>
      <c r="H157" s="1969"/>
      <c r="I157" s="2006" t="s">
        <v>1970</v>
      </c>
      <c r="J157" s="2006"/>
      <c r="K157" s="2006"/>
      <c r="L157" s="2006"/>
      <c r="M157" s="2006"/>
      <c r="N157" s="2006"/>
      <c r="O157" s="2006"/>
      <c r="P157" s="2006" t="s">
        <v>2006</v>
      </c>
      <c r="Q157" s="2006"/>
      <c r="R157" s="2006"/>
      <c r="S157" s="2006"/>
      <c r="T157" s="2006"/>
      <c r="U157" s="2007"/>
      <c r="V157" s="1079"/>
      <c r="W157" s="1079"/>
      <c r="X157" s="1968"/>
      <c r="Y157" s="1969"/>
      <c r="Z157" s="1969"/>
      <c r="AA157" s="1969"/>
      <c r="AB157" s="1969"/>
      <c r="AC157" s="1969"/>
      <c r="AD157" s="1969"/>
      <c r="AE157" s="2006" t="s">
        <v>1970</v>
      </c>
      <c r="AF157" s="2006"/>
      <c r="AG157" s="2006"/>
      <c r="AH157" s="2006"/>
      <c r="AI157" s="2006"/>
      <c r="AJ157" s="2006"/>
      <c r="AK157" s="2006"/>
      <c r="AL157" s="2006" t="s">
        <v>1971</v>
      </c>
      <c r="AM157" s="2006"/>
      <c r="AN157" s="2006"/>
      <c r="AO157" s="2006"/>
      <c r="AP157" s="2006"/>
      <c r="AQ157" s="2007"/>
      <c r="AR157" s="1079"/>
      <c r="AS157" s="1079"/>
      <c r="AT157" s="1079"/>
      <c r="AU157" s="1079"/>
      <c r="AV157" s="1079"/>
      <c r="AW157" s="1079"/>
      <c r="AX157" s="1079"/>
      <c r="AY157" s="1079"/>
      <c r="AZ157" s="1079"/>
      <c r="BA157" s="1079"/>
      <c r="BB157" s="1079"/>
      <c r="BC157" s="1079"/>
      <c r="BD157" s="1079"/>
      <c r="BE157" s="1083"/>
    </row>
    <row r="158" spans="1:57" ht="15.75" customHeight="1">
      <c r="A158" s="1079"/>
      <c r="B158" s="1968"/>
      <c r="C158" s="1969"/>
      <c r="D158" s="1969"/>
      <c r="E158" s="1969"/>
      <c r="F158" s="1969"/>
      <c r="G158" s="1969"/>
      <c r="H158" s="1969"/>
      <c r="I158" s="2006"/>
      <c r="J158" s="2006"/>
      <c r="K158" s="2006"/>
      <c r="L158" s="2006"/>
      <c r="M158" s="2006"/>
      <c r="N158" s="2006"/>
      <c r="O158" s="2006"/>
      <c r="P158" s="2006"/>
      <c r="Q158" s="2006"/>
      <c r="R158" s="2006"/>
      <c r="S158" s="2006"/>
      <c r="T158" s="2006"/>
      <c r="U158" s="2007"/>
      <c r="V158" s="1079"/>
      <c r="W158" s="1079"/>
      <c r="X158" s="1968"/>
      <c r="Y158" s="1969"/>
      <c r="Z158" s="1969"/>
      <c r="AA158" s="1969"/>
      <c r="AB158" s="1969"/>
      <c r="AC158" s="1969"/>
      <c r="AD158" s="1969"/>
      <c r="AE158" s="2006"/>
      <c r="AF158" s="2006"/>
      <c r="AG158" s="2006"/>
      <c r="AH158" s="2006"/>
      <c r="AI158" s="2006"/>
      <c r="AJ158" s="2006"/>
      <c r="AK158" s="2006"/>
      <c r="AL158" s="2006"/>
      <c r="AM158" s="2006"/>
      <c r="AN158" s="2006"/>
      <c r="AO158" s="2006"/>
      <c r="AP158" s="2006"/>
      <c r="AQ158" s="2007"/>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02" t="s">
        <v>1992</v>
      </c>
      <c r="C159" s="2003"/>
      <c r="D159" s="2003"/>
      <c r="E159" s="2003"/>
      <c r="F159" s="2003"/>
      <c r="G159" s="2003"/>
      <c r="H159" s="2003"/>
      <c r="I159" s="2004">
        <v>0</v>
      </c>
      <c r="J159" s="2004"/>
      <c r="K159" s="2004"/>
      <c r="L159" s="2004"/>
      <c r="M159" s="2004"/>
      <c r="N159" s="2004"/>
      <c r="O159" s="2004"/>
      <c r="P159" s="2004">
        <v>0</v>
      </c>
      <c r="Q159" s="2004"/>
      <c r="R159" s="2004"/>
      <c r="S159" s="2004"/>
      <c r="T159" s="2004"/>
      <c r="U159" s="2005"/>
      <c r="V159" s="1079"/>
      <c r="W159" s="1079"/>
      <c r="X159" s="1996" t="s">
        <v>1992</v>
      </c>
      <c r="Y159" s="1997"/>
      <c r="Z159" s="1997"/>
      <c r="AA159" s="1997"/>
      <c r="AB159" s="1997"/>
      <c r="AC159" s="1997"/>
      <c r="AD159" s="1997"/>
      <c r="AE159" s="1998">
        <v>0</v>
      </c>
      <c r="AF159" s="1998"/>
      <c r="AG159" s="1998"/>
      <c r="AH159" s="1998"/>
      <c r="AI159" s="1998"/>
      <c r="AJ159" s="1998"/>
      <c r="AK159" s="1998"/>
      <c r="AL159" s="1998">
        <v>0</v>
      </c>
      <c r="AM159" s="1998"/>
      <c r="AN159" s="1998"/>
      <c r="AO159" s="1998"/>
      <c r="AP159" s="1998"/>
      <c r="AQ159" s="1999"/>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1996" t="s">
        <v>1993</v>
      </c>
      <c r="C160" s="1997"/>
      <c r="D160" s="1997"/>
      <c r="E160" s="1997"/>
      <c r="F160" s="1997"/>
      <c r="G160" s="1997"/>
      <c r="H160" s="1997"/>
      <c r="I160" s="1998">
        <v>0</v>
      </c>
      <c r="J160" s="1998"/>
      <c r="K160" s="1998"/>
      <c r="L160" s="1998"/>
      <c r="M160" s="1998"/>
      <c r="N160" s="1998"/>
      <c r="O160" s="1998"/>
      <c r="P160" s="1998">
        <v>0</v>
      </c>
      <c r="Q160" s="1998"/>
      <c r="R160" s="1998"/>
      <c r="S160" s="1998"/>
      <c r="T160" s="1998"/>
      <c r="U160" s="1999"/>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2000" t="s">
        <v>2007</v>
      </c>
      <c r="D162" s="1956"/>
      <c r="E162" s="1956"/>
      <c r="F162" s="1956"/>
      <c r="G162" s="1956"/>
      <c r="H162" s="1956"/>
      <c r="I162" s="1956"/>
      <c r="J162" s="1956"/>
      <c r="K162" s="1956"/>
      <c r="L162" s="1956"/>
      <c r="M162" s="1956"/>
      <c r="N162" s="1956"/>
      <c r="O162" s="1956"/>
      <c r="P162" s="1956"/>
      <c r="Q162" s="1956"/>
      <c r="R162" s="1956"/>
      <c r="S162" s="1956"/>
      <c r="T162" s="1956"/>
      <c r="U162" s="1956"/>
      <c r="V162" s="1956"/>
      <c r="W162" s="1956"/>
      <c r="X162" s="1956"/>
      <c r="Y162" s="1956"/>
      <c r="Z162" s="1956"/>
      <c r="AA162" s="1956"/>
      <c r="AB162" s="1956"/>
      <c r="AC162" s="1956"/>
      <c r="AD162" s="1956"/>
      <c r="AE162" s="1956"/>
      <c r="AF162" s="1956"/>
      <c r="AG162" s="1957"/>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1968" t="s">
        <v>2008</v>
      </c>
      <c r="D163" s="1969"/>
      <c r="E163" s="1969"/>
      <c r="F163" s="1969"/>
      <c r="G163" s="1969"/>
      <c r="H163" s="1969"/>
      <c r="I163" s="1969"/>
      <c r="J163" s="1969"/>
      <c r="K163" s="1969"/>
      <c r="L163" s="1969"/>
      <c r="M163" s="1969"/>
      <c r="N163" s="1969"/>
      <c r="O163" s="1969"/>
      <c r="P163" s="1969"/>
      <c r="Q163" s="1969" t="s">
        <v>2009</v>
      </c>
      <c r="R163" s="1969"/>
      <c r="S163" s="1969"/>
      <c r="T163" s="2001" t="s">
        <v>2010</v>
      </c>
      <c r="U163" s="2001"/>
      <c r="V163" s="2001"/>
      <c r="W163" s="2001"/>
      <c r="X163" s="2001"/>
      <c r="Y163" s="2001"/>
      <c r="Z163" s="2001"/>
      <c r="AA163" s="2001"/>
      <c r="AB163" s="1969" t="s">
        <v>2011</v>
      </c>
      <c r="AC163" s="1969"/>
      <c r="AD163" s="1969"/>
      <c r="AE163" s="1969"/>
      <c r="AF163" s="1969"/>
      <c r="AG163" s="1970"/>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1983" t="s">
        <v>2012</v>
      </c>
      <c r="D164" s="1984"/>
      <c r="E164" s="1984"/>
      <c r="F164" s="1984"/>
      <c r="G164" s="1984"/>
      <c r="H164" s="1984"/>
      <c r="I164" s="1984"/>
      <c r="J164" s="1984"/>
      <c r="K164" s="1984"/>
      <c r="L164" s="1984"/>
      <c r="M164" s="1984"/>
      <c r="N164" s="1984"/>
      <c r="O164" s="1984"/>
      <c r="P164" s="1984"/>
      <c r="Q164" s="1926">
        <v>55</v>
      </c>
      <c r="R164" s="1926"/>
      <c r="S164" s="1926"/>
      <c r="T164" s="1977"/>
      <c r="U164" s="1977"/>
      <c r="V164" s="1977"/>
      <c r="W164" s="1977"/>
      <c r="X164" s="1977"/>
      <c r="Y164" s="1977"/>
      <c r="Z164" s="1977"/>
      <c r="AA164" s="1977"/>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1983" t="s">
        <v>2013</v>
      </c>
      <c r="D165" s="1984"/>
      <c r="E165" s="1984"/>
      <c r="F165" s="1984"/>
      <c r="G165" s="1984"/>
      <c r="H165" s="1984"/>
      <c r="I165" s="1984"/>
      <c r="J165" s="1984"/>
      <c r="K165" s="1984"/>
      <c r="L165" s="1984"/>
      <c r="M165" s="1984"/>
      <c r="N165" s="1984"/>
      <c r="O165" s="1984"/>
      <c r="P165" s="1984"/>
      <c r="Q165" s="1926">
        <v>55</v>
      </c>
      <c r="R165" s="1926"/>
      <c r="S165" s="1926"/>
      <c r="T165" s="1986"/>
      <c r="U165" s="1986"/>
      <c r="V165" s="1986"/>
      <c r="W165" s="1986"/>
      <c r="X165" s="1986"/>
      <c r="Y165" s="1986"/>
      <c r="Z165" s="1986"/>
      <c r="AA165" s="1986"/>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1983" t="s">
        <v>2014</v>
      </c>
      <c r="D166" s="1984"/>
      <c r="E166" s="1984"/>
      <c r="F166" s="1984"/>
      <c r="G166" s="1984"/>
      <c r="H166" s="1984"/>
      <c r="I166" s="1984"/>
      <c r="J166" s="1984"/>
      <c r="K166" s="1984"/>
      <c r="L166" s="1984"/>
      <c r="M166" s="1984"/>
      <c r="N166" s="1984"/>
      <c r="O166" s="1984"/>
      <c r="P166" s="1984"/>
      <c r="Q166" s="1926">
        <v>55</v>
      </c>
      <c r="R166" s="1926"/>
      <c r="S166" s="1926"/>
      <c r="T166" s="1977"/>
      <c r="U166" s="1977"/>
      <c r="V166" s="1977"/>
      <c r="W166" s="1977"/>
      <c r="X166" s="1977"/>
      <c r="Y166" s="1977"/>
      <c r="Z166" s="1977"/>
      <c r="AA166" s="1977"/>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1983" t="s">
        <v>1934</v>
      </c>
      <c r="D167" s="1984"/>
      <c r="E167" s="1984"/>
      <c r="F167" s="1984"/>
      <c r="G167" s="1984"/>
      <c r="H167" s="1984"/>
      <c r="I167" s="1984"/>
      <c r="J167" s="1984"/>
      <c r="K167" s="1984"/>
      <c r="L167" s="1984"/>
      <c r="M167" s="1984"/>
      <c r="N167" s="1984"/>
      <c r="O167" s="1984"/>
      <c r="P167" s="1984"/>
      <c r="Q167" s="1926">
        <v>55</v>
      </c>
      <c r="R167" s="1926"/>
      <c r="S167" s="1926"/>
      <c r="T167" s="1977"/>
      <c r="U167" s="1977"/>
      <c r="V167" s="1977"/>
      <c r="W167" s="1977"/>
      <c r="X167" s="1977"/>
      <c r="Y167" s="1977"/>
      <c r="Z167" s="1977"/>
      <c r="AA167" s="1977"/>
      <c r="AB167" s="1987">
        <v>0</v>
      </c>
      <c r="AC167" s="1987"/>
      <c r="AD167" s="1987"/>
      <c r="AE167" s="1987"/>
      <c r="AF167" s="1987"/>
      <c r="AG167" s="1988"/>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1983" t="s">
        <v>233</v>
      </c>
      <c r="D168" s="1984"/>
      <c r="E168" s="1984"/>
      <c r="F168" s="1985" t="s">
        <v>2015</v>
      </c>
      <c r="G168" s="1985"/>
      <c r="H168" s="1985"/>
      <c r="I168" s="1985"/>
      <c r="J168" s="1985"/>
      <c r="K168" s="1985"/>
      <c r="L168" s="1985"/>
      <c r="M168" s="1985"/>
      <c r="N168" s="1985"/>
      <c r="O168" s="1985"/>
      <c r="P168" s="1985"/>
      <c r="Q168" s="1926">
        <v>55</v>
      </c>
      <c r="R168" s="1926"/>
      <c r="S168" s="1926"/>
      <c r="T168" s="1986"/>
      <c r="U168" s="1986"/>
      <c r="V168" s="1986"/>
      <c r="W168" s="1986"/>
      <c r="X168" s="1986"/>
      <c r="Y168" s="1986"/>
      <c r="Z168" s="1986"/>
      <c r="AA168" s="1986"/>
      <c r="AB168" s="1987">
        <v>0</v>
      </c>
      <c r="AC168" s="1987"/>
      <c r="AD168" s="1987"/>
      <c r="AE168" s="1987"/>
      <c r="AF168" s="1987"/>
      <c r="AG168" s="1988"/>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1983" t="s">
        <v>233</v>
      </c>
      <c r="D169" s="1984"/>
      <c r="E169" s="1984"/>
      <c r="F169" s="1985" t="s">
        <v>2015</v>
      </c>
      <c r="G169" s="1985"/>
      <c r="H169" s="1985"/>
      <c r="I169" s="1985"/>
      <c r="J169" s="1985"/>
      <c r="K169" s="1985"/>
      <c r="L169" s="1985"/>
      <c r="M169" s="1985"/>
      <c r="N169" s="1985"/>
      <c r="O169" s="1985"/>
      <c r="P169" s="1985"/>
      <c r="Q169" s="1926">
        <v>55</v>
      </c>
      <c r="R169" s="1926"/>
      <c r="S169" s="1926"/>
      <c r="T169" s="1986"/>
      <c r="U169" s="1986"/>
      <c r="V169" s="1986"/>
      <c r="W169" s="1986"/>
      <c r="X169" s="1986"/>
      <c r="Y169" s="1986"/>
      <c r="Z169" s="1986"/>
      <c r="AA169" s="1986"/>
      <c r="AB169" s="1987">
        <v>0</v>
      </c>
      <c r="AC169" s="1987"/>
      <c r="AD169" s="1987"/>
      <c r="AE169" s="1987"/>
      <c r="AF169" s="1987"/>
      <c r="AG169" s="1988"/>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1989" t="s">
        <v>233</v>
      </c>
      <c r="D170" s="1990"/>
      <c r="E170" s="1990"/>
      <c r="F170" s="1991" t="s">
        <v>2015</v>
      </c>
      <c r="G170" s="1991"/>
      <c r="H170" s="1991"/>
      <c r="I170" s="1991"/>
      <c r="J170" s="1991"/>
      <c r="K170" s="1991"/>
      <c r="L170" s="1991"/>
      <c r="M170" s="1991"/>
      <c r="N170" s="1991"/>
      <c r="O170" s="1991"/>
      <c r="P170" s="1991"/>
      <c r="Q170" s="1992">
        <v>55</v>
      </c>
      <c r="R170" s="1992"/>
      <c r="S170" s="1992"/>
      <c r="T170" s="1993"/>
      <c r="U170" s="1993"/>
      <c r="V170" s="1993"/>
      <c r="W170" s="1993"/>
      <c r="X170" s="1993"/>
      <c r="Y170" s="1993"/>
      <c r="Z170" s="1993"/>
      <c r="AA170" s="1993"/>
      <c r="AB170" s="1994">
        <v>0</v>
      </c>
      <c r="AC170" s="1994"/>
      <c r="AD170" s="1994"/>
      <c r="AE170" s="1994"/>
      <c r="AF170" s="1994"/>
      <c r="AG170" s="1995"/>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54" t="s">
        <v>2016</v>
      </c>
      <c r="D172" s="1955"/>
      <c r="E172" s="1955"/>
      <c r="F172" s="1955"/>
      <c r="G172" s="1955"/>
      <c r="H172" s="1955"/>
      <c r="I172" s="1955"/>
      <c r="J172" s="1955"/>
      <c r="K172" s="1955"/>
      <c r="L172" s="1955"/>
      <c r="M172" s="1955"/>
      <c r="N172" s="1964"/>
      <c r="O172" s="1079"/>
      <c r="P172" s="1965" t="s">
        <v>2017</v>
      </c>
      <c r="Q172" s="1966"/>
      <c r="R172" s="1966"/>
      <c r="S172" s="1966"/>
      <c r="T172" s="1966"/>
      <c r="U172" s="1966"/>
      <c r="V172" s="1966"/>
      <c r="W172" s="1966"/>
      <c r="X172" s="1966"/>
      <c r="Y172" s="1966"/>
      <c r="Z172" s="1966"/>
      <c r="AA172" s="1966"/>
      <c r="AB172" s="1966"/>
      <c r="AC172" s="1966"/>
      <c r="AD172" s="1966"/>
      <c r="AE172" s="1966"/>
      <c r="AF172" s="1966"/>
      <c r="AG172" s="1966"/>
      <c r="AH172" s="1966"/>
      <c r="AI172" s="1966"/>
      <c r="AJ172" s="1966"/>
      <c r="AK172" s="1966"/>
      <c r="AL172" s="1966"/>
      <c r="AM172" s="1966"/>
      <c r="AN172" s="1966"/>
      <c r="AO172" s="1967"/>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1968" t="s">
        <v>2018</v>
      </c>
      <c r="D173" s="1969"/>
      <c r="E173" s="1969"/>
      <c r="F173" s="1969"/>
      <c r="G173" s="1969"/>
      <c r="H173" s="1969"/>
      <c r="I173" s="1969" t="s">
        <v>2019</v>
      </c>
      <c r="J173" s="1969"/>
      <c r="K173" s="1969"/>
      <c r="L173" s="1969"/>
      <c r="M173" s="1969"/>
      <c r="N173" s="1970"/>
      <c r="O173" s="1079"/>
      <c r="P173" s="1971" t="s">
        <v>1961</v>
      </c>
      <c r="Q173" s="1972"/>
      <c r="R173" s="1972"/>
      <c r="S173" s="1972"/>
      <c r="T173" s="1972"/>
      <c r="U173" s="1972"/>
      <c r="V173" s="1972"/>
      <c r="W173" s="1972"/>
      <c r="X173" s="1972"/>
      <c r="Y173" s="1972"/>
      <c r="Z173" s="1972"/>
      <c r="AA173" s="1972"/>
      <c r="AB173" s="1972"/>
      <c r="AC173" s="1972"/>
      <c r="AD173" s="1972"/>
      <c r="AE173" s="1972"/>
      <c r="AF173" s="1972"/>
      <c r="AG173" s="1972"/>
      <c r="AH173" s="1972"/>
      <c r="AI173" s="1972"/>
      <c r="AJ173" s="1972"/>
      <c r="AK173" s="1972"/>
      <c r="AL173" s="1972"/>
      <c r="AM173" s="1972"/>
      <c r="AN173" s="1972"/>
      <c r="AO173" s="1973"/>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16"/>
      <c r="D174" s="1917"/>
      <c r="E174" s="1917"/>
      <c r="F174" s="1917"/>
      <c r="G174" s="1917"/>
      <c r="H174" s="1917"/>
      <c r="I174" s="1977"/>
      <c r="J174" s="1977"/>
      <c r="K174" s="1977"/>
      <c r="L174" s="1977"/>
      <c r="M174" s="1977"/>
      <c r="N174" s="1978"/>
      <c r="O174" s="1079"/>
      <c r="P174" s="1971"/>
      <c r="Q174" s="1972"/>
      <c r="R174" s="1972"/>
      <c r="S174" s="1972"/>
      <c r="T174" s="1972"/>
      <c r="U174" s="1972"/>
      <c r="V174" s="1972"/>
      <c r="W174" s="1972"/>
      <c r="X174" s="1972"/>
      <c r="Y174" s="1972"/>
      <c r="Z174" s="1972"/>
      <c r="AA174" s="1972"/>
      <c r="AB174" s="1972"/>
      <c r="AC174" s="1972"/>
      <c r="AD174" s="1972"/>
      <c r="AE174" s="1972"/>
      <c r="AF174" s="1972"/>
      <c r="AG174" s="1972"/>
      <c r="AH174" s="1972"/>
      <c r="AI174" s="1972"/>
      <c r="AJ174" s="1972"/>
      <c r="AK174" s="1972"/>
      <c r="AL174" s="1972"/>
      <c r="AM174" s="1972"/>
      <c r="AN174" s="1972"/>
      <c r="AO174" s="1973"/>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16"/>
      <c r="D175" s="1917"/>
      <c r="E175" s="1917"/>
      <c r="F175" s="1917"/>
      <c r="G175" s="1917"/>
      <c r="H175" s="1917"/>
      <c r="I175" s="1977"/>
      <c r="J175" s="1977"/>
      <c r="K175" s="1977"/>
      <c r="L175" s="1977"/>
      <c r="M175" s="1977"/>
      <c r="N175" s="1978"/>
      <c r="O175" s="1079"/>
      <c r="P175" s="1971"/>
      <c r="Q175" s="1972"/>
      <c r="R175" s="1972"/>
      <c r="S175" s="1972"/>
      <c r="T175" s="1972"/>
      <c r="U175" s="1972"/>
      <c r="V175" s="1972"/>
      <c r="W175" s="1972"/>
      <c r="X175" s="1972"/>
      <c r="Y175" s="1972"/>
      <c r="Z175" s="1972"/>
      <c r="AA175" s="1972"/>
      <c r="AB175" s="1972"/>
      <c r="AC175" s="1972"/>
      <c r="AD175" s="1972"/>
      <c r="AE175" s="1972"/>
      <c r="AF175" s="1972"/>
      <c r="AG175" s="1972"/>
      <c r="AH175" s="1972"/>
      <c r="AI175" s="1972"/>
      <c r="AJ175" s="1972"/>
      <c r="AK175" s="1972"/>
      <c r="AL175" s="1972"/>
      <c r="AM175" s="1972"/>
      <c r="AN175" s="1972"/>
      <c r="AO175" s="1973"/>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16"/>
      <c r="D176" s="1917"/>
      <c r="E176" s="1917"/>
      <c r="F176" s="1917"/>
      <c r="G176" s="1917"/>
      <c r="H176" s="1917"/>
      <c r="I176" s="1977"/>
      <c r="J176" s="1977"/>
      <c r="K176" s="1977"/>
      <c r="L176" s="1977"/>
      <c r="M176" s="1977"/>
      <c r="N176" s="1978"/>
      <c r="O176" s="1079"/>
      <c r="P176" s="1971"/>
      <c r="Q176" s="1972"/>
      <c r="R176" s="1972"/>
      <c r="S176" s="1972"/>
      <c r="T176" s="1972"/>
      <c r="U176" s="1972"/>
      <c r="V176" s="1972"/>
      <c r="W176" s="1972"/>
      <c r="X176" s="1972"/>
      <c r="Y176" s="1972"/>
      <c r="Z176" s="1972"/>
      <c r="AA176" s="1972"/>
      <c r="AB176" s="1972"/>
      <c r="AC176" s="1972"/>
      <c r="AD176" s="1972"/>
      <c r="AE176" s="1972"/>
      <c r="AF176" s="1972"/>
      <c r="AG176" s="1972"/>
      <c r="AH176" s="1972"/>
      <c r="AI176" s="1972"/>
      <c r="AJ176" s="1972"/>
      <c r="AK176" s="1972"/>
      <c r="AL176" s="1972"/>
      <c r="AM176" s="1972"/>
      <c r="AN176" s="1972"/>
      <c r="AO176" s="1973"/>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16"/>
      <c r="D177" s="1917"/>
      <c r="E177" s="1917"/>
      <c r="F177" s="1917"/>
      <c r="G177" s="1917"/>
      <c r="H177" s="1917"/>
      <c r="I177" s="1977"/>
      <c r="J177" s="1977"/>
      <c r="K177" s="1977"/>
      <c r="L177" s="1977"/>
      <c r="M177" s="1977"/>
      <c r="N177" s="1978"/>
      <c r="O177" s="1079"/>
      <c r="P177" s="1971"/>
      <c r="Q177" s="1972"/>
      <c r="R177" s="1972"/>
      <c r="S177" s="1972"/>
      <c r="T177" s="1972"/>
      <c r="U177" s="1972"/>
      <c r="V177" s="1972"/>
      <c r="W177" s="1972"/>
      <c r="X177" s="1972"/>
      <c r="Y177" s="1972"/>
      <c r="Z177" s="1972"/>
      <c r="AA177" s="1972"/>
      <c r="AB177" s="1972"/>
      <c r="AC177" s="1972"/>
      <c r="AD177" s="1972"/>
      <c r="AE177" s="1972"/>
      <c r="AF177" s="1972"/>
      <c r="AG177" s="1972"/>
      <c r="AH177" s="1972"/>
      <c r="AI177" s="1972"/>
      <c r="AJ177" s="1972"/>
      <c r="AK177" s="1972"/>
      <c r="AL177" s="1972"/>
      <c r="AM177" s="1972"/>
      <c r="AN177" s="1972"/>
      <c r="AO177" s="1973"/>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16"/>
      <c r="D178" s="1917"/>
      <c r="E178" s="1917"/>
      <c r="F178" s="1917"/>
      <c r="G178" s="1917"/>
      <c r="H178" s="1917"/>
      <c r="I178" s="1977"/>
      <c r="J178" s="1977"/>
      <c r="K178" s="1977"/>
      <c r="L178" s="1977"/>
      <c r="M178" s="1977"/>
      <c r="N178" s="1978"/>
      <c r="O178" s="1079"/>
      <c r="P178" s="1971"/>
      <c r="Q178" s="1972"/>
      <c r="R178" s="1972"/>
      <c r="S178" s="1972"/>
      <c r="T178" s="1972"/>
      <c r="U178" s="1972"/>
      <c r="V178" s="1972"/>
      <c r="W178" s="1972"/>
      <c r="X178" s="1972"/>
      <c r="Y178" s="1972"/>
      <c r="Z178" s="1972"/>
      <c r="AA178" s="1972"/>
      <c r="AB178" s="1972"/>
      <c r="AC178" s="1972"/>
      <c r="AD178" s="1972"/>
      <c r="AE178" s="1972"/>
      <c r="AF178" s="1972"/>
      <c r="AG178" s="1972"/>
      <c r="AH178" s="1972"/>
      <c r="AI178" s="1972"/>
      <c r="AJ178" s="1972"/>
      <c r="AK178" s="1972"/>
      <c r="AL178" s="1972"/>
      <c r="AM178" s="1972"/>
      <c r="AN178" s="1972"/>
      <c r="AO178" s="1973"/>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16"/>
      <c r="D179" s="1917"/>
      <c r="E179" s="1917"/>
      <c r="F179" s="1917"/>
      <c r="G179" s="1917"/>
      <c r="H179" s="1917"/>
      <c r="I179" s="1977"/>
      <c r="J179" s="1977"/>
      <c r="K179" s="1977"/>
      <c r="L179" s="1977"/>
      <c r="M179" s="1977"/>
      <c r="N179" s="1978"/>
      <c r="O179" s="1079"/>
      <c r="P179" s="1971"/>
      <c r="Q179" s="1972"/>
      <c r="R179" s="1972"/>
      <c r="S179" s="1972"/>
      <c r="T179" s="1972"/>
      <c r="U179" s="1972"/>
      <c r="V179" s="1972"/>
      <c r="W179" s="1972"/>
      <c r="X179" s="1972"/>
      <c r="Y179" s="1972"/>
      <c r="Z179" s="1972"/>
      <c r="AA179" s="1972"/>
      <c r="AB179" s="1972"/>
      <c r="AC179" s="1972"/>
      <c r="AD179" s="1972"/>
      <c r="AE179" s="1972"/>
      <c r="AF179" s="1972"/>
      <c r="AG179" s="1972"/>
      <c r="AH179" s="1972"/>
      <c r="AI179" s="1972"/>
      <c r="AJ179" s="1972"/>
      <c r="AK179" s="1972"/>
      <c r="AL179" s="1972"/>
      <c r="AM179" s="1972"/>
      <c r="AN179" s="1972"/>
      <c r="AO179" s="1973"/>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1979"/>
      <c r="D180" s="1980"/>
      <c r="E180" s="1980"/>
      <c r="F180" s="1980"/>
      <c r="G180" s="1980"/>
      <c r="H180" s="1980"/>
      <c r="I180" s="1981"/>
      <c r="J180" s="1981"/>
      <c r="K180" s="1981"/>
      <c r="L180" s="1981"/>
      <c r="M180" s="1981"/>
      <c r="N180" s="1982"/>
      <c r="O180" s="1079"/>
      <c r="P180" s="1974"/>
      <c r="Q180" s="1975"/>
      <c r="R180" s="1975"/>
      <c r="S180" s="1975"/>
      <c r="T180" s="1975"/>
      <c r="U180" s="1975"/>
      <c r="V180" s="1975"/>
      <c r="W180" s="1975"/>
      <c r="X180" s="1975"/>
      <c r="Y180" s="1975"/>
      <c r="Z180" s="1975"/>
      <c r="AA180" s="1975"/>
      <c r="AB180" s="1975"/>
      <c r="AC180" s="1975"/>
      <c r="AD180" s="1975"/>
      <c r="AE180" s="1975"/>
      <c r="AF180" s="1975"/>
      <c r="AG180" s="1975"/>
      <c r="AH180" s="1975"/>
      <c r="AI180" s="1975"/>
      <c r="AJ180" s="1975"/>
      <c r="AK180" s="1975"/>
      <c r="AL180" s="1975"/>
      <c r="AM180" s="1975"/>
      <c r="AN180" s="1975"/>
      <c r="AO180" s="1976"/>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45" t="s">
        <v>2020</v>
      </c>
      <c r="D182" s="1946"/>
      <c r="E182" s="1946"/>
      <c r="F182" s="1946"/>
      <c r="G182" s="1946"/>
      <c r="H182" s="1946"/>
      <c r="I182" s="1946"/>
      <c r="J182" s="1946"/>
      <c r="K182" s="1946"/>
      <c r="L182" s="1946"/>
      <c r="M182" s="1946"/>
      <c r="N182" s="1946"/>
      <c r="O182" s="1946"/>
      <c r="P182" s="1946"/>
      <c r="Q182" s="1946"/>
      <c r="R182" s="1946"/>
      <c r="S182" s="1946"/>
      <c r="T182" s="1946"/>
      <c r="U182" s="1946"/>
      <c r="V182" s="1946"/>
      <c r="W182" s="1946"/>
      <c r="X182" s="1946"/>
      <c r="Y182" s="1946"/>
      <c r="Z182" s="1946"/>
      <c r="AA182" s="1946"/>
      <c r="AB182" s="1946"/>
      <c r="AC182" s="1946"/>
      <c r="AD182" s="1946"/>
      <c r="AE182" s="1947"/>
      <c r="AF182" s="1079"/>
      <c r="AG182" s="1079"/>
      <c r="AH182" s="1830"/>
      <c r="AI182" s="1830"/>
      <c r="AJ182" s="1830"/>
      <c r="AK182" s="1830"/>
      <c r="AL182" s="1830"/>
      <c r="AM182" s="1830"/>
      <c r="AN182" s="1830"/>
      <c r="AO182" s="1830"/>
      <c r="AP182" s="1830"/>
      <c r="AQ182" s="1830"/>
      <c r="AR182" s="1830"/>
      <c r="AS182" s="1830"/>
      <c r="AT182" s="1830"/>
      <c r="AU182" s="1830"/>
      <c r="AV182" s="1830"/>
      <c r="AW182" s="1830"/>
      <c r="AX182" s="1830"/>
      <c r="AY182" s="1830"/>
      <c r="AZ182" s="1830"/>
      <c r="BA182" s="1830"/>
      <c r="BB182" s="1830"/>
      <c r="BC182" s="1830"/>
      <c r="BD182" s="1830"/>
      <c r="BE182" s="1830"/>
    </row>
    <row r="183" spans="1:57" ht="15.75" customHeight="1" thickBot="1">
      <c r="A183" s="1079"/>
      <c r="B183" s="1079"/>
      <c r="C183" s="1948"/>
      <c r="D183" s="1949"/>
      <c r="E183" s="1949"/>
      <c r="F183" s="1949"/>
      <c r="G183" s="1949"/>
      <c r="H183" s="1949"/>
      <c r="I183" s="1949"/>
      <c r="J183" s="1949"/>
      <c r="K183" s="1949"/>
      <c r="L183" s="1949"/>
      <c r="M183" s="1949"/>
      <c r="N183" s="1949"/>
      <c r="O183" s="1949"/>
      <c r="P183" s="1949"/>
      <c r="Q183" s="1949"/>
      <c r="R183" s="1949"/>
      <c r="S183" s="1949"/>
      <c r="T183" s="1949"/>
      <c r="U183" s="1949"/>
      <c r="V183" s="1949"/>
      <c r="W183" s="1949"/>
      <c r="X183" s="1949"/>
      <c r="Y183" s="1949"/>
      <c r="Z183" s="1949"/>
      <c r="AA183" s="1949"/>
      <c r="AB183" s="1949"/>
      <c r="AC183" s="1949"/>
      <c r="AD183" s="1949"/>
      <c r="AE183" s="1950"/>
      <c r="AF183" s="1079"/>
      <c r="AG183" s="1079"/>
      <c r="AH183" s="1830"/>
      <c r="AI183" s="1830"/>
      <c r="AJ183" s="1830"/>
      <c r="AK183" s="1830"/>
      <c r="AL183" s="1830"/>
      <c r="AM183" s="1830"/>
      <c r="AN183" s="1830"/>
      <c r="AO183" s="1830"/>
      <c r="AP183" s="1830"/>
      <c r="AQ183" s="1830"/>
      <c r="AR183" s="1830"/>
      <c r="AS183" s="1830"/>
      <c r="AT183" s="1830"/>
      <c r="AU183" s="1830"/>
      <c r="AV183" s="1830"/>
      <c r="AW183" s="1830"/>
      <c r="AX183" s="1830"/>
      <c r="AY183" s="1830"/>
      <c r="AZ183" s="1830"/>
      <c r="BA183" s="1830"/>
      <c r="BB183" s="1830"/>
      <c r="BC183" s="1830"/>
      <c r="BD183" s="1830"/>
      <c r="BE183" s="1830"/>
    </row>
    <row r="184" spans="1:57" ht="15.75" customHeight="1">
      <c r="A184" s="1079"/>
      <c r="B184" s="1079"/>
      <c r="C184" s="1954" t="s">
        <v>2008</v>
      </c>
      <c r="D184" s="1955"/>
      <c r="E184" s="1955"/>
      <c r="F184" s="1955"/>
      <c r="G184" s="1955"/>
      <c r="H184" s="1955"/>
      <c r="I184" s="1955"/>
      <c r="J184" s="1955"/>
      <c r="K184" s="1955"/>
      <c r="L184" s="1955"/>
      <c r="M184" s="1955"/>
      <c r="N184" s="1955" t="s">
        <v>2021</v>
      </c>
      <c r="O184" s="1955"/>
      <c r="P184" s="1955"/>
      <c r="Q184" s="1955"/>
      <c r="R184" s="1955"/>
      <c r="S184" s="1955"/>
      <c r="T184" s="1955"/>
      <c r="U184" s="1956" t="s">
        <v>2008</v>
      </c>
      <c r="V184" s="1956"/>
      <c r="W184" s="1956"/>
      <c r="X184" s="1956"/>
      <c r="Y184" s="1956"/>
      <c r="Z184" s="1956"/>
      <c r="AA184" s="1956"/>
      <c r="AB184" s="1956"/>
      <c r="AC184" s="1956"/>
      <c r="AD184" s="1956"/>
      <c r="AE184" s="1957"/>
      <c r="AF184" s="1079"/>
      <c r="AG184" s="1079"/>
      <c r="AH184" s="1830"/>
      <c r="AI184" s="1830"/>
      <c r="AJ184" s="1830"/>
      <c r="AK184" s="1830"/>
      <c r="AL184" s="1830"/>
      <c r="AM184" s="1830"/>
      <c r="AN184" s="1830"/>
      <c r="AO184" s="1830"/>
      <c r="AP184" s="1830"/>
      <c r="AQ184" s="1830"/>
      <c r="AR184" s="1830"/>
      <c r="AS184" s="1830"/>
      <c r="AT184" s="1830"/>
      <c r="AU184" s="1830"/>
      <c r="AV184" s="1830"/>
      <c r="AW184" s="1830"/>
      <c r="AX184" s="1830"/>
      <c r="AY184" s="1830"/>
      <c r="AZ184" s="1830"/>
      <c r="BA184" s="1830"/>
      <c r="BB184" s="1830"/>
      <c r="BC184" s="1830"/>
      <c r="BD184" s="1830"/>
      <c r="BE184" s="1830"/>
    </row>
    <row r="185" spans="1:57" ht="15.75" customHeight="1">
      <c r="A185" s="1079"/>
      <c r="B185" s="1079"/>
      <c r="C185" s="1933" t="s">
        <v>2022</v>
      </c>
      <c r="D185" s="1934"/>
      <c r="E185" s="1934"/>
      <c r="F185" s="1934"/>
      <c r="G185" s="1934"/>
      <c r="H185" s="1934"/>
      <c r="I185" s="1934"/>
      <c r="J185" s="1934"/>
      <c r="K185" s="1934"/>
      <c r="L185" s="1934"/>
      <c r="M185" s="1934"/>
      <c r="N185" s="1944">
        <f>'Sources and Uses Budget'!B105</f>
        <v>88827994</v>
      </c>
      <c r="O185" s="1944"/>
      <c r="P185" s="1944"/>
      <c r="Q185" s="1944"/>
      <c r="R185" s="1944"/>
      <c r="S185" s="1944"/>
      <c r="T185" s="1944"/>
      <c r="U185" s="1958"/>
      <c r="V185" s="1958"/>
      <c r="W185" s="1958"/>
      <c r="X185" s="1958"/>
      <c r="Y185" s="1958"/>
      <c r="Z185" s="1958"/>
      <c r="AA185" s="1958"/>
      <c r="AB185" s="1958"/>
      <c r="AC185" s="1958"/>
      <c r="AD185" s="1958"/>
      <c r="AE185" s="1959"/>
      <c r="AF185" s="1079"/>
      <c r="AG185" s="1079"/>
      <c r="AH185" s="1830"/>
      <c r="AI185" s="1830"/>
      <c r="AJ185" s="1830"/>
      <c r="AK185" s="1830"/>
      <c r="AL185" s="1830"/>
      <c r="AM185" s="1830"/>
      <c r="AN185" s="1830"/>
      <c r="AO185" s="1830"/>
      <c r="AP185" s="1830"/>
      <c r="AQ185" s="1830"/>
      <c r="AR185" s="1830"/>
      <c r="AS185" s="1830"/>
      <c r="AT185" s="1830"/>
      <c r="AU185" s="1830"/>
      <c r="AV185" s="1830"/>
      <c r="AW185" s="1830"/>
      <c r="AX185" s="1830"/>
      <c r="AY185" s="1830"/>
      <c r="AZ185" s="1830"/>
      <c r="BA185" s="1830"/>
      <c r="BB185" s="1830"/>
      <c r="BC185" s="1830"/>
      <c r="BD185" s="1830"/>
      <c r="BE185" s="1830"/>
    </row>
    <row r="186" spans="1:57" ht="15.75" customHeight="1">
      <c r="A186" s="1079"/>
      <c r="B186" s="1079"/>
      <c r="C186" s="1933" t="s">
        <v>2023</v>
      </c>
      <c r="D186" s="1934"/>
      <c r="E186" s="1934"/>
      <c r="F186" s="1934"/>
      <c r="G186" s="1934"/>
      <c r="H186" s="1934"/>
      <c r="I186" s="1934"/>
      <c r="J186" s="1934"/>
      <c r="K186" s="1934"/>
      <c r="L186" s="1934"/>
      <c r="M186" s="1934"/>
      <c r="N186" s="1944">
        <f>N185/J29</f>
        <v>455528.17435897439</v>
      </c>
      <c r="O186" s="1944"/>
      <c r="P186" s="1944"/>
      <c r="Q186" s="1944"/>
      <c r="R186" s="1944"/>
      <c r="S186" s="1944"/>
      <c r="T186" s="1944"/>
      <c r="U186" s="1117"/>
      <c r="V186" s="1117"/>
      <c r="W186" s="1117"/>
      <c r="X186" s="1117"/>
      <c r="Y186" s="1117"/>
      <c r="Z186" s="1117"/>
      <c r="AA186" s="1117"/>
      <c r="AB186" s="1117"/>
      <c r="AC186" s="1117"/>
      <c r="AD186" s="1117"/>
      <c r="AE186" s="1118"/>
      <c r="AF186" s="1079"/>
      <c r="AG186" s="1079"/>
      <c r="AH186" s="1830"/>
      <c r="AI186" s="1830"/>
      <c r="AJ186" s="1830"/>
      <c r="AK186" s="1830"/>
      <c r="AL186" s="1830"/>
      <c r="AM186" s="1830"/>
      <c r="AN186" s="1830"/>
      <c r="AO186" s="1830"/>
      <c r="AP186" s="1830"/>
      <c r="AQ186" s="1830"/>
      <c r="AR186" s="1830"/>
      <c r="AS186" s="1830"/>
      <c r="AT186" s="1830"/>
      <c r="AU186" s="1830"/>
      <c r="AV186" s="1830"/>
      <c r="AW186" s="1830"/>
      <c r="AX186" s="1830"/>
      <c r="AY186" s="1830"/>
      <c r="AZ186" s="1830"/>
      <c r="BA186" s="1830"/>
      <c r="BB186" s="1830"/>
      <c r="BC186" s="1830"/>
      <c r="BD186" s="1830"/>
      <c r="BE186" s="1830"/>
    </row>
    <row r="187" spans="1:57" ht="15.75" customHeight="1">
      <c r="A187" s="1079"/>
      <c r="B187" s="1079"/>
      <c r="C187" s="1960" t="s">
        <v>2024</v>
      </c>
      <c r="D187" s="1961"/>
      <c r="E187" s="1961"/>
      <c r="F187" s="1961"/>
      <c r="G187" s="1961"/>
      <c r="H187" s="1961"/>
      <c r="I187" s="1961"/>
      <c r="J187" s="1961"/>
      <c r="K187" s="1961"/>
      <c r="L187" s="1961"/>
      <c r="M187" s="1961"/>
      <c r="N187" s="1962">
        <v>0</v>
      </c>
      <c r="O187" s="1962"/>
      <c r="P187" s="1962"/>
      <c r="Q187" s="1962"/>
      <c r="R187" s="1962"/>
      <c r="S187" s="1962"/>
      <c r="T187" s="1962"/>
      <c r="U187" s="1920"/>
      <c r="V187" s="1920"/>
      <c r="W187" s="1920"/>
      <c r="X187" s="1920"/>
      <c r="Y187" s="1920"/>
      <c r="Z187" s="1920"/>
      <c r="AA187" s="1920"/>
      <c r="AB187" s="1920"/>
      <c r="AC187" s="1920"/>
      <c r="AD187" s="1920"/>
      <c r="AE187" s="1921"/>
      <c r="AF187" s="1079"/>
      <c r="AG187" s="1079"/>
      <c r="AH187" s="1830"/>
      <c r="AI187" s="1830"/>
      <c r="AJ187" s="1830"/>
      <c r="AK187" s="1830"/>
      <c r="AL187" s="1830"/>
      <c r="AM187" s="1830"/>
      <c r="AN187" s="1830"/>
      <c r="AO187" s="1830"/>
      <c r="AP187" s="1830"/>
      <c r="AQ187" s="1830"/>
      <c r="AR187" s="1830"/>
      <c r="AS187" s="1830"/>
      <c r="AT187" s="1830"/>
      <c r="AU187" s="1830"/>
      <c r="AV187" s="1830"/>
      <c r="AW187" s="1830"/>
      <c r="AX187" s="1830"/>
      <c r="AY187" s="1830"/>
      <c r="AZ187" s="1830"/>
      <c r="BA187" s="1830"/>
      <c r="BB187" s="1830"/>
      <c r="BC187" s="1830"/>
      <c r="BD187" s="1830"/>
      <c r="BE187" s="1830"/>
    </row>
    <row r="188" spans="1:57" ht="15.75" customHeight="1" thickBot="1">
      <c r="A188" s="1079"/>
      <c r="B188" s="1079"/>
      <c r="C188" s="1933" t="s">
        <v>2025</v>
      </c>
      <c r="D188" s="1934"/>
      <c r="E188" s="1934"/>
      <c r="F188" s="1934"/>
      <c r="G188" s="1934"/>
      <c r="H188" s="1934"/>
      <c r="I188" s="1934"/>
      <c r="J188" s="1934"/>
      <c r="K188" s="1934"/>
      <c r="L188" s="1934"/>
      <c r="M188" s="1934"/>
      <c r="N188" s="1963">
        <f>SUM('Sources and Uses Budget'!B85:B86)</f>
        <v>7123431</v>
      </c>
      <c r="O188" s="1963"/>
      <c r="P188" s="1963"/>
      <c r="Q188" s="1963"/>
      <c r="R188" s="1963"/>
      <c r="S188" s="1963"/>
      <c r="T188" s="1963"/>
      <c r="U188" s="1920"/>
      <c r="V188" s="1920"/>
      <c r="W188" s="1920"/>
      <c r="X188" s="1920"/>
      <c r="Y188" s="1920"/>
      <c r="Z188" s="1920"/>
      <c r="AA188" s="1920"/>
      <c r="AB188" s="1920"/>
      <c r="AC188" s="1920"/>
      <c r="AD188" s="1920"/>
      <c r="AE188" s="1921"/>
      <c r="AF188" s="1079"/>
      <c r="AG188" s="1079"/>
      <c r="AH188" s="1830"/>
      <c r="AI188" s="1830"/>
      <c r="AJ188" s="1830"/>
      <c r="AK188" s="1830"/>
      <c r="AL188" s="1830"/>
      <c r="AM188" s="1830"/>
      <c r="AN188" s="1830"/>
      <c r="AO188" s="1830"/>
      <c r="AP188" s="1830"/>
      <c r="AQ188" s="1830"/>
      <c r="AR188" s="1830"/>
      <c r="AS188" s="1830"/>
      <c r="AT188" s="1830"/>
      <c r="AU188" s="1830"/>
      <c r="AV188" s="1830"/>
      <c r="AW188" s="1830"/>
      <c r="AX188" s="1830"/>
      <c r="AY188" s="1830"/>
      <c r="AZ188" s="1830"/>
      <c r="BA188" s="1830"/>
      <c r="BB188" s="1830"/>
      <c r="BC188" s="1830"/>
      <c r="BD188" s="1830"/>
      <c r="BE188" s="1830"/>
    </row>
    <row r="189" spans="1:57" ht="15.75" customHeight="1" thickBot="1">
      <c r="A189" s="1079"/>
      <c r="B189" s="1079"/>
      <c r="C189" s="1933" t="s">
        <v>2026</v>
      </c>
      <c r="D189" s="1934"/>
      <c r="E189" s="1934"/>
      <c r="F189" s="1934"/>
      <c r="G189" s="1934"/>
      <c r="H189" s="1934"/>
      <c r="I189" s="1934"/>
      <c r="J189" s="1934"/>
      <c r="K189" s="1934"/>
      <c r="L189" s="1934"/>
      <c r="M189" s="1934"/>
      <c r="N189" s="1963">
        <f>'Sources and Uses Budget'!B8</f>
        <v>4509675</v>
      </c>
      <c r="O189" s="1963"/>
      <c r="P189" s="1963"/>
      <c r="Q189" s="1963"/>
      <c r="R189" s="1963"/>
      <c r="S189" s="1963"/>
      <c r="T189" s="1963"/>
      <c r="U189" s="1920"/>
      <c r="V189" s="1920"/>
      <c r="W189" s="1920"/>
      <c r="X189" s="1920"/>
      <c r="Y189" s="1920"/>
      <c r="Z189" s="1920"/>
      <c r="AA189" s="1920"/>
      <c r="AB189" s="1920"/>
      <c r="AC189" s="1920"/>
      <c r="AD189" s="1920"/>
      <c r="AE189" s="1921"/>
      <c r="AF189" s="1079"/>
      <c r="AG189" s="1079"/>
      <c r="AH189" s="1930" t="s">
        <v>1436</v>
      </c>
      <c r="AI189" s="1931"/>
      <c r="AJ189" s="1931"/>
      <c r="AK189" s="1931"/>
      <c r="AL189" s="1931"/>
      <c r="AM189" s="1931"/>
      <c r="AN189" s="1931"/>
      <c r="AO189" s="1931"/>
      <c r="AP189" s="1931"/>
      <c r="AQ189" s="1931"/>
      <c r="AR189" s="1931"/>
      <c r="AS189" s="1931"/>
      <c r="AT189" s="1931"/>
      <c r="AU189" s="1931"/>
      <c r="AV189" s="1931"/>
      <c r="AW189" s="1931"/>
      <c r="AX189" s="1931"/>
      <c r="AY189" s="1931"/>
      <c r="AZ189" s="1931"/>
      <c r="BA189" s="1931"/>
      <c r="BB189" s="1931"/>
      <c r="BC189" s="1931"/>
      <c r="BD189" s="1931"/>
      <c r="BE189" s="1932"/>
    </row>
    <row r="190" spans="1:57" ht="15.75" customHeight="1">
      <c r="A190" s="1079"/>
      <c r="B190" s="1079"/>
      <c r="C190" s="1933" t="s">
        <v>2027</v>
      </c>
      <c r="D190" s="1934"/>
      <c r="E190" s="1934"/>
      <c r="F190" s="1934"/>
      <c r="G190" s="1934"/>
      <c r="H190" s="1934"/>
      <c r="I190" s="1934"/>
      <c r="J190" s="1934"/>
      <c r="K190" s="1934"/>
      <c r="L190" s="1934"/>
      <c r="M190" s="1934"/>
      <c r="N190" s="1919">
        <v>0</v>
      </c>
      <c r="O190" s="1919"/>
      <c r="P190" s="1919"/>
      <c r="Q190" s="1919"/>
      <c r="R190" s="1919"/>
      <c r="S190" s="1919"/>
      <c r="T190" s="1919"/>
      <c r="U190" s="1920"/>
      <c r="V190" s="1920"/>
      <c r="W190" s="1920"/>
      <c r="X190" s="1920"/>
      <c r="Y190" s="1920"/>
      <c r="Z190" s="1920"/>
      <c r="AA190" s="1920"/>
      <c r="AB190" s="1920"/>
      <c r="AC190" s="1920"/>
      <c r="AD190" s="1920"/>
      <c r="AE190" s="1921"/>
      <c r="AF190" s="1079"/>
      <c r="AG190" s="1079"/>
      <c r="AH190" s="1935" t="s">
        <v>1436</v>
      </c>
      <c r="AI190" s="1936"/>
      <c r="AJ190" s="1936"/>
      <c r="AK190" s="1936"/>
      <c r="AL190" s="1936"/>
      <c r="AM190" s="1936"/>
      <c r="AN190" s="1936"/>
      <c r="AO190" s="1936"/>
      <c r="AP190" s="1936"/>
      <c r="AQ190" s="1936"/>
      <c r="AR190" s="1936"/>
      <c r="AS190" s="1936"/>
      <c r="AT190" s="1936"/>
      <c r="AU190" s="1937">
        <v>0</v>
      </c>
      <c r="AV190" s="1937"/>
      <c r="AW190" s="1937"/>
      <c r="AX190" s="1937"/>
      <c r="AY190" s="1937"/>
      <c r="AZ190" s="1937"/>
      <c r="BA190" s="1937"/>
      <c r="BB190" s="1937"/>
      <c r="BC190" s="1938"/>
      <c r="BD190" s="1939"/>
      <c r="BE190" s="1940"/>
    </row>
    <row r="191" spans="1:57" ht="15.75" customHeight="1">
      <c r="A191" s="1079"/>
      <c r="B191" s="1079"/>
      <c r="C191" s="1933" t="s">
        <v>2028</v>
      </c>
      <c r="D191" s="1934"/>
      <c r="E191" s="1934"/>
      <c r="F191" s="1934"/>
      <c r="G191" s="1934"/>
      <c r="H191" s="1934"/>
      <c r="I191" s="1934"/>
      <c r="J191" s="1934"/>
      <c r="K191" s="1934"/>
      <c r="L191" s="1934"/>
      <c r="M191" s="1934"/>
      <c r="N191" s="1919">
        <v>0</v>
      </c>
      <c r="O191" s="1919"/>
      <c r="P191" s="1919"/>
      <c r="Q191" s="1919"/>
      <c r="R191" s="1919"/>
      <c r="S191" s="1919"/>
      <c r="T191" s="1919"/>
      <c r="U191" s="1920"/>
      <c r="V191" s="1920"/>
      <c r="W191" s="1920"/>
      <c r="X191" s="1920"/>
      <c r="Y191" s="1920"/>
      <c r="Z191" s="1920"/>
      <c r="AA191" s="1920"/>
      <c r="AB191" s="1920"/>
      <c r="AC191" s="1920"/>
      <c r="AD191" s="1920"/>
      <c r="AE191" s="1921"/>
      <c r="AF191" s="1079"/>
      <c r="AG191" s="1079"/>
      <c r="AH191" s="1951" t="s">
        <v>2029</v>
      </c>
      <c r="AI191" s="1952"/>
      <c r="AJ191" s="1952"/>
      <c r="AK191" s="1952"/>
      <c r="AL191" s="1952"/>
      <c r="AM191" s="1952"/>
      <c r="AN191" s="1952"/>
      <c r="AO191" s="1952"/>
      <c r="AP191" s="1952"/>
      <c r="AQ191" s="1952"/>
      <c r="AR191" s="1952"/>
      <c r="AS191" s="1952"/>
      <c r="AT191" s="1952"/>
      <c r="AU191" s="1953"/>
      <c r="AV191" s="1953"/>
      <c r="AW191" s="1953"/>
      <c r="AX191" s="1953"/>
      <c r="AY191" s="1953"/>
      <c r="AZ191" s="1953"/>
      <c r="BA191" s="1953"/>
      <c r="BB191" s="1953"/>
      <c r="BC191" s="1941"/>
      <c r="BD191" s="1942"/>
      <c r="BE191" s="1943"/>
    </row>
    <row r="192" spans="1:57" ht="15.75" customHeight="1">
      <c r="A192" s="1079"/>
      <c r="B192" s="1079"/>
      <c r="C192" s="1925" t="s">
        <v>1050</v>
      </c>
      <c r="D192" s="1926"/>
      <c r="E192" s="1918" t="s">
        <v>2015</v>
      </c>
      <c r="F192" s="1918"/>
      <c r="G192" s="1918"/>
      <c r="H192" s="1918"/>
      <c r="I192" s="1918"/>
      <c r="J192" s="1918"/>
      <c r="K192" s="1918"/>
      <c r="L192" s="1918"/>
      <c r="M192" s="1918"/>
      <c r="N192" s="1919">
        <v>0</v>
      </c>
      <c r="O192" s="1919"/>
      <c r="P192" s="1919"/>
      <c r="Q192" s="1919"/>
      <c r="R192" s="1919"/>
      <c r="S192" s="1919"/>
      <c r="T192" s="1919"/>
      <c r="U192" s="1920"/>
      <c r="V192" s="1920"/>
      <c r="W192" s="1920"/>
      <c r="X192" s="1920"/>
      <c r="Y192" s="1920"/>
      <c r="Z192" s="1920"/>
      <c r="AA192" s="1920"/>
      <c r="AB192" s="1920"/>
      <c r="AC192" s="1920"/>
      <c r="AD192" s="1920"/>
      <c r="AE192" s="1921"/>
      <c r="AF192" s="1079"/>
      <c r="AG192" s="1079"/>
      <c r="AH192" s="1927" t="s">
        <v>2030</v>
      </c>
      <c r="AI192" s="1928"/>
      <c r="AJ192" s="1928"/>
      <c r="AK192" s="1928"/>
      <c r="AL192" s="1928"/>
      <c r="AM192" s="1928"/>
      <c r="AN192" s="1928"/>
      <c r="AO192" s="1928"/>
      <c r="AP192" s="1928"/>
      <c r="AQ192" s="1928"/>
      <c r="AR192" s="1928"/>
      <c r="AS192" s="1928"/>
      <c r="AT192" s="1928"/>
      <c r="AU192" s="1929">
        <f>SUM(AU190:BB191)</f>
        <v>0</v>
      </c>
      <c r="AV192" s="1929"/>
      <c r="AW192" s="1929"/>
      <c r="AX192" s="1929"/>
      <c r="AY192" s="1929"/>
      <c r="AZ192" s="1929"/>
      <c r="BA192" s="1929"/>
      <c r="BB192" s="1929"/>
      <c r="BC192" s="1941"/>
      <c r="BD192" s="1942"/>
      <c r="BE192" s="1943"/>
    </row>
    <row r="193" spans="1:57" ht="15.75" customHeight="1" thickBot="1">
      <c r="A193" s="1079"/>
      <c r="B193" s="1079"/>
      <c r="C193" s="1916" t="s">
        <v>1050</v>
      </c>
      <c r="D193" s="1917"/>
      <c r="E193" s="1918" t="s">
        <v>2015</v>
      </c>
      <c r="F193" s="1918"/>
      <c r="G193" s="1918"/>
      <c r="H193" s="1918"/>
      <c r="I193" s="1918"/>
      <c r="J193" s="1918"/>
      <c r="K193" s="1918"/>
      <c r="L193" s="1918"/>
      <c r="M193" s="1918"/>
      <c r="N193" s="1919">
        <v>0</v>
      </c>
      <c r="O193" s="1919"/>
      <c r="P193" s="1919"/>
      <c r="Q193" s="1919"/>
      <c r="R193" s="1919"/>
      <c r="S193" s="1919"/>
      <c r="T193" s="1919"/>
      <c r="U193" s="1920"/>
      <c r="V193" s="1920"/>
      <c r="W193" s="1920"/>
      <c r="X193" s="1920"/>
      <c r="Y193" s="1920"/>
      <c r="Z193" s="1920"/>
      <c r="AA193" s="1920"/>
      <c r="AB193" s="1920"/>
      <c r="AC193" s="1920"/>
      <c r="AD193" s="1920"/>
      <c r="AE193" s="1921"/>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922"/>
      <c r="BD193" s="1923"/>
      <c r="BE193" s="1924"/>
    </row>
    <row r="194" spans="1:57" ht="15.75" customHeight="1" thickBot="1">
      <c r="A194" s="1079"/>
      <c r="B194" s="1079"/>
      <c r="C194" s="1904" t="s">
        <v>1050</v>
      </c>
      <c r="D194" s="1905"/>
      <c r="E194" s="1906" t="s">
        <v>2015</v>
      </c>
      <c r="F194" s="1906"/>
      <c r="G194" s="1906"/>
      <c r="H194" s="1906"/>
      <c r="I194" s="1906"/>
      <c r="J194" s="1906"/>
      <c r="K194" s="1906"/>
      <c r="L194" s="1906"/>
      <c r="M194" s="1907"/>
      <c r="N194" s="1908">
        <v>0</v>
      </c>
      <c r="O194" s="1908"/>
      <c r="P194" s="1908"/>
      <c r="Q194" s="1908"/>
      <c r="R194" s="1908"/>
      <c r="S194" s="1908"/>
      <c r="T194" s="1909"/>
      <c r="U194" s="1910"/>
      <c r="V194" s="1911"/>
      <c r="W194" s="1911"/>
      <c r="X194" s="1911"/>
      <c r="Y194" s="1911"/>
      <c r="Z194" s="1911"/>
      <c r="AA194" s="1911"/>
      <c r="AB194" s="1911"/>
      <c r="AC194" s="1911"/>
      <c r="AD194" s="1911"/>
      <c r="AE194" s="1912"/>
      <c r="AF194" s="1079"/>
      <c r="AG194" s="1079"/>
      <c r="AH194" s="1913" t="s">
        <v>2031</v>
      </c>
      <c r="AI194" s="1914"/>
      <c r="AJ194" s="1914"/>
      <c r="AK194" s="1914"/>
      <c r="AL194" s="1914"/>
      <c r="AM194" s="1914"/>
      <c r="AN194" s="1914"/>
      <c r="AO194" s="1914"/>
      <c r="AP194" s="1914"/>
      <c r="AQ194" s="1914"/>
      <c r="AR194" s="1914"/>
      <c r="AS194" s="1914"/>
      <c r="AT194" s="1914"/>
      <c r="AU194" s="1915"/>
      <c r="AV194" s="1915"/>
      <c r="AW194" s="1915"/>
      <c r="AX194" s="1915"/>
      <c r="AY194" s="1915"/>
      <c r="AZ194" s="1915"/>
      <c r="BA194" s="1915"/>
      <c r="BB194" s="1915"/>
      <c r="BC194" s="1060"/>
      <c r="BD194" s="1060"/>
      <c r="BE194" s="1121"/>
    </row>
    <row r="195" spans="1:57" ht="15.75" customHeight="1">
      <c r="A195" s="1079"/>
      <c r="B195" s="1079"/>
      <c r="C195" s="1887" t="s">
        <v>2032</v>
      </c>
      <c r="D195" s="1888"/>
      <c r="E195" s="1888"/>
      <c r="F195" s="1888"/>
      <c r="G195" s="1888"/>
      <c r="H195" s="1888"/>
      <c r="I195" s="1888"/>
      <c r="J195" s="1888"/>
      <c r="K195" s="1888"/>
      <c r="L195" s="1888"/>
      <c r="M195" s="1888"/>
      <c r="N195" s="1889">
        <f>SUM(N187:T194)</f>
        <v>11633106</v>
      </c>
      <c r="O195" s="1889"/>
      <c r="P195" s="1889"/>
      <c r="Q195" s="1889"/>
      <c r="R195" s="1889"/>
      <c r="S195" s="1889"/>
      <c r="T195" s="1890"/>
      <c r="U195" s="1079"/>
      <c r="V195" s="1079"/>
      <c r="W195" s="1079"/>
      <c r="X195" s="1079"/>
      <c r="Y195" s="1079"/>
      <c r="Z195" s="1079"/>
      <c r="AA195" s="1079"/>
      <c r="AB195" s="1079"/>
      <c r="AC195" s="1079"/>
      <c r="AD195" s="1079"/>
      <c r="AE195" s="1079"/>
      <c r="AF195" s="1079"/>
      <c r="AG195" s="1079"/>
      <c r="AH195" s="1891" t="s">
        <v>2033</v>
      </c>
      <c r="AI195" s="1892"/>
      <c r="AJ195" s="1892"/>
      <c r="AK195" s="1892"/>
      <c r="AL195" s="1892"/>
      <c r="AM195" s="1892"/>
      <c r="AN195" s="1892"/>
      <c r="AO195" s="1892"/>
      <c r="AP195" s="1892"/>
      <c r="AQ195" s="1892"/>
      <c r="AR195" s="1892"/>
      <c r="AS195" s="1892"/>
      <c r="AT195" s="1892"/>
      <c r="AU195" s="1892"/>
      <c r="AV195" s="1892"/>
      <c r="AW195" s="1892"/>
      <c r="AX195" s="1892"/>
      <c r="AY195" s="1892"/>
      <c r="AZ195" s="1892"/>
      <c r="BA195" s="1892"/>
      <c r="BB195" s="1892"/>
      <c r="BC195" s="1892"/>
      <c r="BD195" s="1892"/>
      <c r="BE195" s="1893"/>
    </row>
    <row r="196" spans="1:57" ht="15.75" customHeight="1" thickBot="1">
      <c r="A196" s="1079"/>
      <c r="B196" s="1079"/>
      <c r="C196" s="1897" t="s">
        <v>2034</v>
      </c>
      <c r="D196" s="1898"/>
      <c r="E196" s="1898"/>
      <c r="F196" s="1898"/>
      <c r="G196" s="1898"/>
      <c r="H196" s="1898"/>
      <c r="I196" s="1898"/>
      <c r="J196" s="1898"/>
      <c r="K196" s="1898"/>
      <c r="L196" s="1898"/>
      <c r="M196" s="1898"/>
      <c r="N196" s="1899">
        <f>(N185-N195)/J29</f>
        <v>395871.22051282052</v>
      </c>
      <c r="O196" s="1900"/>
      <c r="P196" s="1900"/>
      <c r="Q196" s="1900"/>
      <c r="R196" s="1900"/>
      <c r="S196" s="1900"/>
      <c r="T196" s="1901"/>
      <c r="U196" s="1084"/>
      <c r="V196" s="1079"/>
      <c r="W196" s="1079"/>
      <c r="X196" s="1079"/>
      <c r="Y196" s="1079"/>
      <c r="Z196" s="1079"/>
      <c r="AA196" s="1079"/>
      <c r="AB196" s="1079"/>
      <c r="AC196" s="1079"/>
      <c r="AD196" s="1079"/>
      <c r="AE196" s="1079"/>
      <c r="AF196" s="1079"/>
      <c r="AG196" s="1079"/>
      <c r="AH196" s="1894"/>
      <c r="AI196" s="1895"/>
      <c r="AJ196" s="1895"/>
      <c r="AK196" s="1895"/>
      <c r="AL196" s="1895"/>
      <c r="AM196" s="1895"/>
      <c r="AN196" s="1895"/>
      <c r="AO196" s="1895"/>
      <c r="AP196" s="1895"/>
      <c r="AQ196" s="1895"/>
      <c r="AR196" s="1895"/>
      <c r="AS196" s="1895"/>
      <c r="AT196" s="1895"/>
      <c r="AU196" s="1895"/>
      <c r="AV196" s="1895"/>
      <c r="AW196" s="1895"/>
      <c r="AX196" s="1895"/>
      <c r="AY196" s="1895"/>
      <c r="AZ196" s="1895"/>
      <c r="BA196" s="1895"/>
      <c r="BB196" s="1895"/>
      <c r="BC196" s="1895"/>
      <c r="BD196" s="1895"/>
      <c r="BE196" s="1896"/>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902"/>
      <c r="AI197" s="1902"/>
      <c r="AJ197" s="1902"/>
      <c r="AK197" s="1902"/>
      <c r="AL197" s="1902"/>
      <c r="AM197" s="1902"/>
      <c r="AN197" s="1902"/>
      <c r="AO197" s="1902"/>
      <c r="AP197" s="1902"/>
      <c r="AQ197" s="1902"/>
      <c r="AR197" s="1902"/>
      <c r="AS197" s="1903"/>
      <c r="AT197" s="1903"/>
      <c r="AU197" s="1903"/>
      <c r="AV197" s="1903"/>
      <c r="AW197" s="1903"/>
      <c r="AX197" s="1903"/>
      <c r="AY197" s="1903"/>
      <c r="AZ197" s="1903"/>
      <c r="BA197" s="1903"/>
      <c r="BB197" s="1903"/>
      <c r="BC197" s="1903"/>
      <c r="BD197" s="1903"/>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882" t="s">
        <v>2035</v>
      </c>
      <c r="D199" s="1883"/>
      <c r="E199" s="1883"/>
      <c r="F199" s="1883"/>
      <c r="G199" s="1883"/>
      <c r="H199" s="1883"/>
      <c r="I199" s="1883"/>
      <c r="J199" s="1883"/>
      <c r="K199" s="1883"/>
      <c r="L199" s="1883"/>
      <c r="M199" s="1883"/>
      <c r="N199" s="1883"/>
      <c r="O199" s="1883"/>
      <c r="P199" s="1883"/>
      <c r="Q199" s="1883"/>
      <c r="R199" s="1883"/>
      <c r="S199" s="1883"/>
      <c r="T199" s="1883"/>
      <c r="U199" s="1883"/>
      <c r="V199" s="1883"/>
      <c r="W199" s="1883"/>
      <c r="X199" s="1883"/>
      <c r="Y199" s="1883"/>
      <c r="Z199" s="1883"/>
      <c r="AA199" s="1883"/>
      <c r="AB199" s="1883"/>
      <c r="AC199" s="1883"/>
      <c r="AD199" s="1883"/>
      <c r="AE199" s="1884"/>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885" t="s">
        <v>2036</v>
      </c>
      <c r="D200" s="1885"/>
      <c r="E200" s="1885"/>
      <c r="F200" s="1885"/>
      <c r="G200" s="1885"/>
      <c r="H200" s="1885"/>
      <c r="I200" s="1885"/>
      <c r="J200" s="1885"/>
      <c r="K200" s="1885"/>
      <c r="L200" s="1885"/>
      <c r="M200" s="1885"/>
      <c r="N200" s="1885"/>
      <c r="O200" s="1886" t="s">
        <v>2037</v>
      </c>
      <c r="P200" s="1886"/>
      <c r="Q200" s="1886"/>
      <c r="R200" s="1886"/>
      <c r="S200" s="1886"/>
      <c r="T200" s="1886"/>
      <c r="U200" s="1886"/>
      <c r="V200" s="1886"/>
      <c r="W200" s="1886"/>
      <c r="X200" s="1886" t="s">
        <v>2038</v>
      </c>
      <c r="Y200" s="1886"/>
      <c r="Z200" s="1886"/>
      <c r="AA200" s="1886"/>
      <c r="AB200" s="1886"/>
      <c r="AC200" s="1886"/>
      <c r="AD200" s="1886"/>
      <c r="AE200" s="1886"/>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877" t="s">
        <v>2039</v>
      </c>
      <c r="D201" s="1877"/>
      <c r="E201" s="1877"/>
      <c r="F201" s="1877"/>
      <c r="G201" s="1877"/>
      <c r="H201" s="1877"/>
      <c r="I201" s="1877"/>
      <c r="J201" s="1877"/>
      <c r="K201" s="1877"/>
      <c r="L201" s="1877"/>
      <c r="M201" s="1877"/>
      <c r="N201" s="1877"/>
      <c r="O201" s="1878" t="s">
        <v>2040</v>
      </c>
      <c r="P201" s="1878"/>
      <c r="Q201" s="1878"/>
      <c r="R201" s="1878"/>
      <c r="S201" s="1878"/>
      <c r="T201" s="1878"/>
      <c r="U201" s="1878"/>
      <c r="V201" s="1878"/>
      <c r="W201" s="1878"/>
      <c r="X201" s="1879">
        <v>0.03</v>
      </c>
      <c r="Y201" s="1879"/>
      <c r="Z201" s="1879"/>
      <c r="AA201" s="1879"/>
      <c r="AB201" s="1879"/>
      <c r="AC201" s="1879"/>
      <c r="AD201" s="1879"/>
      <c r="AE201" s="1879"/>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877" t="s">
        <v>2041</v>
      </c>
      <c r="D202" s="1877"/>
      <c r="E202" s="1877"/>
      <c r="F202" s="1877"/>
      <c r="G202" s="1877"/>
      <c r="H202" s="1877"/>
      <c r="I202" s="1877"/>
      <c r="J202" s="1877"/>
      <c r="K202" s="1877"/>
      <c r="L202" s="1877"/>
      <c r="M202" s="1877"/>
      <c r="N202" s="1877"/>
      <c r="O202" s="1878" t="s">
        <v>2040</v>
      </c>
      <c r="P202" s="1878"/>
      <c r="Q202" s="1878"/>
      <c r="R202" s="1878"/>
      <c r="S202" s="1878"/>
      <c r="T202" s="1878"/>
      <c r="U202" s="1878"/>
      <c r="V202" s="1878"/>
      <c r="W202" s="1878"/>
      <c r="X202" s="1879">
        <v>0.03</v>
      </c>
      <c r="Y202" s="1879"/>
      <c r="Z202" s="1879"/>
      <c r="AA202" s="1879"/>
      <c r="AB202" s="1879"/>
      <c r="AC202" s="1879"/>
      <c r="AD202" s="1879"/>
      <c r="AE202" s="1879"/>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877" t="s">
        <v>2042</v>
      </c>
      <c r="D203" s="1877"/>
      <c r="E203" s="1877"/>
      <c r="F203" s="1877"/>
      <c r="G203" s="1877"/>
      <c r="H203" s="1877"/>
      <c r="I203" s="1877"/>
      <c r="J203" s="1877"/>
      <c r="K203" s="1877"/>
      <c r="L203" s="1877"/>
      <c r="M203" s="1877"/>
      <c r="N203" s="1877"/>
      <c r="O203" s="1880">
        <f>SUM(O201:W202)</f>
        <v>0</v>
      </c>
      <c r="P203" s="1881"/>
      <c r="Q203" s="1881"/>
      <c r="R203" s="1881"/>
      <c r="S203" s="1881"/>
      <c r="T203" s="1881"/>
      <c r="U203" s="1881"/>
      <c r="V203" s="1881"/>
      <c r="W203" s="1881"/>
      <c r="X203" s="1881" t="s">
        <v>2043</v>
      </c>
      <c r="Y203" s="1881"/>
      <c r="Z203" s="1881"/>
      <c r="AA203" s="1881"/>
      <c r="AB203" s="1881"/>
      <c r="AC203" s="1881"/>
      <c r="AD203" s="1881"/>
      <c r="AE203" s="1881"/>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51" t="s">
        <v>2044</v>
      </c>
      <c r="D204" s="1851"/>
      <c r="E204" s="1851"/>
      <c r="F204" s="1851"/>
      <c r="G204" s="1851"/>
      <c r="H204" s="1851"/>
      <c r="I204" s="1851"/>
      <c r="J204" s="1851"/>
      <c r="K204" s="1851"/>
      <c r="L204" s="1851"/>
      <c r="M204" s="1851"/>
      <c r="N204" s="1851"/>
      <c r="O204" s="1851"/>
      <c r="P204" s="1851"/>
      <c r="Q204" s="1851"/>
      <c r="R204" s="1851"/>
      <c r="S204" s="1851"/>
      <c r="T204" s="1851"/>
      <c r="U204" s="1851"/>
      <c r="V204" s="1851"/>
      <c r="W204" s="1851"/>
      <c r="X204" s="1851"/>
      <c r="Y204" s="1851"/>
      <c r="Z204" s="1851"/>
      <c r="AA204" s="1851"/>
      <c r="AB204" s="1851"/>
      <c r="AC204" s="1851"/>
      <c r="AD204" s="1851"/>
      <c r="AE204" s="1851"/>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52" t="s">
        <v>2045</v>
      </c>
      <c r="D206" s="1853"/>
      <c r="E206" s="1853"/>
      <c r="F206" s="1853"/>
      <c r="G206" s="1853"/>
      <c r="H206" s="1853"/>
      <c r="I206" s="1853"/>
      <c r="J206" s="1853"/>
      <c r="K206" s="1853"/>
      <c r="L206" s="1853"/>
      <c r="M206" s="1853"/>
      <c r="N206" s="1853"/>
      <c r="O206" s="1853"/>
      <c r="P206" s="1853"/>
      <c r="Q206" s="1853"/>
      <c r="R206" s="1853"/>
      <c r="S206" s="1853"/>
      <c r="T206" s="1853"/>
      <c r="U206" s="1853"/>
      <c r="V206" s="1853"/>
      <c r="W206" s="1853"/>
      <c r="X206" s="1853"/>
      <c r="Y206" s="1853"/>
      <c r="Z206" s="1853"/>
      <c r="AA206" s="1853"/>
      <c r="AB206" s="1853"/>
      <c r="AC206" s="1853"/>
      <c r="AD206" s="1853"/>
      <c r="AE206" s="1853"/>
      <c r="AF206" s="1853"/>
      <c r="AG206" s="1853"/>
      <c r="AH206" s="1853"/>
      <c r="AI206" s="1853"/>
      <c r="AJ206" s="1853"/>
      <c r="AK206" s="1854"/>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55" t="s">
        <v>2046</v>
      </c>
      <c r="D207" s="1856"/>
      <c r="E207" s="1856"/>
      <c r="F207" s="1857"/>
      <c r="G207" s="1861" t="s">
        <v>2047</v>
      </c>
      <c r="H207" s="1856"/>
      <c r="I207" s="1856"/>
      <c r="J207" s="1856"/>
      <c r="K207" s="1856"/>
      <c r="L207" s="1856"/>
      <c r="M207" s="1856"/>
      <c r="N207" s="1856"/>
      <c r="O207" s="1857"/>
      <c r="P207" s="1863" t="s">
        <v>2048</v>
      </c>
      <c r="Q207" s="1864"/>
      <c r="R207" s="1864"/>
      <c r="S207" s="1864"/>
      <c r="T207" s="1865"/>
      <c r="U207" s="1869" t="s">
        <v>2049</v>
      </c>
      <c r="V207" s="1870"/>
      <c r="W207" s="1870"/>
      <c r="X207" s="1871"/>
      <c r="Y207" s="1869" t="s">
        <v>2050</v>
      </c>
      <c r="Z207" s="1870"/>
      <c r="AA207" s="1870"/>
      <c r="AB207" s="1871"/>
      <c r="AC207" s="1869" t="s">
        <v>2051</v>
      </c>
      <c r="AD207" s="1870"/>
      <c r="AE207" s="1870"/>
      <c r="AF207" s="1871"/>
      <c r="AG207" s="1861" t="s">
        <v>2052</v>
      </c>
      <c r="AH207" s="1856"/>
      <c r="AI207" s="1856"/>
      <c r="AJ207" s="1856"/>
      <c r="AK207" s="1875"/>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58"/>
      <c r="D208" s="1859"/>
      <c r="E208" s="1859"/>
      <c r="F208" s="1860"/>
      <c r="G208" s="1862"/>
      <c r="H208" s="1859"/>
      <c r="I208" s="1859"/>
      <c r="J208" s="1859"/>
      <c r="K208" s="1859"/>
      <c r="L208" s="1859"/>
      <c r="M208" s="1859"/>
      <c r="N208" s="1859"/>
      <c r="O208" s="1860"/>
      <c r="P208" s="1866"/>
      <c r="Q208" s="1867"/>
      <c r="R208" s="1867"/>
      <c r="S208" s="1867"/>
      <c r="T208" s="1868"/>
      <c r="U208" s="1872"/>
      <c r="V208" s="1873"/>
      <c r="W208" s="1873"/>
      <c r="X208" s="1874"/>
      <c r="Y208" s="1872"/>
      <c r="Z208" s="1873"/>
      <c r="AA208" s="1873"/>
      <c r="AB208" s="1874"/>
      <c r="AC208" s="1872"/>
      <c r="AD208" s="1873"/>
      <c r="AE208" s="1873"/>
      <c r="AF208" s="1874"/>
      <c r="AG208" s="1862"/>
      <c r="AH208" s="1859"/>
      <c r="AI208" s="1859"/>
      <c r="AJ208" s="1859"/>
      <c r="AK208" s="1876"/>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44">
        <v>1</v>
      </c>
      <c r="D209" s="1845"/>
      <c r="E209" s="1845"/>
      <c r="F209" s="1845"/>
      <c r="G209" s="1846" t="s">
        <v>2053</v>
      </c>
      <c r="H209" s="1846"/>
      <c r="I209" s="1846"/>
      <c r="J209" s="1846"/>
      <c r="K209" s="1846"/>
      <c r="L209" s="1846"/>
      <c r="M209" s="1846"/>
      <c r="N209" s="1846"/>
      <c r="O209" s="1846"/>
      <c r="P209" s="1847"/>
      <c r="Q209" s="1850"/>
      <c r="R209" s="1850"/>
      <c r="S209" s="1850"/>
      <c r="T209" s="1850"/>
      <c r="U209" s="1848" t="s">
        <v>2053</v>
      </c>
      <c r="V209" s="1848"/>
      <c r="W209" s="1848"/>
      <c r="X209" s="1848"/>
      <c r="Y209" s="1848" t="s">
        <v>2053</v>
      </c>
      <c r="Z209" s="1848"/>
      <c r="AA209" s="1848"/>
      <c r="AB209" s="1848"/>
      <c r="AC209" s="1849" t="s">
        <v>2053</v>
      </c>
      <c r="AD209" s="1849"/>
      <c r="AE209" s="1849"/>
      <c r="AF209" s="1849"/>
      <c r="AG209" s="1833"/>
      <c r="AH209" s="1834"/>
      <c r="AI209" s="1834"/>
      <c r="AJ209" s="1834"/>
      <c r="AK209" s="1835"/>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44">
        <v>2</v>
      </c>
      <c r="D210" s="1845"/>
      <c r="E210" s="1845"/>
      <c r="F210" s="1845"/>
      <c r="G210" s="1846" t="s">
        <v>2053</v>
      </c>
      <c r="H210" s="1846"/>
      <c r="I210" s="1846"/>
      <c r="J210" s="1846"/>
      <c r="K210" s="1846"/>
      <c r="L210" s="1846"/>
      <c r="M210" s="1846"/>
      <c r="N210" s="1846"/>
      <c r="O210" s="1846"/>
      <c r="P210" s="1847"/>
      <c r="Q210" s="1847"/>
      <c r="R210" s="1847"/>
      <c r="S210" s="1847"/>
      <c r="T210" s="1847"/>
      <c r="U210" s="1848" t="s">
        <v>2053</v>
      </c>
      <c r="V210" s="1848"/>
      <c r="W210" s="1848"/>
      <c r="X210" s="1848"/>
      <c r="Y210" s="1848" t="s">
        <v>2053</v>
      </c>
      <c r="Z210" s="1848"/>
      <c r="AA210" s="1848"/>
      <c r="AB210" s="1848"/>
      <c r="AC210" s="1849" t="s">
        <v>2053</v>
      </c>
      <c r="AD210" s="1849"/>
      <c r="AE210" s="1849"/>
      <c r="AF210" s="1849"/>
      <c r="AG210" s="1833"/>
      <c r="AH210" s="1834"/>
      <c r="AI210" s="1834"/>
      <c r="AJ210" s="1834"/>
      <c r="AK210" s="1835"/>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44">
        <v>3</v>
      </c>
      <c r="D211" s="1845"/>
      <c r="E211" s="1845"/>
      <c r="F211" s="1845"/>
      <c r="G211" s="1846" t="s">
        <v>2053</v>
      </c>
      <c r="H211" s="1846"/>
      <c r="I211" s="1846"/>
      <c r="J211" s="1846"/>
      <c r="K211" s="1846"/>
      <c r="L211" s="1846"/>
      <c r="M211" s="1846"/>
      <c r="N211" s="1846"/>
      <c r="O211" s="1846"/>
      <c r="P211" s="1847"/>
      <c r="Q211" s="1847"/>
      <c r="R211" s="1847"/>
      <c r="S211" s="1847"/>
      <c r="T211" s="1847"/>
      <c r="U211" s="1848" t="s">
        <v>2053</v>
      </c>
      <c r="V211" s="1848"/>
      <c r="W211" s="1848"/>
      <c r="X211" s="1848"/>
      <c r="Y211" s="1848" t="s">
        <v>2053</v>
      </c>
      <c r="Z211" s="1848"/>
      <c r="AA211" s="1848"/>
      <c r="AB211" s="1848"/>
      <c r="AC211" s="1849" t="s">
        <v>2053</v>
      </c>
      <c r="AD211" s="1849"/>
      <c r="AE211" s="1849"/>
      <c r="AF211" s="1849"/>
      <c r="AG211" s="1833"/>
      <c r="AH211" s="1834"/>
      <c r="AI211" s="1834"/>
      <c r="AJ211" s="1834"/>
      <c r="AK211" s="1835"/>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44">
        <v>4</v>
      </c>
      <c r="D212" s="1845"/>
      <c r="E212" s="1845"/>
      <c r="F212" s="1845"/>
      <c r="G212" s="1846" t="s">
        <v>2053</v>
      </c>
      <c r="H212" s="1846"/>
      <c r="I212" s="1846"/>
      <c r="J212" s="1846"/>
      <c r="K212" s="1846"/>
      <c r="L212" s="1846"/>
      <c r="M212" s="1846"/>
      <c r="N212" s="1846"/>
      <c r="O212" s="1846"/>
      <c r="P212" s="1847"/>
      <c r="Q212" s="1847"/>
      <c r="R212" s="1847"/>
      <c r="S212" s="1847"/>
      <c r="T212" s="1847"/>
      <c r="U212" s="1848" t="s">
        <v>2053</v>
      </c>
      <c r="V212" s="1848"/>
      <c r="W212" s="1848"/>
      <c r="X212" s="1848"/>
      <c r="Y212" s="1848" t="s">
        <v>2053</v>
      </c>
      <c r="Z212" s="1848"/>
      <c r="AA212" s="1848"/>
      <c r="AB212" s="1848"/>
      <c r="AC212" s="1849" t="s">
        <v>2053</v>
      </c>
      <c r="AD212" s="1849"/>
      <c r="AE212" s="1849"/>
      <c r="AF212" s="1849"/>
      <c r="AG212" s="1833"/>
      <c r="AH212" s="1834"/>
      <c r="AI212" s="1834"/>
      <c r="AJ212" s="1834"/>
      <c r="AK212" s="1835"/>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44">
        <v>5</v>
      </c>
      <c r="D213" s="1845"/>
      <c r="E213" s="1845"/>
      <c r="F213" s="1845"/>
      <c r="G213" s="1846" t="s">
        <v>2053</v>
      </c>
      <c r="H213" s="1846"/>
      <c r="I213" s="1846"/>
      <c r="J213" s="1846"/>
      <c r="K213" s="1846"/>
      <c r="L213" s="1846"/>
      <c r="M213" s="1846"/>
      <c r="N213" s="1846"/>
      <c r="O213" s="1846"/>
      <c r="P213" s="1847"/>
      <c r="Q213" s="1847"/>
      <c r="R213" s="1847"/>
      <c r="S213" s="1847"/>
      <c r="T213" s="1847"/>
      <c r="U213" s="1848" t="s">
        <v>2053</v>
      </c>
      <c r="V213" s="1848"/>
      <c r="W213" s="1848"/>
      <c r="X213" s="1848"/>
      <c r="Y213" s="1848" t="s">
        <v>2053</v>
      </c>
      <c r="Z213" s="1848"/>
      <c r="AA213" s="1848"/>
      <c r="AB213" s="1848"/>
      <c r="AC213" s="1849" t="s">
        <v>2053</v>
      </c>
      <c r="AD213" s="1849"/>
      <c r="AE213" s="1849"/>
      <c r="AF213" s="1849"/>
      <c r="AG213" s="1833"/>
      <c r="AH213" s="1834"/>
      <c r="AI213" s="1834"/>
      <c r="AJ213" s="1834"/>
      <c r="AK213" s="1835"/>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44">
        <v>6</v>
      </c>
      <c r="D214" s="1845"/>
      <c r="E214" s="1845"/>
      <c r="F214" s="1845"/>
      <c r="G214" s="1846" t="s">
        <v>2053</v>
      </c>
      <c r="H214" s="1846"/>
      <c r="I214" s="1846"/>
      <c r="J214" s="1846"/>
      <c r="K214" s="1846"/>
      <c r="L214" s="1846"/>
      <c r="M214" s="1846"/>
      <c r="N214" s="1846"/>
      <c r="O214" s="1846"/>
      <c r="P214" s="1847"/>
      <c r="Q214" s="1847"/>
      <c r="R214" s="1847"/>
      <c r="S214" s="1847"/>
      <c r="T214" s="1847"/>
      <c r="U214" s="1848"/>
      <c r="V214" s="1848"/>
      <c r="W214" s="1848"/>
      <c r="X214" s="1848"/>
      <c r="Y214" s="1848"/>
      <c r="Z214" s="1848"/>
      <c r="AA214" s="1848"/>
      <c r="AB214" s="1848"/>
      <c r="AC214" s="1849" t="s">
        <v>2053</v>
      </c>
      <c r="AD214" s="1849"/>
      <c r="AE214" s="1849"/>
      <c r="AF214" s="1849"/>
      <c r="AG214" s="1833"/>
      <c r="AH214" s="1834"/>
      <c r="AI214" s="1834"/>
      <c r="AJ214" s="1834"/>
      <c r="AK214" s="1835"/>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44">
        <v>7</v>
      </c>
      <c r="D215" s="1845"/>
      <c r="E215" s="1845"/>
      <c r="F215" s="1845"/>
      <c r="G215" s="1846"/>
      <c r="H215" s="1846"/>
      <c r="I215" s="1846"/>
      <c r="J215" s="1846"/>
      <c r="K215" s="1846"/>
      <c r="L215" s="1846"/>
      <c r="M215" s="1846"/>
      <c r="N215" s="1846"/>
      <c r="O215" s="1846"/>
      <c r="P215" s="1847"/>
      <c r="Q215" s="1847"/>
      <c r="R215" s="1847"/>
      <c r="S215" s="1847"/>
      <c r="T215" s="1847"/>
      <c r="U215" s="1848"/>
      <c r="V215" s="1848"/>
      <c r="W215" s="1848"/>
      <c r="X215" s="1848"/>
      <c r="Y215" s="1848"/>
      <c r="Z215" s="1848"/>
      <c r="AA215" s="1848"/>
      <c r="AB215" s="1848"/>
      <c r="AC215" s="1849" t="s">
        <v>2053</v>
      </c>
      <c r="AD215" s="1849"/>
      <c r="AE215" s="1849"/>
      <c r="AF215" s="1849"/>
      <c r="AG215" s="1833"/>
      <c r="AH215" s="1834"/>
      <c r="AI215" s="1834"/>
      <c r="AJ215" s="1834"/>
      <c r="AK215" s="1835"/>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36" t="s">
        <v>2054</v>
      </c>
      <c r="D216" s="1837"/>
      <c r="E216" s="1837"/>
      <c r="F216" s="1837"/>
      <c r="G216" s="1837"/>
      <c r="H216" s="1837"/>
      <c r="I216" s="1837"/>
      <c r="J216" s="1837"/>
      <c r="K216" s="1837"/>
      <c r="L216" s="1837"/>
      <c r="M216" s="1837"/>
      <c r="N216" s="1837"/>
      <c r="O216" s="1837"/>
      <c r="P216" s="1838"/>
      <c r="Q216" s="1838"/>
      <c r="R216" s="1838"/>
      <c r="S216" s="1838"/>
      <c r="T216" s="1838"/>
      <c r="U216" s="1839">
        <f>-SUM(U209:U215)</f>
        <v>0</v>
      </c>
      <c r="V216" s="1839"/>
      <c r="W216" s="1839"/>
      <c r="X216" s="1839"/>
      <c r="Y216" s="1839">
        <f>-SUM(Y209:Y215)</f>
        <v>0</v>
      </c>
      <c r="Z216" s="1839"/>
      <c r="AA216" s="1839"/>
      <c r="AB216" s="1839"/>
      <c r="AC216" s="1840">
        <f>-SUM(AC209:AC215)</f>
        <v>0</v>
      </c>
      <c r="AD216" s="1840"/>
      <c r="AE216" s="1840"/>
      <c r="AF216" s="1840"/>
      <c r="AG216" s="1841"/>
      <c r="AH216" s="1842"/>
      <c r="AI216" s="1842"/>
      <c r="AJ216" s="1842"/>
      <c r="AK216" s="1843"/>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2055</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820" t="s">
        <v>2056</v>
      </c>
      <c r="C221" s="1821"/>
      <c r="D221" s="1821"/>
      <c r="E221" s="1821"/>
      <c r="F221" s="1821"/>
      <c r="G221" s="1821"/>
      <c r="H221" s="1821"/>
      <c r="I221" s="1821"/>
      <c r="J221" s="1821"/>
      <c r="K221" s="1821"/>
      <c r="L221" s="1821"/>
      <c r="M221" s="1821"/>
      <c r="N221" s="1821"/>
      <c r="O221" s="1821"/>
      <c r="P221" s="1821"/>
      <c r="Q221" s="1821"/>
      <c r="R221" s="1821"/>
      <c r="S221" s="1821"/>
      <c r="T221" s="1821"/>
      <c r="U221" s="1821"/>
      <c r="V221" s="1821"/>
      <c r="W221" s="1821"/>
      <c r="X221" s="1821"/>
      <c r="Y221" s="1821"/>
      <c r="Z221" s="1821"/>
      <c r="AA221" s="1821"/>
      <c r="AB221" s="1821"/>
      <c r="AC221" s="1821"/>
      <c r="AD221" s="1821"/>
      <c r="AE221" s="1821"/>
      <c r="AF221" s="1821"/>
      <c r="AG221" s="1821"/>
      <c r="AH221" s="1821"/>
      <c r="AI221" s="1821"/>
      <c r="AJ221" s="1821"/>
      <c r="AK221" s="1821"/>
      <c r="AL221" s="1821"/>
      <c r="AM221" s="1821"/>
      <c r="AN221" s="1821"/>
      <c r="AO221" s="1821"/>
      <c r="AP221" s="1821"/>
      <c r="AQ221" s="1821"/>
      <c r="AR221" s="1821"/>
      <c r="AS221" s="1821"/>
      <c r="AT221" s="1821"/>
      <c r="AU221" s="1821"/>
      <c r="AV221" s="1821"/>
      <c r="AW221" s="1821"/>
      <c r="AX221" s="1821"/>
      <c r="AY221" s="1821"/>
      <c r="AZ221" s="1821"/>
      <c r="BA221" s="1821"/>
      <c r="BB221" s="1821"/>
      <c r="BC221" s="1821"/>
      <c r="BD221" s="1822"/>
      <c r="BE221" s="1083"/>
    </row>
    <row r="222" spans="1:57" ht="15.75" customHeight="1">
      <c r="A222" s="1079"/>
      <c r="B222" s="1823"/>
      <c r="C222" s="1824"/>
      <c r="D222" s="1824"/>
      <c r="E222" s="1824"/>
      <c r="F222" s="1824"/>
      <c r="G222" s="1824"/>
      <c r="H222" s="1824"/>
      <c r="I222" s="1824"/>
      <c r="J222" s="1824"/>
      <c r="K222" s="1824"/>
      <c r="L222" s="1824"/>
      <c r="M222" s="1824"/>
      <c r="N222" s="1824"/>
      <c r="O222" s="1824"/>
      <c r="P222" s="1824"/>
      <c r="Q222" s="1824"/>
      <c r="R222" s="1824"/>
      <c r="S222" s="1824"/>
      <c r="T222" s="1824"/>
      <c r="U222" s="1824"/>
      <c r="V222" s="1824"/>
      <c r="W222" s="1824"/>
      <c r="X222" s="1824"/>
      <c r="Y222" s="1824"/>
      <c r="Z222" s="1824"/>
      <c r="AA222" s="1824"/>
      <c r="AB222" s="1824"/>
      <c r="AC222" s="1824"/>
      <c r="AD222" s="1824"/>
      <c r="AE222" s="1824"/>
      <c r="AF222" s="1824"/>
      <c r="AG222" s="1824"/>
      <c r="AH222" s="1824"/>
      <c r="AI222" s="1824"/>
      <c r="AJ222" s="1824"/>
      <c r="AK222" s="1824"/>
      <c r="AL222" s="1824"/>
      <c r="AM222" s="1824"/>
      <c r="AN222" s="1824"/>
      <c r="AO222" s="1824"/>
      <c r="AP222" s="1824"/>
      <c r="AQ222" s="1824"/>
      <c r="AR222" s="1824"/>
      <c r="AS222" s="1824"/>
      <c r="AT222" s="1824"/>
      <c r="AU222" s="1824"/>
      <c r="AV222" s="1824"/>
      <c r="AW222" s="1824"/>
      <c r="AX222" s="1824"/>
      <c r="AY222" s="1824"/>
      <c r="AZ222" s="1824"/>
      <c r="BA222" s="1824"/>
      <c r="BB222" s="1824"/>
      <c r="BC222" s="1824"/>
      <c r="BD222" s="1825"/>
      <c r="BE222" s="1083"/>
    </row>
    <row r="223" spans="1:57" ht="15.75" customHeight="1">
      <c r="A223" s="1079"/>
      <c r="B223" s="1826" t="s">
        <v>2057</v>
      </c>
      <c r="C223" s="1827"/>
      <c r="D223" s="1827"/>
      <c r="E223" s="1827"/>
      <c r="F223" s="1827"/>
      <c r="G223" s="1827"/>
      <c r="H223" s="1827"/>
      <c r="I223" s="1827"/>
      <c r="J223" s="1827"/>
      <c r="K223" s="1827"/>
      <c r="L223" s="1827"/>
      <c r="M223" s="1827"/>
      <c r="N223" s="1827"/>
      <c r="O223" s="1827"/>
      <c r="P223" s="1827"/>
      <c r="Q223" s="1827"/>
      <c r="R223" s="1827"/>
      <c r="S223" s="1827"/>
      <c r="T223" s="1827"/>
      <c r="U223" s="1827"/>
      <c r="V223" s="1827"/>
      <c r="W223" s="1827"/>
      <c r="X223" s="1827"/>
      <c r="Y223" s="1827"/>
      <c r="Z223" s="1827"/>
      <c r="AA223" s="1827"/>
      <c r="AB223" s="1827"/>
      <c r="AC223" s="1827"/>
      <c r="AD223" s="1827"/>
      <c r="AE223" s="1827"/>
      <c r="AF223" s="1827"/>
      <c r="AG223" s="1827"/>
      <c r="AH223" s="1827"/>
      <c r="AI223" s="1827"/>
      <c r="AJ223" s="1827"/>
      <c r="AK223" s="1827"/>
      <c r="AL223" s="1827"/>
      <c r="AM223" s="1827"/>
      <c r="AN223" s="1827"/>
      <c r="AO223" s="1827"/>
      <c r="AP223" s="1827"/>
      <c r="AQ223" s="1827"/>
      <c r="AR223" s="1827"/>
      <c r="AS223" s="1827"/>
      <c r="AT223" s="1827"/>
      <c r="AU223" s="1827"/>
      <c r="AV223" s="1827"/>
      <c r="AW223" s="1827"/>
      <c r="AX223" s="1827"/>
      <c r="AY223" s="1827"/>
      <c r="AZ223" s="1827"/>
      <c r="BA223" s="1827"/>
      <c r="BB223" s="1827"/>
      <c r="BC223" s="1827"/>
      <c r="BD223" s="1828"/>
      <c r="BE223" s="1083"/>
    </row>
    <row r="224" spans="1:57" ht="15.75" customHeight="1">
      <c r="A224" s="1079"/>
      <c r="B224" s="1826" t="s">
        <v>2058</v>
      </c>
      <c r="C224" s="1827"/>
      <c r="D224" s="1827"/>
      <c r="E224" s="1827"/>
      <c r="F224" s="1827"/>
      <c r="G224" s="1827"/>
      <c r="H224" s="1827"/>
      <c r="I224" s="1827"/>
      <c r="J224" s="1827"/>
      <c r="K224" s="1827"/>
      <c r="L224" s="1827"/>
      <c r="M224" s="1827"/>
      <c r="N224" s="1827"/>
      <c r="O224" s="1827"/>
      <c r="P224" s="1827"/>
      <c r="Q224" s="1827"/>
      <c r="R224" s="1827"/>
      <c r="S224" s="1827"/>
      <c r="T224" s="1827"/>
      <c r="U224" s="1827"/>
      <c r="V224" s="1827"/>
      <c r="W224" s="1827"/>
      <c r="X224" s="1827"/>
      <c r="Y224" s="1827"/>
      <c r="Z224" s="1827"/>
      <c r="AA224" s="1827"/>
      <c r="AB224" s="1827"/>
      <c r="AC224" s="1827"/>
      <c r="AD224" s="1827"/>
      <c r="AE224" s="1827"/>
      <c r="AF224" s="1827"/>
      <c r="AG224" s="1827"/>
      <c r="AH224" s="1827"/>
      <c r="AI224" s="1827"/>
      <c r="AJ224" s="1827"/>
      <c r="AK224" s="1827"/>
      <c r="AL224" s="1827"/>
      <c r="AM224" s="1827"/>
      <c r="AN224" s="1827"/>
      <c r="AO224" s="1827"/>
      <c r="AP224" s="1827"/>
      <c r="AQ224" s="1827"/>
      <c r="AR224" s="1827"/>
      <c r="AS224" s="1827"/>
      <c r="AT224" s="1827"/>
      <c r="AU224" s="1827"/>
      <c r="AV224" s="1827"/>
      <c r="AW224" s="1827"/>
      <c r="AX224" s="1827"/>
      <c r="AY224" s="1827"/>
      <c r="AZ224" s="1827"/>
      <c r="BA224" s="1827"/>
      <c r="BB224" s="1827"/>
      <c r="BC224" s="1827"/>
      <c r="BD224" s="1828"/>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29" t="s">
        <v>2059</v>
      </c>
      <c r="C226" s="1830"/>
      <c r="D226" s="1830"/>
      <c r="E226" s="1830"/>
      <c r="F226" s="1830"/>
      <c r="G226" s="1830"/>
      <c r="H226" s="1830"/>
      <c r="I226" s="1830"/>
      <c r="J226" s="1830"/>
      <c r="K226" s="1830"/>
      <c r="L226" s="1830"/>
      <c r="M226" s="1830"/>
      <c r="N226" s="1830"/>
      <c r="O226" s="1830"/>
      <c r="P226" s="1830"/>
      <c r="Q226" s="1830"/>
      <c r="R226" s="1830"/>
      <c r="S226" s="1830"/>
      <c r="T226" s="1830"/>
      <c r="U226" s="1830"/>
      <c r="V226" s="1830"/>
      <c r="W226" s="1830"/>
      <c r="X226" s="1830"/>
      <c r="Y226" s="1830"/>
      <c r="Z226" s="1830"/>
      <c r="AA226" s="1830"/>
      <c r="AB226" s="1830"/>
      <c r="AC226" s="1830"/>
      <c r="AD226" s="1830"/>
      <c r="AE226" s="1830"/>
      <c r="AF226" s="1830"/>
      <c r="AG226" s="1830"/>
      <c r="AH226" s="1830"/>
      <c r="AI226" s="1830"/>
      <c r="AJ226" s="1830"/>
      <c r="AK226" s="1830"/>
      <c r="AL226" s="1830"/>
      <c r="AM226" s="1830"/>
      <c r="AN226" s="1830"/>
      <c r="AO226" s="1830"/>
      <c r="AP226" s="1830"/>
      <c r="AQ226" s="1830"/>
      <c r="AR226" s="1830"/>
      <c r="AS226" s="1830"/>
      <c r="AT226" s="1830"/>
      <c r="AU226" s="1830"/>
      <c r="AV226" s="1830"/>
      <c r="AW226" s="1830"/>
      <c r="AX226" s="1830"/>
      <c r="AY226" s="1830"/>
      <c r="AZ226" s="1830"/>
      <c r="BA226" s="1830"/>
      <c r="BB226" s="1830"/>
      <c r="BC226" s="1830"/>
      <c r="BD226" s="1831"/>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2060</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1832" t="s">
        <v>2061</v>
      </c>
      <c r="I230" s="1832"/>
      <c r="J230" s="1832"/>
      <c r="K230" s="1832"/>
      <c r="L230" s="1832"/>
      <c r="M230" s="1832"/>
      <c r="N230" s="1832"/>
      <c r="O230" s="1832"/>
      <c r="P230" s="1832"/>
      <c r="Q230" s="1832"/>
      <c r="R230" s="1832"/>
      <c r="S230" s="1832"/>
      <c r="T230" s="1832"/>
      <c r="U230" s="1832"/>
      <c r="V230" s="1832"/>
      <c r="W230" s="1832"/>
      <c r="X230" s="1832"/>
      <c r="Y230" s="1832"/>
      <c r="Z230" s="1832"/>
      <c r="AA230" s="1832"/>
      <c r="AB230" s="1832"/>
      <c r="AC230" s="1832"/>
      <c r="AD230" s="1832"/>
      <c r="AE230" s="1832"/>
      <c r="AF230" s="1832"/>
      <c r="AG230" s="1832"/>
      <c r="AH230" s="1832"/>
      <c r="AI230" s="1832"/>
      <c r="AJ230" s="1832"/>
      <c r="AK230" s="1832"/>
      <c r="AL230" s="1832"/>
      <c r="AM230" s="1832"/>
      <c r="AN230" s="1832"/>
      <c r="AO230" s="1832"/>
      <c r="AP230" s="1832"/>
      <c r="AQ230" s="1832"/>
      <c r="AR230" s="1832"/>
      <c r="AS230" s="1832"/>
      <c r="AT230" s="1832"/>
      <c r="AU230" s="1832"/>
      <c r="AV230" s="1832"/>
      <c r="AW230" s="1832"/>
      <c r="AX230" s="1832"/>
      <c r="AY230" s="1832"/>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1815" t="s">
        <v>2062</v>
      </c>
      <c r="I232" s="1815"/>
      <c r="J232" s="1815"/>
      <c r="K232" s="1815"/>
      <c r="L232" s="1815"/>
      <c r="M232" s="1815"/>
      <c r="N232" s="1815"/>
      <c r="O232" s="1815"/>
      <c r="P232" s="1815"/>
      <c r="Q232" s="1815"/>
      <c r="R232" s="1815"/>
      <c r="S232" s="1815"/>
      <c r="T232" s="1815"/>
      <c r="U232" s="1815"/>
      <c r="V232" s="1815"/>
      <c r="W232" s="1815"/>
      <c r="X232" s="1815"/>
      <c r="Y232" s="1815"/>
      <c r="Z232" s="1815"/>
      <c r="AA232" s="1815"/>
      <c r="AB232" s="1815"/>
      <c r="AC232" s="1815"/>
      <c r="AD232" s="1815"/>
      <c r="AE232" s="1815"/>
      <c r="AF232" s="1815"/>
      <c r="AG232" s="1815"/>
      <c r="AH232" s="1815"/>
      <c r="AI232" s="1815"/>
      <c r="AJ232" s="1815"/>
      <c r="AK232" s="1815"/>
      <c r="AL232" s="1815"/>
      <c r="AM232" s="1815"/>
      <c r="AN232" s="1815"/>
      <c r="AO232" s="1815"/>
      <c r="AP232" s="1815"/>
      <c r="AQ232" s="1815"/>
      <c r="AR232" s="1815"/>
      <c r="AS232" s="1815"/>
      <c r="AT232" s="1815"/>
      <c r="AU232" s="1815"/>
      <c r="AV232" s="1815"/>
      <c r="AW232" s="1815"/>
      <c r="AX232" s="1815"/>
      <c r="AY232" s="1815"/>
      <c r="AZ232" s="1815"/>
      <c r="BA232" s="1079"/>
      <c r="BB232" s="1079"/>
      <c r="BC232" s="1079"/>
      <c r="BD232" s="1083"/>
      <c r="BE232" s="1083"/>
    </row>
    <row r="233" spans="1:57" ht="15.75" customHeight="1">
      <c r="A233" s="1079"/>
      <c r="B233" s="1078"/>
      <c r="C233" s="1079"/>
      <c r="D233" s="1079"/>
      <c r="E233" s="1079"/>
      <c r="F233" s="1079"/>
      <c r="G233" s="1079"/>
      <c r="H233" s="1815"/>
      <c r="I233" s="1815"/>
      <c r="J233" s="1815"/>
      <c r="K233" s="1815"/>
      <c r="L233" s="1815"/>
      <c r="M233" s="1815"/>
      <c r="N233" s="1815"/>
      <c r="O233" s="1815"/>
      <c r="P233" s="1815"/>
      <c r="Q233" s="1815"/>
      <c r="R233" s="1815"/>
      <c r="S233" s="1815"/>
      <c r="T233" s="1815"/>
      <c r="U233" s="1815"/>
      <c r="V233" s="1815"/>
      <c r="W233" s="1815"/>
      <c r="X233" s="1815"/>
      <c r="Y233" s="1815"/>
      <c r="Z233" s="1815"/>
      <c r="AA233" s="1815"/>
      <c r="AB233" s="1815"/>
      <c r="AC233" s="1815"/>
      <c r="AD233" s="1815"/>
      <c r="AE233" s="1815"/>
      <c r="AF233" s="1815"/>
      <c r="AG233" s="1815"/>
      <c r="AH233" s="1815"/>
      <c r="AI233" s="1815"/>
      <c r="AJ233" s="1815"/>
      <c r="AK233" s="1815"/>
      <c r="AL233" s="1815"/>
      <c r="AM233" s="1815"/>
      <c r="AN233" s="1815"/>
      <c r="AO233" s="1815"/>
      <c r="AP233" s="1815"/>
      <c r="AQ233" s="1815"/>
      <c r="AR233" s="1815"/>
      <c r="AS233" s="1815"/>
      <c r="AT233" s="1815"/>
      <c r="AU233" s="1815"/>
      <c r="AV233" s="1815"/>
      <c r="AW233" s="1815"/>
      <c r="AX233" s="1815"/>
      <c r="AY233" s="1815"/>
      <c r="AZ233" s="1815"/>
      <c r="BA233" s="1079"/>
      <c r="BB233" s="1079"/>
      <c r="BC233" s="1079"/>
      <c r="BD233" s="1083"/>
      <c r="BE233" s="1083"/>
    </row>
    <row r="234" spans="1:57" ht="15.75" customHeight="1">
      <c r="A234" s="1079"/>
      <c r="B234" s="1078"/>
      <c r="C234" s="1079"/>
      <c r="D234" s="1079"/>
      <c r="E234" s="1079"/>
      <c r="F234" s="1079"/>
      <c r="G234" s="1079"/>
      <c r="H234" s="1815"/>
      <c r="I234" s="1815"/>
      <c r="J234" s="1815"/>
      <c r="K234" s="1815"/>
      <c r="L234" s="1815"/>
      <c r="M234" s="1815"/>
      <c r="N234" s="1815"/>
      <c r="O234" s="1815"/>
      <c r="P234" s="1815"/>
      <c r="Q234" s="1815"/>
      <c r="R234" s="1815"/>
      <c r="S234" s="1815"/>
      <c r="T234" s="1815"/>
      <c r="U234" s="1815"/>
      <c r="V234" s="1815"/>
      <c r="W234" s="1815"/>
      <c r="X234" s="1815"/>
      <c r="Y234" s="1815"/>
      <c r="Z234" s="1815"/>
      <c r="AA234" s="1815"/>
      <c r="AB234" s="1815"/>
      <c r="AC234" s="1815"/>
      <c r="AD234" s="1815"/>
      <c r="AE234" s="1815"/>
      <c r="AF234" s="1815"/>
      <c r="AG234" s="1815"/>
      <c r="AH234" s="1815"/>
      <c r="AI234" s="1815"/>
      <c r="AJ234" s="1815"/>
      <c r="AK234" s="1815"/>
      <c r="AL234" s="1815"/>
      <c r="AM234" s="1815"/>
      <c r="AN234" s="1815"/>
      <c r="AO234" s="1815"/>
      <c r="AP234" s="1815"/>
      <c r="AQ234" s="1815"/>
      <c r="AR234" s="1815"/>
      <c r="AS234" s="1815"/>
      <c r="AT234" s="1815"/>
      <c r="AU234" s="1815"/>
      <c r="AV234" s="1815"/>
      <c r="AW234" s="1815"/>
      <c r="AX234" s="1815"/>
      <c r="AY234" s="1815"/>
      <c r="AZ234" s="1815"/>
      <c r="BA234" s="1079"/>
      <c r="BB234" s="1079"/>
      <c r="BC234" s="1079"/>
      <c r="BD234" s="1083"/>
      <c r="BE234" s="1083"/>
    </row>
    <row r="235" spans="1:57" ht="15.75" customHeight="1">
      <c r="A235" s="1079"/>
      <c r="B235" s="1078"/>
      <c r="C235" s="1079"/>
      <c r="D235" s="1079"/>
      <c r="E235" s="1079"/>
      <c r="F235" s="1079"/>
      <c r="G235" s="1079"/>
      <c r="H235" s="1815"/>
      <c r="I235" s="1815"/>
      <c r="J235" s="1815"/>
      <c r="K235" s="1815"/>
      <c r="L235" s="1815"/>
      <c r="M235" s="1815"/>
      <c r="N235" s="1815"/>
      <c r="O235" s="1815"/>
      <c r="P235" s="1815"/>
      <c r="Q235" s="1815"/>
      <c r="R235" s="1815"/>
      <c r="S235" s="1815"/>
      <c r="T235" s="1815"/>
      <c r="U235" s="1815"/>
      <c r="V235" s="1815"/>
      <c r="W235" s="1815"/>
      <c r="X235" s="1815"/>
      <c r="Y235" s="1815"/>
      <c r="Z235" s="1815"/>
      <c r="AA235" s="1815"/>
      <c r="AB235" s="1815"/>
      <c r="AC235" s="1815"/>
      <c r="AD235" s="1815"/>
      <c r="AE235" s="1815"/>
      <c r="AF235" s="1815"/>
      <c r="AG235" s="1815"/>
      <c r="AH235" s="1815"/>
      <c r="AI235" s="1815"/>
      <c r="AJ235" s="1815"/>
      <c r="AK235" s="1815"/>
      <c r="AL235" s="1815"/>
      <c r="AM235" s="1815"/>
      <c r="AN235" s="1815"/>
      <c r="AO235" s="1815"/>
      <c r="AP235" s="1815"/>
      <c r="AQ235" s="1815"/>
      <c r="AR235" s="1815"/>
      <c r="AS235" s="1815"/>
      <c r="AT235" s="1815"/>
      <c r="AU235" s="1815"/>
      <c r="AV235" s="1815"/>
      <c r="AW235" s="1815"/>
      <c r="AX235" s="1815"/>
      <c r="AY235" s="1815"/>
      <c r="AZ235" s="1815"/>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1816" t="s">
        <v>2063</v>
      </c>
      <c r="I237" s="1816"/>
      <c r="J237" s="1816"/>
      <c r="K237" s="1816"/>
      <c r="L237" s="1816"/>
      <c r="M237" s="1816"/>
      <c r="N237" s="1816"/>
      <c r="O237" s="1816"/>
      <c r="P237" s="1816"/>
      <c r="Q237" s="1816"/>
      <c r="R237" s="1816"/>
      <c r="S237" s="1816"/>
      <c r="T237" s="1816"/>
      <c r="U237" s="1816"/>
      <c r="V237" s="1816"/>
      <c r="W237" s="1816"/>
      <c r="X237" s="1816"/>
      <c r="Y237" s="1816"/>
      <c r="Z237" s="1816"/>
      <c r="AA237" s="1816"/>
      <c r="AB237" s="1816"/>
      <c r="AC237" s="1816"/>
      <c r="AD237" s="1816"/>
      <c r="AE237" s="1816"/>
      <c r="AF237" s="1816"/>
      <c r="AG237" s="1816"/>
      <c r="AH237" s="1816"/>
      <c r="AI237" s="1816"/>
      <c r="AJ237" s="1816"/>
      <c r="AK237" s="1816"/>
      <c r="AL237" s="1816"/>
      <c r="AM237" s="1816"/>
      <c r="AN237" s="1816"/>
      <c r="AO237" s="1816"/>
      <c r="AP237" s="1816"/>
      <c r="AQ237" s="1816"/>
      <c r="AR237" s="1816"/>
      <c r="AS237" s="1816"/>
      <c r="AT237" s="1816"/>
      <c r="AU237" s="1816"/>
      <c r="AV237" s="1816"/>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1806" t="s">
        <v>2064</v>
      </c>
      <c r="I239" s="1806"/>
      <c r="J239" s="1806"/>
      <c r="K239" s="1806"/>
      <c r="L239" s="1128"/>
      <c r="M239" s="1128"/>
      <c r="N239" s="1128"/>
      <c r="O239" s="1128"/>
      <c r="P239" s="1128"/>
      <c r="Q239" s="1128"/>
      <c r="R239" s="1128"/>
      <c r="S239" s="1817"/>
      <c r="T239" s="1818"/>
      <c r="U239" s="1818"/>
      <c r="V239" s="1818"/>
      <c r="W239" s="1818"/>
      <c r="X239" s="1818"/>
      <c r="Y239" s="1818"/>
      <c r="Z239" s="1818"/>
      <c r="AA239" s="1818"/>
      <c r="AB239" s="1818"/>
      <c r="AC239" s="1818"/>
      <c r="AD239" s="1818"/>
      <c r="AE239" s="1818"/>
      <c r="AF239" s="1818"/>
      <c r="AG239" s="1818"/>
      <c r="AH239" s="1818"/>
      <c r="AI239" s="1818"/>
      <c r="AJ239" s="1819"/>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1806" t="s">
        <v>1963</v>
      </c>
      <c r="I241" s="1806"/>
      <c r="J241" s="1806"/>
      <c r="K241" s="1130"/>
      <c r="L241" s="1128"/>
      <c r="M241" s="1128"/>
      <c r="N241" s="1128"/>
      <c r="O241" s="1128"/>
      <c r="P241" s="1128"/>
      <c r="Q241" s="1128"/>
      <c r="R241" s="1128"/>
      <c r="S241" s="1807"/>
      <c r="T241" s="1808"/>
      <c r="U241" s="1808"/>
      <c r="V241" s="1808"/>
      <c r="W241" s="1808"/>
      <c r="X241" s="1808"/>
      <c r="Y241" s="1808"/>
      <c r="Z241" s="1808"/>
      <c r="AA241" s="1808"/>
      <c r="AB241" s="1808"/>
      <c r="AC241" s="1808"/>
      <c r="AD241" s="1808"/>
      <c r="AE241" s="1808"/>
      <c r="AF241" s="1808"/>
      <c r="AG241" s="1808"/>
      <c r="AH241" s="1808"/>
      <c r="AI241" s="1808"/>
      <c r="AJ241" s="1809"/>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1806" t="s">
        <v>805</v>
      </c>
      <c r="I243" s="1806"/>
      <c r="J243" s="1130"/>
      <c r="K243" s="1130"/>
      <c r="L243" s="1128"/>
      <c r="M243" s="1128"/>
      <c r="N243" s="1128"/>
      <c r="O243" s="1128"/>
      <c r="P243" s="1128"/>
      <c r="Q243" s="1128"/>
      <c r="R243" s="1128"/>
      <c r="S243" s="1807"/>
      <c r="T243" s="1808"/>
      <c r="U243" s="1808"/>
      <c r="V243" s="1808"/>
      <c r="W243" s="1808"/>
      <c r="X243" s="1808"/>
      <c r="Y243" s="1808"/>
      <c r="Z243" s="1808"/>
      <c r="AA243" s="1808"/>
      <c r="AB243" s="1808"/>
      <c r="AC243" s="1808"/>
      <c r="AD243" s="1808"/>
      <c r="AE243" s="1808"/>
      <c r="AF243" s="1808"/>
      <c r="AG243" s="1808"/>
      <c r="AH243" s="1808"/>
      <c r="AI243" s="1808"/>
      <c r="AJ243" s="1809"/>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1810" t="s">
        <v>2065</v>
      </c>
      <c r="I245" s="1810"/>
      <c r="J245" s="1810"/>
      <c r="K245" s="1810"/>
      <c r="L245" s="1810"/>
      <c r="M245" s="1810"/>
      <c r="N245" s="1810"/>
      <c r="O245" s="1810"/>
      <c r="P245" s="1128"/>
      <c r="Q245" s="1128"/>
      <c r="R245" s="1128"/>
      <c r="S245" s="1807"/>
      <c r="T245" s="1808"/>
      <c r="U245" s="1808"/>
      <c r="V245" s="1808"/>
      <c r="W245" s="1808"/>
      <c r="X245" s="1808"/>
      <c r="Y245" s="1808"/>
      <c r="Z245" s="1808"/>
      <c r="AA245" s="1808"/>
      <c r="AB245" s="1808"/>
      <c r="AC245" s="1808"/>
      <c r="AD245" s="1808"/>
      <c r="AE245" s="1808"/>
      <c r="AF245" s="1808"/>
      <c r="AG245" s="1808"/>
      <c r="AH245" s="1808"/>
      <c r="AI245" s="1808"/>
      <c r="AJ245" s="1809"/>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1811" t="s">
        <v>2066</v>
      </c>
      <c r="I247" s="1811"/>
      <c r="J247" s="1128"/>
      <c r="K247" s="1128"/>
      <c r="L247" s="1128"/>
      <c r="M247" s="1128"/>
      <c r="N247" s="1128"/>
      <c r="O247" s="1128"/>
      <c r="P247" s="1128"/>
      <c r="Q247" s="1128"/>
      <c r="R247" s="1128"/>
      <c r="S247" s="1812"/>
      <c r="T247" s="1813"/>
      <c r="U247" s="1813"/>
      <c r="V247" s="1813"/>
      <c r="W247" s="1813"/>
      <c r="X247" s="1813"/>
      <c r="Y247" s="1813"/>
      <c r="Z247" s="1813"/>
      <c r="AA247" s="1813"/>
      <c r="AB247" s="1813"/>
      <c r="AC247" s="1813"/>
      <c r="AD247" s="1813"/>
      <c r="AE247" s="1813"/>
      <c r="AF247" s="1813"/>
      <c r="AG247" s="1813"/>
      <c r="AH247" s="1813"/>
      <c r="AI247" s="1813"/>
      <c r="AJ247" s="1814"/>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72" zoomScaleNormal="130" workbookViewId="0">
      <selection activeCell="AB50" sqref="AB50:AF50"/>
    </sheetView>
  </sheetViews>
  <sheetFormatPr defaultColWidth="0" defaultRowHeight="13.15" customHeight="1"/>
  <cols>
    <col min="1" max="1" width="1.5703125" style="305" customWidth="1"/>
    <col min="2" max="2" width="0.85546875" style="305" customWidth="1"/>
    <col min="3" max="18" width="2.5703125" style="305" customWidth="1"/>
    <col min="19" max="19" width="6.28515625" style="305" customWidth="1"/>
    <col min="20" max="39" width="2.7109375" style="305" customWidth="1"/>
    <col min="40" max="40" width="1.5703125" style="305" customWidth="1"/>
    <col min="41" max="256" width="2.5703125" style="305" hidden="1"/>
    <col min="257" max="257" width="1.5703125" style="305" hidden="1" customWidth="1"/>
    <col min="258" max="258" width="0.85546875" style="305" hidden="1" customWidth="1"/>
    <col min="259" max="274" width="2.5703125" style="305" hidden="1" customWidth="1"/>
    <col min="275" max="275" width="4" style="305" hidden="1" customWidth="1"/>
    <col min="276" max="279" width="2.5703125" style="305" hidden="1" customWidth="1"/>
    <col min="280" max="280" width="2.42578125" style="305" hidden="1" customWidth="1"/>
    <col min="281" max="284" width="2.5703125" style="305" hidden="1" customWidth="1"/>
    <col min="285" max="285" width="2.42578125" style="305" hidden="1" customWidth="1"/>
    <col min="286" max="289" width="2.5703125" style="305" hidden="1" customWidth="1"/>
    <col min="290" max="295" width="2.42578125" style="305" hidden="1" customWidth="1"/>
    <col min="296" max="296" width="1.5703125" style="305" hidden="1" customWidth="1"/>
    <col min="297" max="512" width="2.5703125" style="305" hidden="1"/>
    <col min="513" max="513" width="1.5703125" style="305" hidden="1" customWidth="1"/>
    <col min="514" max="514" width="0.85546875" style="305" hidden="1" customWidth="1"/>
    <col min="515" max="530" width="2.5703125" style="305" hidden="1" customWidth="1"/>
    <col min="531" max="531" width="4" style="305" hidden="1" customWidth="1"/>
    <col min="532" max="535" width="2.5703125" style="305" hidden="1" customWidth="1"/>
    <col min="536" max="536" width="2.42578125" style="305" hidden="1" customWidth="1"/>
    <col min="537" max="540" width="2.5703125" style="305" hidden="1" customWidth="1"/>
    <col min="541" max="541" width="2.42578125" style="305" hidden="1" customWidth="1"/>
    <col min="542" max="545" width="2.5703125" style="305" hidden="1" customWidth="1"/>
    <col min="546" max="551" width="2.42578125" style="305" hidden="1" customWidth="1"/>
    <col min="552" max="552" width="1.5703125" style="305" hidden="1" customWidth="1"/>
    <col min="553" max="768" width="2.5703125" style="305" hidden="1"/>
    <col min="769" max="769" width="1.5703125" style="305" hidden="1" customWidth="1"/>
    <col min="770" max="770" width="0.85546875" style="305" hidden="1" customWidth="1"/>
    <col min="771" max="786" width="2.5703125" style="305" hidden="1" customWidth="1"/>
    <col min="787" max="787" width="4" style="305" hidden="1" customWidth="1"/>
    <col min="788" max="791" width="2.5703125" style="305" hidden="1" customWidth="1"/>
    <col min="792" max="792" width="2.42578125" style="305" hidden="1" customWidth="1"/>
    <col min="793" max="796" width="2.5703125" style="305" hidden="1" customWidth="1"/>
    <col min="797" max="797" width="2.42578125" style="305" hidden="1" customWidth="1"/>
    <col min="798" max="801" width="2.5703125" style="305" hidden="1" customWidth="1"/>
    <col min="802" max="807" width="2.42578125" style="305" hidden="1" customWidth="1"/>
    <col min="808" max="808" width="1.5703125" style="305" hidden="1" customWidth="1"/>
    <col min="809" max="1024" width="2.5703125" style="305" hidden="1"/>
    <col min="1025" max="1025" width="1.5703125" style="305" hidden="1" customWidth="1"/>
    <col min="1026" max="1026" width="0.85546875" style="305" hidden="1" customWidth="1"/>
    <col min="1027" max="1042" width="2.5703125" style="305" hidden="1" customWidth="1"/>
    <col min="1043" max="1043" width="4" style="305" hidden="1" customWidth="1"/>
    <col min="1044" max="1047" width="2.5703125" style="305" hidden="1" customWidth="1"/>
    <col min="1048" max="1048" width="2.42578125" style="305" hidden="1" customWidth="1"/>
    <col min="1049" max="1052" width="2.5703125" style="305" hidden="1" customWidth="1"/>
    <col min="1053" max="1053" width="2.42578125" style="305" hidden="1" customWidth="1"/>
    <col min="1054" max="1057" width="2.5703125" style="305" hidden="1" customWidth="1"/>
    <col min="1058" max="1063" width="2.42578125" style="305" hidden="1" customWidth="1"/>
    <col min="1064" max="1064" width="1.5703125" style="305" hidden="1" customWidth="1"/>
    <col min="1065" max="1280" width="2.5703125" style="305" hidden="1"/>
    <col min="1281" max="1281" width="1.5703125" style="305" hidden="1" customWidth="1"/>
    <col min="1282" max="1282" width="0.85546875" style="305" hidden="1" customWidth="1"/>
    <col min="1283" max="1298" width="2.5703125" style="305" hidden="1" customWidth="1"/>
    <col min="1299" max="1299" width="4" style="305" hidden="1" customWidth="1"/>
    <col min="1300" max="1303" width="2.5703125" style="305" hidden="1" customWidth="1"/>
    <col min="1304" max="1304" width="2.42578125" style="305" hidden="1" customWidth="1"/>
    <col min="1305" max="1308" width="2.5703125" style="305" hidden="1" customWidth="1"/>
    <col min="1309" max="1309" width="2.42578125" style="305" hidden="1" customWidth="1"/>
    <col min="1310" max="1313" width="2.5703125" style="305" hidden="1" customWidth="1"/>
    <col min="1314" max="1319" width="2.42578125" style="305" hidden="1" customWidth="1"/>
    <col min="1320" max="1320" width="1.5703125" style="305" hidden="1" customWidth="1"/>
    <col min="1321" max="1536" width="2.5703125" style="305" hidden="1"/>
    <col min="1537" max="1537" width="1.5703125" style="305" hidden="1" customWidth="1"/>
    <col min="1538" max="1538" width="0.85546875" style="305" hidden="1" customWidth="1"/>
    <col min="1539" max="1554" width="2.5703125" style="305" hidden="1" customWidth="1"/>
    <col min="1555" max="1555" width="4" style="305" hidden="1" customWidth="1"/>
    <col min="1556" max="1559" width="2.5703125" style="305" hidden="1" customWidth="1"/>
    <col min="1560" max="1560" width="2.42578125" style="305" hidden="1" customWidth="1"/>
    <col min="1561" max="1564" width="2.5703125" style="305" hidden="1" customWidth="1"/>
    <col min="1565" max="1565" width="2.42578125" style="305" hidden="1" customWidth="1"/>
    <col min="1566" max="1569" width="2.5703125" style="305" hidden="1" customWidth="1"/>
    <col min="1570" max="1575" width="2.42578125" style="305" hidden="1" customWidth="1"/>
    <col min="1576" max="1576" width="1.5703125" style="305" hidden="1" customWidth="1"/>
    <col min="1577" max="1792" width="2.5703125" style="305" hidden="1"/>
    <col min="1793" max="1793" width="1.5703125" style="305" hidden="1" customWidth="1"/>
    <col min="1794" max="1794" width="0.85546875" style="305" hidden="1" customWidth="1"/>
    <col min="1795" max="1810" width="2.5703125" style="305" hidden="1" customWidth="1"/>
    <col min="1811" max="1811" width="4" style="305" hidden="1" customWidth="1"/>
    <col min="1812" max="1815" width="2.5703125" style="305" hidden="1" customWidth="1"/>
    <col min="1816" max="1816" width="2.42578125" style="305" hidden="1" customWidth="1"/>
    <col min="1817" max="1820" width="2.5703125" style="305" hidden="1" customWidth="1"/>
    <col min="1821" max="1821" width="2.42578125" style="305" hidden="1" customWidth="1"/>
    <col min="1822" max="1825" width="2.5703125" style="305" hidden="1" customWidth="1"/>
    <col min="1826" max="1831" width="2.42578125" style="305" hidden="1" customWidth="1"/>
    <col min="1832" max="1832" width="1.5703125" style="305" hidden="1" customWidth="1"/>
    <col min="1833" max="2048" width="2.5703125" style="305" hidden="1"/>
    <col min="2049" max="2049" width="1.5703125" style="305" hidden="1" customWidth="1"/>
    <col min="2050" max="2050" width="0.85546875" style="305" hidden="1" customWidth="1"/>
    <col min="2051" max="2066" width="2.5703125" style="305" hidden="1" customWidth="1"/>
    <col min="2067" max="2067" width="4" style="305" hidden="1" customWidth="1"/>
    <col min="2068" max="2071" width="2.5703125" style="305" hidden="1" customWidth="1"/>
    <col min="2072" max="2072" width="2.42578125" style="305" hidden="1" customWidth="1"/>
    <col min="2073" max="2076" width="2.5703125" style="305" hidden="1" customWidth="1"/>
    <col min="2077" max="2077" width="2.42578125" style="305" hidden="1" customWidth="1"/>
    <col min="2078" max="2081" width="2.5703125" style="305" hidden="1" customWidth="1"/>
    <col min="2082" max="2087" width="2.42578125" style="305" hidden="1" customWidth="1"/>
    <col min="2088" max="2088" width="1.5703125" style="305" hidden="1" customWidth="1"/>
    <col min="2089" max="2304" width="2.5703125" style="305" hidden="1"/>
    <col min="2305" max="2305" width="1.5703125" style="305" hidden="1" customWidth="1"/>
    <col min="2306" max="2306" width="0.85546875" style="305" hidden="1" customWidth="1"/>
    <col min="2307" max="2322" width="2.5703125" style="305" hidden="1" customWidth="1"/>
    <col min="2323" max="2323" width="4" style="305" hidden="1" customWidth="1"/>
    <col min="2324" max="2327" width="2.5703125" style="305" hidden="1" customWidth="1"/>
    <col min="2328" max="2328" width="2.42578125" style="305" hidden="1" customWidth="1"/>
    <col min="2329" max="2332" width="2.5703125" style="305" hidden="1" customWidth="1"/>
    <col min="2333" max="2333" width="2.42578125" style="305" hidden="1" customWidth="1"/>
    <col min="2334" max="2337" width="2.5703125" style="305" hidden="1" customWidth="1"/>
    <col min="2338" max="2343" width="2.42578125" style="305" hidden="1" customWidth="1"/>
    <col min="2344" max="2344" width="1.5703125" style="305" hidden="1" customWidth="1"/>
    <col min="2345" max="2560" width="2.5703125" style="305" hidden="1"/>
    <col min="2561" max="2561" width="1.5703125" style="305" hidden="1" customWidth="1"/>
    <col min="2562" max="2562" width="0.85546875" style="305" hidden="1" customWidth="1"/>
    <col min="2563" max="2578" width="2.5703125" style="305" hidden="1" customWidth="1"/>
    <col min="2579" max="2579" width="4" style="305" hidden="1" customWidth="1"/>
    <col min="2580" max="2583" width="2.5703125" style="305" hidden="1" customWidth="1"/>
    <col min="2584" max="2584" width="2.42578125" style="305" hidden="1" customWidth="1"/>
    <col min="2585" max="2588" width="2.5703125" style="305" hidden="1" customWidth="1"/>
    <col min="2589" max="2589" width="2.42578125" style="305" hidden="1" customWidth="1"/>
    <col min="2590" max="2593" width="2.5703125" style="305" hidden="1" customWidth="1"/>
    <col min="2594" max="2599" width="2.42578125" style="305" hidden="1" customWidth="1"/>
    <col min="2600" max="2600" width="1.5703125" style="305" hidden="1" customWidth="1"/>
    <col min="2601" max="2816" width="2.5703125" style="305" hidden="1"/>
    <col min="2817" max="2817" width="1.5703125" style="305" hidden="1" customWidth="1"/>
    <col min="2818" max="2818" width="0.85546875" style="305" hidden="1" customWidth="1"/>
    <col min="2819" max="2834" width="2.5703125" style="305" hidden="1" customWidth="1"/>
    <col min="2835" max="2835" width="4" style="305" hidden="1" customWidth="1"/>
    <col min="2836" max="2839" width="2.5703125" style="305" hidden="1" customWidth="1"/>
    <col min="2840" max="2840" width="2.42578125" style="305" hidden="1" customWidth="1"/>
    <col min="2841" max="2844" width="2.5703125" style="305" hidden="1" customWidth="1"/>
    <col min="2845" max="2845" width="2.42578125" style="305" hidden="1" customWidth="1"/>
    <col min="2846" max="2849" width="2.5703125" style="305" hidden="1" customWidth="1"/>
    <col min="2850" max="2855" width="2.42578125" style="305" hidden="1" customWidth="1"/>
    <col min="2856" max="2856" width="1.5703125" style="305" hidden="1" customWidth="1"/>
    <col min="2857" max="3072" width="2.5703125" style="305" hidden="1"/>
    <col min="3073" max="3073" width="1.5703125" style="305" hidden="1" customWidth="1"/>
    <col min="3074" max="3074" width="0.85546875" style="305" hidden="1" customWidth="1"/>
    <col min="3075" max="3090" width="2.5703125" style="305" hidden="1" customWidth="1"/>
    <col min="3091" max="3091" width="4" style="305" hidden="1" customWidth="1"/>
    <col min="3092" max="3095" width="2.5703125" style="305" hidden="1" customWidth="1"/>
    <col min="3096" max="3096" width="2.42578125" style="305" hidden="1" customWidth="1"/>
    <col min="3097" max="3100" width="2.5703125" style="305" hidden="1" customWidth="1"/>
    <col min="3101" max="3101" width="2.42578125" style="305" hidden="1" customWidth="1"/>
    <col min="3102" max="3105" width="2.5703125" style="305" hidden="1" customWidth="1"/>
    <col min="3106" max="3111" width="2.42578125" style="305" hidden="1" customWidth="1"/>
    <col min="3112" max="3112" width="1.5703125" style="305" hidden="1" customWidth="1"/>
    <col min="3113" max="3328" width="2.5703125" style="305" hidden="1"/>
    <col min="3329" max="3329" width="1.5703125" style="305" hidden="1" customWidth="1"/>
    <col min="3330" max="3330" width="0.85546875" style="305" hidden="1" customWidth="1"/>
    <col min="3331" max="3346" width="2.5703125" style="305" hidden="1" customWidth="1"/>
    <col min="3347" max="3347" width="4" style="305" hidden="1" customWidth="1"/>
    <col min="3348" max="3351" width="2.5703125" style="305" hidden="1" customWidth="1"/>
    <col min="3352" max="3352" width="2.42578125" style="305" hidden="1" customWidth="1"/>
    <col min="3353" max="3356" width="2.5703125" style="305" hidden="1" customWidth="1"/>
    <col min="3357" max="3357" width="2.42578125" style="305" hidden="1" customWidth="1"/>
    <col min="3358" max="3361" width="2.5703125" style="305" hidden="1" customWidth="1"/>
    <col min="3362" max="3367" width="2.42578125" style="305" hidden="1" customWidth="1"/>
    <col min="3368" max="3368" width="1.5703125" style="305" hidden="1" customWidth="1"/>
    <col min="3369" max="3584" width="2.5703125" style="305" hidden="1"/>
    <col min="3585" max="3585" width="1.5703125" style="305" hidden="1" customWidth="1"/>
    <col min="3586" max="3586" width="0.85546875" style="305" hidden="1" customWidth="1"/>
    <col min="3587" max="3602" width="2.5703125" style="305" hidden="1" customWidth="1"/>
    <col min="3603" max="3603" width="4" style="305" hidden="1" customWidth="1"/>
    <col min="3604" max="3607" width="2.5703125" style="305" hidden="1" customWidth="1"/>
    <col min="3608" max="3608" width="2.42578125" style="305" hidden="1" customWidth="1"/>
    <col min="3609" max="3612" width="2.5703125" style="305" hidden="1" customWidth="1"/>
    <col min="3613" max="3613" width="2.42578125" style="305" hidden="1" customWidth="1"/>
    <col min="3614" max="3617" width="2.5703125" style="305" hidden="1" customWidth="1"/>
    <col min="3618" max="3623" width="2.42578125" style="305" hidden="1" customWidth="1"/>
    <col min="3624" max="3624" width="1.5703125" style="305" hidden="1" customWidth="1"/>
    <col min="3625" max="3840" width="2.5703125" style="305" hidden="1"/>
    <col min="3841" max="3841" width="1.5703125" style="305" hidden="1" customWidth="1"/>
    <col min="3842" max="3842" width="0.85546875" style="305" hidden="1" customWidth="1"/>
    <col min="3843" max="3858" width="2.5703125" style="305" hidden="1" customWidth="1"/>
    <col min="3859" max="3859" width="4" style="305" hidden="1" customWidth="1"/>
    <col min="3860" max="3863" width="2.5703125" style="305" hidden="1" customWidth="1"/>
    <col min="3864" max="3864" width="2.42578125" style="305" hidden="1" customWidth="1"/>
    <col min="3865" max="3868" width="2.5703125" style="305" hidden="1" customWidth="1"/>
    <col min="3869" max="3869" width="2.42578125" style="305" hidden="1" customWidth="1"/>
    <col min="3870" max="3873" width="2.5703125" style="305" hidden="1" customWidth="1"/>
    <col min="3874" max="3879" width="2.42578125" style="305" hidden="1" customWidth="1"/>
    <col min="3880" max="3880" width="1.5703125" style="305" hidden="1" customWidth="1"/>
    <col min="3881" max="4096" width="2.5703125" style="305" hidden="1"/>
    <col min="4097" max="4097" width="1.5703125" style="305" hidden="1" customWidth="1"/>
    <col min="4098" max="4098" width="0.85546875" style="305" hidden="1" customWidth="1"/>
    <col min="4099" max="4114" width="2.5703125" style="305" hidden="1" customWidth="1"/>
    <col min="4115" max="4115" width="4" style="305" hidden="1" customWidth="1"/>
    <col min="4116" max="4119" width="2.5703125" style="305" hidden="1" customWidth="1"/>
    <col min="4120" max="4120" width="2.42578125" style="305" hidden="1" customWidth="1"/>
    <col min="4121" max="4124" width="2.5703125" style="305" hidden="1" customWidth="1"/>
    <col min="4125" max="4125" width="2.42578125" style="305" hidden="1" customWidth="1"/>
    <col min="4126" max="4129" width="2.5703125" style="305" hidden="1" customWidth="1"/>
    <col min="4130" max="4135" width="2.42578125" style="305" hidden="1" customWidth="1"/>
    <col min="4136" max="4136" width="1.5703125" style="305" hidden="1" customWidth="1"/>
    <col min="4137" max="4352" width="2.5703125" style="305" hidden="1"/>
    <col min="4353" max="4353" width="1.5703125" style="305" hidden="1" customWidth="1"/>
    <col min="4354" max="4354" width="0.85546875" style="305" hidden="1" customWidth="1"/>
    <col min="4355" max="4370" width="2.5703125" style="305" hidden="1" customWidth="1"/>
    <col min="4371" max="4371" width="4" style="305" hidden="1" customWidth="1"/>
    <col min="4372" max="4375" width="2.5703125" style="305" hidden="1" customWidth="1"/>
    <col min="4376" max="4376" width="2.42578125" style="305" hidden="1" customWidth="1"/>
    <col min="4377" max="4380" width="2.5703125" style="305" hidden="1" customWidth="1"/>
    <col min="4381" max="4381" width="2.42578125" style="305" hidden="1" customWidth="1"/>
    <col min="4382" max="4385" width="2.5703125" style="305" hidden="1" customWidth="1"/>
    <col min="4386" max="4391" width="2.42578125" style="305" hidden="1" customWidth="1"/>
    <col min="4392" max="4392" width="1.5703125" style="305" hidden="1" customWidth="1"/>
    <col min="4393" max="4608" width="2.5703125" style="305" hidden="1"/>
    <col min="4609" max="4609" width="1.5703125" style="305" hidden="1" customWidth="1"/>
    <col min="4610" max="4610" width="0.85546875" style="305" hidden="1" customWidth="1"/>
    <col min="4611" max="4626" width="2.5703125" style="305" hidden="1" customWidth="1"/>
    <col min="4627" max="4627" width="4" style="305" hidden="1" customWidth="1"/>
    <col min="4628" max="4631" width="2.5703125" style="305" hidden="1" customWidth="1"/>
    <col min="4632" max="4632" width="2.42578125" style="305" hidden="1" customWidth="1"/>
    <col min="4633" max="4636" width="2.5703125" style="305" hidden="1" customWidth="1"/>
    <col min="4637" max="4637" width="2.42578125" style="305" hidden="1" customWidth="1"/>
    <col min="4638" max="4641" width="2.5703125" style="305" hidden="1" customWidth="1"/>
    <col min="4642" max="4647" width="2.42578125" style="305" hidden="1" customWidth="1"/>
    <col min="4648" max="4648" width="1.5703125" style="305" hidden="1" customWidth="1"/>
    <col min="4649" max="4864" width="2.5703125" style="305" hidden="1"/>
    <col min="4865" max="4865" width="1.5703125" style="305" hidden="1" customWidth="1"/>
    <col min="4866" max="4866" width="0.85546875" style="305" hidden="1" customWidth="1"/>
    <col min="4867" max="4882" width="2.5703125" style="305" hidden="1" customWidth="1"/>
    <col min="4883" max="4883" width="4" style="305" hidden="1" customWidth="1"/>
    <col min="4884" max="4887" width="2.5703125" style="305" hidden="1" customWidth="1"/>
    <col min="4888" max="4888" width="2.42578125" style="305" hidden="1" customWidth="1"/>
    <col min="4889" max="4892" width="2.5703125" style="305" hidden="1" customWidth="1"/>
    <col min="4893" max="4893" width="2.42578125" style="305" hidden="1" customWidth="1"/>
    <col min="4894" max="4897" width="2.5703125" style="305" hidden="1" customWidth="1"/>
    <col min="4898" max="4903" width="2.42578125" style="305" hidden="1" customWidth="1"/>
    <col min="4904" max="4904" width="1.5703125" style="305" hidden="1" customWidth="1"/>
    <col min="4905" max="5120" width="2.5703125" style="305" hidden="1"/>
    <col min="5121" max="5121" width="1.5703125" style="305" hidden="1" customWidth="1"/>
    <col min="5122" max="5122" width="0.85546875" style="305" hidden="1" customWidth="1"/>
    <col min="5123" max="5138" width="2.5703125" style="305" hidden="1" customWidth="1"/>
    <col min="5139" max="5139" width="4" style="305" hidden="1" customWidth="1"/>
    <col min="5140" max="5143" width="2.5703125" style="305" hidden="1" customWidth="1"/>
    <col min="5144" max="5144" width="2.42578125" style="305" hidden="1" customWidth="1"/>
    <col min="5145" max="5148" width="2.5703125" style="305" hidden="1" customWidth="1"/>
    <col min="5149" max="5149" width="2.42578125" style="305" hidden="1" customWidth="1"/>
    <col min="5150" max="5153" width="2.5703125" style="305" hidden="1" customWidth="1"/>
    <col min="5154" max="5159" width="2.42578125" style="305" hidden="1" customWidth="1"/>
    <col min="5160" max="5160" width="1.5703125" style="305" hidden="1" customWidth="1"/>
    <col min="5161" max="5376" width="2.5703125" style="305" hidden="1"/>
    <col min="5377" max="5377" width="1.5703125" style="305" hidden="1" customWidth="1"/>
    <col min="5378" max="5378" width="0.85546875" style="305" hidden="1" customWidth="1"/>
    <col min="5379" max="5394" width="2.5703125" style="305" hidden="1" customWidth="1"/>
    <col min="5395" max="5395" width="4" style="305" hidden="1" customWidth="1"/>
    <col min="5396" max="5399" width="2.5703125" style="305" hidden="1" customWidth="1"/>
    <col min="5400" max="5400" width="2.42578125" style="305" hidden="1" customWidth="1"/>
    <col min="5401" max="5404" width="2.5703125" style="305" hidden="1" customWidth="1"/>
    <col min="5405" max="5405" width="2.42578125" style="305" hidden="1" customWidth="1"/>
    <col min="5406" max="5409" width="2.5703125" style="305" hidden="1" customWidth="1"/>
    <col min="5410" max="5415" width="2.42578125" style="305" hidden="1" customWidth="1"/>
    <col min="5416" max="5416" width="1.5703125" style="305" hidden="1" customWidth="1"/>
    <col min="5417" max="5632" width="2.5703125" style="305" hidden="1"/>
    <col min="5633" max="5633" width="1.5703125" style="305" hidden="1" customWidth="1"/>
    <col min="5634" max="5634" width="0.85546875" style="305" hidden="1" customWidth="1"/>
    <col min="5635" max="5650" width="2.5703125" style="305" hidden="1" customWidth="1"/>
    <col min="5651" max="5651" width="4" style="305" hidden="1" customWidth="1"/>
    <col min="5652" max="5655" width="2.5703125" style="305" hidden="1" customWidth="1"/>
    <col min="5656" max="5656" width="2.42578125" style="305" hidden="1" customWidth="1"/>
    <col min="5657" max="5660" width="2.5703125" style="305" hidden="1" customWidth="1"/>
    <col min="5661" max="5661" width="2.42578125" style="305" hidden="1" customWidth="1"/>
    <col min="5662" max="5665" width="2.5703125" style="305" hidden="1" customWidth="1"/>
    <col min="5666" max="5671" width="2.42578125" style="305" hidden="1" customWidth="1"/>
    <col min="5672" max="5672" width="1.5703125" style="305" hidden="1" customWidth="1"/>
    <col min="5673" max="5888" width="2.5703125" style="305" hidden="1"/>
    <col min="5889" max="5889" width="1.5703125" style="305" hidden="1" customWidth="1"/>
    <col min="5890" max="5890" width="0.85546875" style="305" hidden="1" customWidth="1"/>
    <col min="5891" max="5906" width="2.5703125" style="305" hidden="1" customWidth="1"/>
    <col min="5907" max="5907" width="4" style="305" hidden="1" customWidth="1"/>
    <col min="5908" max="5911" width="2.5703125" style="305" hidden="1" customWidth="1"/>
    <col min="5912" max="5912" width="2.42578125" style="305" hidden="1" customWidth="1"/>
    <col min="5913" max="5916" width="2.5703125" style="305" hidden="1" customWidth="1"/>
    <col min="5917" max="5917" width="2.42578125" style="305" hidden="1" customWidth="1"/>
    <col min="5918" max="5921" width="2.5703125" style="305" hidden="1" customWidth="1"/>
    <col min="5922" max="5927" width="2.42578125" style="305" hidden="1" customWidth="1"/>
    <col min="5928" max="5928" width="1.5703125" style="305" hidden="1" customWidth="1"/>
    <col min="5929" max="6144" width="2.5703125" style="305" hidden="1"/>
    <col min="6145" max="6145" width="1.5703125" style="305" hidden="1" customWidth="1"/>
    <col min="6146" max="6146" width="0.85546875" style="305" hidden="1" customWidth="1"/>
    <col min="6147" max="6162" width="2.5703125" style="305" hidden="1" customWidth="1"/>
    <col min="6163" max="6163" width="4" style="305" hidden="1" customWidth="1"/>
    <col min="6164" max="6167" width="2.5703125" style="305" hidden="1" customWidth="1"/>
    <col min="6168" max="6168" width="2.42578125" style="305" hidden="1" customWidth="1"/>
    <col min="6169" max="6172" width="2.5703125" style="305" hidden="1" customWidth="1"/>
    <col min="6173" max="6173" width="2.42578125" style="305" hidden="1" customWidth="1"/>
    <col min="6174" max="6177" width="2.5703125" style="305" hidden="1" customWidth="1"/>
    <col min="6178" max="6183" width="2.42578125" style="305" hidden="1" customWidth="1"/>
    <col min="6184" max="6184" width="1.5703125" style="305" hidden="1" customWidth="1"/>
    <col min="6185" max="6400" width="2.5703125" style="305" hidden="1"/>
    <col min="6401" max="6401" width="1.5703125" style="305" hidden="1" customWidth="1"/>
    <col min="6402" max="6402" width="0.85546875" style="305" hidden="1" customWidth="1"/>
    <col min="6403" max="6418" width="2.5703125" style="305" hidden="1" customWidth="1"/>
    <col min="6419" max="6419" width="4" style="305" hidden="1" customWidth="1"/>
    <col min="6420" max="6423" width="2.5703125" style="305" hidden="1" customWidth="1"/>
    <col min="6424" max="6424" width="2.42578125" style="305" hidden="1" customWidth="1"/>
    <col min="6425" max="6428" width="2.5703125" style="305" hidden="1" customWidth="1"/>
    <col min="6429" max="6429" width="2.42578125" style="305" hidden="1" customWidth="1"/>
    <col min="6430" max="6433" width="2.5703125" style="305" hidden="1" customWidth="1"/>
    <col min="6434" max="6439" width="2.42578125" style="305" hidden="1" customWidth="1"/>
    <col min="6440" max="6440" width="1.5703125" style="305" hidden="1" customWidth="1"/>
    <col min="6441" max="6656" width="2.5703125" style="305" hidden="1"/>
    <col min="6657" max="6657" width="1.5703125" style="305" hidden="1" customWidth="1"/>
    <col min="6658" max="6658" width="0.85546875" style="305" hidden="1" customWidth="1"/>
    <col min="6659" max="6674" width="2.5703125" style="305" hidden="1" customWidth="1"/>
    <col min="6675" max="6675" width="4" style="305" hidden="1" customWidth="1"/>
    <col min="6676" max="6679" width="2.5703125" style="305" hidden="1" customWidth="1"/>
    <col min="6680" max="6680" width="2.42578125" style="305" hidden="1" customWidth="1"/>
    <col min="6681" max="6684" width="2.5703125" style="305" hidden="1" customWidth="1"/>
    <col min="6685" max="6685" width="2.42578125" style="305" hidden="1" customWidth="1"/>
    <col min="6686" max="6689" width="2.5703125" style="305" hidden="1" customWidth="1"/>
    <col min="6690" max="6695" width="2.42578125" style="305" hidden="1" customWidth="1"/>
    <col min="6696" max="6696" width="1.5703125" style="305" hidden="1" customWidth="1"/>
    <col min="6697" max="6912" width="2.5703125" style="305" hidden="1"/>
    <col min="6913" max="6913" width="1.5703125" style="305" hidden="1" customWidth="1"/>
    <col min="6914" max="6914" width="0.85546875" style="305" hidden="1" customWidth="1"/>
    <col min="6915" max="6930" width="2.5703125" style="305" hidden="1" customWidth="1"/>
    <col min="6931" max="6931" width="4" style="305" hidden="1" customWidth="1"/>
    <col min="6932" max="6935" width="2.5703125" style="305" hidden="1" customWidth="1"/>
    <col min="6936" max="6936" width="2.42578125" style="305" hidden="1" customWidth="1"/>
    <col min="6937" max="6940" width="2.5703125" style="305" hidden="1" customWidth="1"/>
    <col min="6941" max="6941" width="2.42578125" style="305" hidden="1" customWidth="1"/>
    <col min="6942" max="6945" width="2.5703125" style="305" hidden="1" customWidth="1"/>
    <col min="6946" max="6951" width="2.42578125" style="305" hidden="1" customWidth="1"/>
    <col min="6952" max="6952" width="1.5703125" style="305" hidden="1" customWidth="1"/>
    <col min="6953" max="7168" width="2.5703125" style="305" hidden="1"/>
    <col min="7169" max="7169" width="1.5703125" style="305" hidden="1" customWidth="1"/>
    <col min="7170" max="7170" width="0.85546875" style="305" hidden="1" customWidth="1"/>
    <col min="7171" max="7186" width="2.5703125" style="305" hidden="1" customWidth="1"/>
    <col min="7187" max="7187" width="4" style="305" hidden="1" customWidth="1"/>
    <col min="7188" max="7191" width="2.5703125" style="305" hidden="1" customWidth="1"/>
    <col min="7192" max="7192" width="2.42578125" style="305" hidden="1" customWidth="1"/>
    <col min="7193" max="7196" width="2.5703125" style="305" hidden="1" customWidth="1"/>
    <col min="7197" max="7197" width="2.42578125" style="305" hidden="1" customWidth="1"/>
    <col min="7198" max="7201" width="2.5703125" style="305" hidden="1" customWidth="1"/>
    <col min="7202" max="7207" width="2.42578125" style="305" hidden="1" customWidth="1"/>
    <col min="7208" max="7208" width="1.5703125" style="305" hidden="1" customWidth="1"/>
    <col min="7209" max="7424" width="2.5703125" style="305" hidden="1"/>
    <col min="7425" max="7425" width="1.5703125" style="305" hidden="1" customWidth="1"/>
    <col min="7426" max="7426" width="0.85546875" style="305" hidden="1" customWidth="1"/>
    <col min="7427" max="7442" width="2.5703125" style="305" hidden="1" customWidth="1"/>
    <col min="7443" max="7443" width="4" style="305" hidden="1" customWidth="1"/>
    <col min="7444" max="7447" width="2.5703125" style="305" hidden="1" customWidth="1"/>
    <col min="7448" max="7448" width="2.42578125" style="305" hidden="1" customWidth="1"/>
    <col min="7449" max="7452" width="2.5703125" style="305" hidden="1" customWidth="1"/>
    <col min="7453" max="7453" width="2.42578125" style="305" hidden="1" customWidth="1"/>
    <col min="7454" max="7457" width="2.5703125" style="305" hidden="1" customWidth="1"/>
    <col min="7458" max="7463" width="2.42578125" style="305" hidden="1" customWidth="1"/>
    <col min="7464" max="7464" width="1.5703125" style="305" hidden="1" customWidth="1"/>
    <col min="7465" max="7680" width="2.5703125" style="305" hidden="1"/>
    <col min="7681" max="7681" width="1.5703125" style="305" hidden="1" customWidth="1"/>
    <col min="7682" max="7682" width="0.85546875" style="305" hidden="1" customWidth="1"/>
    <col min="7683" max="7698" width="2.5703125" style="305" hidden="1" customWidth="1"/>
    <col min="7699" max="7699" width="4" style="305" hidden="1" customWidth="1"/>
    <col min="7700" max="7703" width="2.5703125" style="305" hidden="1" customWidth="1"/>
    <col min="7704" max="7704" width="2.42578125" style="305" hidden="1" customWidth="1"/>
    <col min="7705" max="7708" width="2.5703125" style="305" hidden="1" customWidth="1"/>
    <col min="7709" max="7709" width="2.42578125" style="305" hidden="1" customWidth="1"/>
    <col min="7710" max="7713" width="2.5703125" style="305" hidden="1" customWidth="1"/>
    <col min="7714" max="7719" width="2.42578125" style="305" hidden="1" customWidth="1"/>
    <col min="7720" max="7720" width="1.5703125" style="305" hidden="1" customWidth="1"/>
    <col min="7721" max="7936" width="2.5703125" style="305" hidden="1"/>
    <col min="7937" max="7937" width="1.5703125" style="305" hidden="1" customWidth="1"/>
    <col min="7938" max="7938" width="0.85546875" style="305" hidden="1" customWidth="1"/>
    <col min="7939" max="7954" width="2.5703125" style="305" hidden="1" customWidth="1"/>
    <col min="7955" max="7955" width="4" style="305" hidden="1" customWidth="1"/>
    <col min="7956" max="7959" width="2.5703125" style="305" hidden="1" customWidth="1"/>
    <col min="7960" max="7960" width="2.42578125" style="305" hidden="1" customWidth="1"/>
    <col min="7961" max="7964" width="2.5703125" style="305" hidden="1" customWidth="1"/>
    <col min="7965" max="7965" width="2.42578125" style="305" hidden="1" customWidth="1"/>
    <col min="7966" max="7969" width="2.5703125" style="305" hidden="1" customWidth="1"/>
    <col min="7970" max="7975" width="2.42578125" style="305" hidden="1" customWidth="1"/>
    <col min="7976" max="7976" width="1.5703125" style="305" hidden="1" customWidth="1"/>
    <col min="7977" max="8192" width="2.5703125" style="305" hidden="1"/>
    <col min="8193" max="8193" width="1.5703125" style="305" hidden="1" customWidth="1"/>
    <col min="8194" max="8194" width="0.85546875" style="305" hidden="1" customWidth="1"/>
    <col min="8195" max="8210" width="2.5703125" style="305" hidden="1" customWidth="1"/>
    <col min="8211" max="8211" width="4" style="305" hidden="1" customWidth="1"/>
    <col min="8212" max="8215" width="2.5703125" style="305" hidden="1" customWidth="1"/>
    <col min="8216" max="8216" width="2.42578125" style="305" hidden="1" customWidth="1"/>
    <col min="8217" max="8220" width="2.5703125" style="305" hidden="1" customWidth="1"/>
    <col min="8221" max="8221" width="2.42578125" style="305" hidden="1" customWidth="1"/>
    <col min="8222" max="8225" width="2.5703125" style="305" hidden="1" customWidth="1"/>
    <col min="8226" max="8231" width="2.42578125" style="305" hidden="1" customWidth="1"/>
    <col min="8232" max="8232" width="1.5703125" style="305" hidden="1" customWidth="1"/>
    <col min="8233" max="8448" width="2.5703125" style="305" hidden="1"/>
    <col min="8449" max="8449" width="1.5703125" style="305" hidden="1" customWidth="1"/>
    <col min="8450" max="8450" width="0.85546875" style="305" hidden="1" customWidth="1"/>
    <col min="8451" max="8466" width="2.5703125" style="305" hidden="1" customWidth="1"/>
    <col min="8467" max="8467" width="4" style="305" hidden="1" customWidth="1"/>
    <col min="8468" max="8471" width="2.5703125" style="305" hidden="1" customWidth="1"/>
    <col min="8472" max="8472" width="2.42578125" style="305" hidden="1" customWidth="1"/>
    <col min="8473" max="8476" width="2.5703125" style="305" hidden="1" customWidth="1"/>
    <col min="8477" max="8477" width="2.42578125" style="305" hidden="1" customWidth="1"/>
    <col min="8478" max="8481" width="2.5703125" style="305" hidden="1" customWidth="1"/>
    <col min="8482" max="8487" width="2.42578125" style="305" hidden="1" customWidth="1"/>
    <col min="8488" max="8488" width="1.5703125" style="305" hidden="1" customWidth="1"/>
    <col min="8489" max="8704" width="2.5703125" style="305" hidden="1"/>
    <col min="8705" max="8705" width="1.5703125" style="305" hidden="1" customWidth="1"/>
    <col min="8706" max="8706" width="0.85546875" style="305" hidden="1" customWidth="1"/>
    <col min="8707" max="8722" width="2.5703125" style="305" hidden="1" customWidth="1"/>
    <col min="8723" max="8723" width="4" style="305" hidden="1" customWidth="1"/>
    <col min="8724" max="8727" width="2.5703125" style="305" hidden="1" customWidth="1"/>
    <col min="8728" max="8728" width="2.42578125" style="305" hidden="1" customWidth="1"/>
    <col min="8729" max="8732" width="2.5703125" style="305" hidden="1" customWidth="1"/>
    <col min="8733" max="8733" width="2.42578125" style="305" hidden="1" customWidth="1"/>
    <col min="8734" max="8737" width="2.5703125" style="305" hidden="1" customWidth="1"/>
    <col min="8738" max="8743" width="2.42578125" style="305" hidden="1" customWidth="1"/>
    <col min="8744" max="8744" width="1.5703125" style="305" hidden="1" customWidth="1"/>
    <col min="8745" max="8960" width="2.5703125" style="305" hidden="1"/>
    <col min="8961" max="8961" width="1.5703125" style="305" hidden="1" customWidth="1"/>
    <col min="8962" max="8962" width="0.85546875" style="305" hidden="1" customWidth="1"/>
    <col min="8963" max="8978" width="2.5703125" style="305" hidden="1" customWidth="1"/>
    <col min="8979" max="8979" width="4" style="305" hidden="1" customWidth="1"/>
    <col min="8980" max="8983" width="2.5703125" style="305" hidden="1" customWidth="1"/>
    <col min="8984" max="8984" width="2.42578125" style="305" hidden="1" customWidth="1"/>
    <col min="8985" max="8988" width="2.5703125" style="305" hidden="1" customWidth="1"/>
    <col min="8989" max="8989" width="2.42578125" style="305" hidden="1" customWidth="1"/>
    <col min="8990" max="8993" width="2.5703125" style="305" hidden="1" customWidth="1"/>
    <col min="8994" max="8999" width="2.42578125" style="305" hidden="1" customWidth="1"/>
    <col min="9000" max="9000" width="1.5703125" style="305" hidden="1" customWidth="1"/>
    <col min="9001" max="9216" width="2.5703125" style="305" hidden="1"/>
    <col min="9217" max="9217" width="1.5703125" style="305" hidden="1" customWidth="1"/>
    <col min="9218" max="9218" width="0.85546875" style="305" hidden="1" customWidth="1"/>
    <col min="9219" max="9234" width="2.5703125" style="305" hidden="1" customWidth="1"/>
    <col min="9235" max="9235" width="4" style="305" hidden="1" customWidth="1"/>
    <col min="9236" max="9239" width="2.5703125" style="305" hidden="1" customWidth="1"/>
    <col min="9240" max="9240" width="2.42578125" style="305" hidden="1" customWidth="1"/>
    <col min="9241" max="9244" width="2.5703125" style="305" hidden="1" customWidth="1"/>
    <col min="9245" max="9245" width="2.42578125" style="305" hidden="1" customWidth="1"/>
    <col min="9246" max="9249" width="2.5703125" style="305" hidden="1" customWidth="1"/>
    <col min="9250" max="9255" width="2.42578125" style="305" hidden="1" customWidth="1"/>
    <col min="9256" max="9256" width="1.5703125" style="305" hidden="1" customWidth="1"/>
    <col min="9257" max="9472" width="2.5703125" style="305" hidden="1"/>
    <col min="9473" max="9473" width="1.5703125" style="305" hidden="1" customWidth="1"/>
    <col min="9474" max="9474" width="0.85546875" style="305" hidden="1" customWidth="1"/>
    <col min="9475" max="9490" width="2.5703125" style="305" hidden="1" customWidth="1"/>
    <col min="9491" max="9491" width="4" style="305" hidden="1" customWidth="1"/>
    <col min="9492" max="9495" width="2.5703125" style="305" hidden="1" customWidth="1"/>
    <col min="9496" max="9496" width="2.42578125" style="305" hidden="1" customWidth="1"/>
    <col min="9497" max="9500" width="2.5703125" style="305" hidden="1" customWidth="1"/>
    <col min="9501" max="9501" width="2.42578125" style="305" hidden="1" customWidth="1"/>
    <col min="9502" max="9505" width="2.5703125" style="305" hidden="1" customWidth="1"/>
    <col min="9506" max="9511" width="2.42578125" style="305" hidden="1" customWidth="1"/>
    <col min="9512" max="9512" width="1.5703125" style="305" hidden="1" customWidth="1"/>
    <col min="9513" max="9728" width="2.5703125" style="305" hidden="1"/>
    <col min="9729" max="9729" width="1.5703125" style="305" hidden="1" customWidth="1"/>
    <col min="9730" max="9730" width="0.85546875" style="305" hidden="1" customWidth="1"/>
    <col min="9731" max="9746" width="2.5703125" style="305" hidden="1" customWidth="1"/>
    <col min="9747" max="9747" width="4" style="305" hidden="1" customWidth="1"/>
    <col min="9748" max="9751" width="2.5703125" style="305" hidden="1" customWidth="1"/>
    <col min="9752" max="9752" width="2.42578125" style="305" hidden="1" customWidth="1"/>
    <col min="9753" max="9756" width="2.5703125" style="305" hidden="1" customWidth="1"/>
    <col min="9757" max="9757" width="2.42578125" style="305" hidden="1" customWidth="1"/>
    <col min="9758" max="9761" width="2.5703125" style="305" hidden="1" customWidth="1"/>
    <col min="9762" max="9767" width="2.42578125" style="305" hidden="1" customWidth="1"/>
    <col min="9768" max="9768" width="1.5703125" style="305" hidden="1" customWidth="1"/>
    <col min="9769" max="9984" width="2.5703125" style="305" hidden="1"/>
    <col min="9985" max="9985" width="1.5703125" style="305" hidden="1" customWidth="1"/>
    <col min="9986" max="9986" width="0.85546875" style="305" hidden="1" customWidth="1"/>
    <col min="9987" max="10002" width="2.5703125" style="305" hidden="1" customWidth="1"/>
    <col min="10003" max="10003" width="4" style="305" hidden="1" customWidth="1"/>
    <col min="10004" max="10007" width="2.5703125" style="305" hidden="1" customWidth="1"/>
    <col min="10008" max="10008" width="2.42578125" style="305" hidden="1" customWidth="1"/>
    <col min="10009" max="10012" width="2.5703125" style="305" hidden="1" customWidth="1"/>
    <col min="10013" max="10013" width="2.42578125" style="305" hidden="1" customWidth="1"/>
    <col min="10014" max="10017" width="2.5703125" style="305" hidden="1" customWidth="1"/>
    <col min="10018" max="10023" width="2.42578125" style="305" hidden="1" customWidth="1"/>
    <col min="10024" max="10024" width="1.5703125" style="305" hidden="1" customWidth="1"/>
    <col min="10025" max="10240" width="2.5703125" style="305" hidden="1"/>
    <col min="10241" max="10241" width="1.5703125" style="305" hidden="1" customWidth="1"/>
    <col min="10242" max="10242" width="0.85546875" style="305" hidden="1" customWidth="1"/>
    <col min="10243" max="10258" width="2.5703125" style="305" hidden="1" customWidth="1"/>
    <col min="10259" max="10259" width="4" style="305" hidden="1" customWidth="1"/>
    <col min="10260" max="10263" width="2.5703125" style="305" hidden="1" customWidth="1"/>
    <col min="10264" max="10264" width="2.42578125" style="305" hidden="1" customWidth="1"/>
    <col min="10265" max="10268" width="2.5703125" style="305" hidden="1" customWidth="1"/>
    <col min="10269" max="10269" width="2.42578125" style="305" hidden="1" customWidth="1"/>
    <col min="10270" max="10273" width="2.5703125" style="305" hidden="1" customWidth="1"/>
    <col min="10274" max="10279" width="2.42578125" style="305" hidden="1" customWidth="1"/>
    <col min="10280" max="10280" width="1.5703125" style="305" hidden="1" customWidth="1"/>
    <col min="10281" max="10496" width="2.5703125" style="305" hidden="1"/>
    <col min="10497" max="10497" width="1.5703125" style="305" hidden="1" customWidth="1"/>
    <col min="10498" max="10498" width="0.85546875" style="305" hidden="1" customWidth="1"/>
    <col min="10499" max="10514" width="2.5703125" style="305" hidden="1" customWidth="1"/>
    <col min="10515" max="10515" width="4" style="305" hidden="1" customWidth="1"/>
    <col min="10516" max="10519" width="2.5703125" style="305" hidden="1" customWidth="1"/>
    <col min="10520" max="10520" width="2.42578125" style="305" hidden="1" customWidth="1"/>
    <col min="10521" max="10524" width="2.5703125" style="305" hidden="1" customWidth="1"/>
    <col min="10525" max="10525" width="2.42578125" style="305" hidden="1" customWidth="1"/>
    <col min="10526" max="10529" width="2.5703125" style="305" hidden="1" customWidth="1"/>
    <col min="10530" max="10535" width="2.42578125" style="305" hidden="1" customWidth="1"/>
    <col min="10536" max="10536" width="1.5703125" style="305" hidden="1" customWidth="1"/>
    <col min="10537" max="10752" width="2.5703125" style="305" hidden="1"/>
    <col min="10753" max="10753" width="1.5703125" style="305" hidden="1" customWidth="1"/>
    <col min="10754" max="10754" width="0.85546875" style="305" hidden="1" customWidth="1"/>
    <col min="10755" max="10770" width="2.5703125" style="305" hidden="1" customWidth="1"/>
    <col min="10771" max="10771" width="4" style="305" hidden="1" customWidth="1"/>
    <col min="10772" max="10775" width="2.5703125" style="305" hidden="1" customWidth="1"/>
    <col min="10776" max="10776" width="2.42578125" style="305" hidden="1" customWidth="1"/>
    <col min="10777" max="10780" width="2.5703125" style="305" hidden="1" customWidth="1"/>
    <col min="10781" max="10781" width="2.42578125" style="305" hidden="1" customWidth="1"/>
    <col min="10782" max="10785" width="2.5703125" style="305" hidden="1" customWidth="1"/>
    <col min="10786" max="10791" width="2.42578125" style="305" hidden="1" customWidth="1"/>
    <col min="10792" max="10792" width="1.5703125" style="305" hidden="1" customWidth="1"/>
    <col min="10793" max="11008" width="2.5703125" style="305" hidden="1"/>
    <col min="11009" max="11009" width="1.5703125" style="305" hidden="1" customWidth="1"/>
    <col min="11010" max="11010" width="0.85546875" style="305" hidden="1" customWidth="1"/>
    <col min="11011" max="11026" width="2.5703125" style="305" hidden="1" customWidth="1"/>
    <col min="11027" max="11027" width="4" style="305" hidden="1" customWidth="1"/>
    <col min="11028" max="11031" width="2.5703125" style="305" hidden="1" customWidth="1"/>
    <col min="11032" max="11032" width="2.42578125" style="305" hidden="1" customWidth="1"/>
    <col min="11033" max="11036" width="2.5703125" style="305" hidden="1" customWidth="1"/>
    <col min="11037" max="11037" width="2.42578125" style="305" hidden="1" customWidth="1"/>
    <col min="11038" max="11041" width="2.5703125" style="305" hidden="1" customWidth="1"/>
    <col min="11042" max="11047" width="2.42578125" style="305" hidden="1" customWidth="1"/>
    <col min="11048" max="11048" width="1.5703125" style="305" hidden="1" customWidth="1"/>
    <col min="11049" max="11264" width="2.5703125" style="305" hidden="1"/>
    <col min="11265" max="11265" width="1.5703125" style="305" hidden="1" customWidth="1"/>
    <col min="11266" max="11266" width="0.85546875" style="305" hidden="1" customWidth="1"/>
    <col min="11267" max="11282" width="2.5703125" style="305" hidden="1" customWidth="1"/>
    <col min="11283" max="11283" width="4" style="305" hidden="1" customWidth="1"/>
    <col min="11284" max="11287" width="2.5703125" style="305" hidden="1" customWidth="1"/>
    <col min="11288" max="11288" width="2.42578125" style="305" hidden="1" customWidth="1"/>
    <col min="11289" max="11292" width="2.5703125" style="305" hidden="1" customWidth="1"/>
    <col min="11293" max="11293" width="2.42578125" style="305" hidden="1" customWidth="1"/>
    <col min="11294" max="11297" width="2.5703125" style="305" hidden="1" customWidth="1"/>
    <col min="11298" max="11303" width="2.42578125" style="305" hidden="1" customWidth="1"/>
    <col min="11304" max="11304" width="1.5703125" style="305" hidden="1" customWidth="1"/>
    <col min="11305" max="11520" width="2.5703125" style="305" hidden="1"/>
    <col min="11521" max="11521" width="1.5703125" style="305" hidden="1" customWidth="1"/>
    <col min="11522" max="11522" width="0.85546875" style="305" hidden="1" customWidth="1"/>
    <col min="11523" max="11538" width="2.5703125" style="305" hidden="1" customWidth="1"/>
    <col min="11539" max="11539" width="4" style="305" hidden="1" customWidth="1"/>
    <col min="11540" max="11543" width="2.5703125" style="305" hidden="1" customWidth="1"/>
    <col min="11544" max="11544" width="2.42578125" style="305" hidden="1" customWidth="1"/>
    <col min="11545" max="11548" width="2.5703125" style="305" hidden="1" customWidth="1"/>
    <col min="11549" max="11549" width="2.42578125" style="305" hidden="1" customWidth="1"/>
    <col min="11550" max="11553" width="2.5703125" style="305" hidden="1" customWidth="1"/>
    <col min="11554" max="11559" width="2.42578125" style="305" hidden="1" customWidth="1"/>
    <col min="11560" max="11560" width="1.5703125" style="305" hidden="1" customWidth="1"/>
    <col min="11561" max="11776" width="2.5703125" style="305" hidden="1"/>
    <col min="11777" max="11777" width="1.5703125" style="305" hidden="1" customWidth="1"/>
    <col min="11778" max="11778" width="0.85546875" style="305" hidden="1" customWidth="1"/>
    <col min="11779" max="11794" width="2.5703125" style="305" hidden="1" customWidth="1"/>
    <col min="11795" max="11795" width="4" style="305" hidden="1" customWidth="1"/>
    <col min="11796" max="11799" width="2.5703125" style="305" hidden="1" customWidth="1"/>
    <col min="11800" max="11800" width="2.42578125" style="305" hidden="1" customWidth="1"/>
    <col min="11801" max="11804" width="2.5703125" style="305" hidden="1" customWidth="1"/>
    <col min="11805" max="11805" width="2.42578125" style="305" hidden="1" customWidth="1"/>
    <col min="11806" max="11809" width="2.5703125" style="305" hidden="1" customWidth="1"/>
    <col min="11810" max="11815" width="2.42578125" style="305" hidden="1" customWidth="1"/>
    <col min="11816" max="11816" width="1.5703125" style="305" hidden="1" customWidth="1"/>
    <col min="11817" max="12032" width="2.5703125" style="305" hidden="1"/>
    <col min="12033" max="12033" width="1.5703125" style="305" hidden="1" customWidth="1"/>
    <col min="12034" max="12034" width="0.85546875" style="305" hidden="1" customWidth="1"/>
    <col min="12035" max="12050" width="2.5703125" style="305" hidden="1" customWidth="1"/>
    <col min="12051" max="12051" width="4" style="305" hidden="1" customWidth="1"/>
    <col min="12052" max="12055" width="2.5703125" style="305" hidden="1" customWidth="1"/>
    <col min="12056" max="12056" width="2.42578125" style="305" hidden="1" customWidth="1"/>
    <col min="12057" max="12060" width="2.5703125" style="305" hidden="1" customWidth="1"/>
    <col min="12061" max="12061" width="2.42578125" style="305" hidden="1" customWidth="1"/>
    <col min="12062" max="12065" width="2.5703125" style="305" hidden="1" customWidth="1"/>
    <col min="12066" max="12071" width="2.42578125" style="305" hidden="1" customWidth="1"/>
    <col min="12072" max="12072" width="1.5703125" style="305" hidden="1" customWidth="1"/>
    <col min="12073" max="12288" width="2.5703125" style="305" hidden="1"/>
    <col min="12289" max="12289" width="1.5703125" style="305" hidden="1" customWidth="1"/>
    <col min="12290" max="12290" width="0.85546875" style="305" hidden="1" customWidth="1"/>
    <col min="12291" max="12306" width="2.5703125" style="305" hidden="1" customWidth="1"/>
    <col min="12307" max="12307" width="4" style="305" hidden="1" customWidth="1"/>
    <col min="12308" max="12311" width="2.5703125" style="305" hidden="1" customWidth="1"/>
    <col min="12312" max="12312" width="2.42578125" style="305" hidden="1" customWidth="1"/>
    <col min="12313" max="12316" width="2.5703125" style="305" hidden="1" customWidth="1"/>
    <col min="12317" max="12317" width="2.42578125" style="305" hidden="1" customWidth="1"/>
    <col min="12318" max="12321" width="2.5703125" style="305" hidden="1" customWidth="1"/>
    <col min="12322" max="12327" width="2.42578125" style="305" hidden="1" customWidth="1"/>
    <col min="12328" max="12328" width="1.5703125" style="305" hidden="1" customWidth="1"/>
    <col min="12329" max="12544" width="2.5703125" style="305" hidden="1"/>
    <col min="12545" max="12545" width="1.5703125" style="305" hidden="1" customWidth="1"/>
    <col min="12546" max="12546" width="0.85546875" style="305" hidden="1" customWidth="1"/>
    <col min="12547" max="12562" width="2.5703125" style="305" hidden="1" customWidth="1"/>
    <col min="12563" max="12563" width="4" style="305" hidden="1" customWidth="1"/>
    <col min="12564" max="12567" width="2.5703125" style="305" hidden="1" customWidth="1"/>
    <col min="12568" max="12568" width="2.42578125" style="305" hidden="1" customWidth="1"/>
    <col min="12569" max="12572" width="2.5703125" style="305" hidden="1" customWidth="1"/>
    <col min="12573" max="12573" width="2.42578125" style="305" hidden="1" customWidth="1"/>
    <col min="12574" max="12577" width="2.5703125" style="305" hidden="1" customWidth="1"/>
    <col min="12578" max="12583" width="2.42578125" style="305" hidden="1" customWidth="1"/>
    <col min="12584" max="12584" width="1.5703125" style="305" hidden="1" customWidth="1"/>
    <col min="12585" max="12800" width="2.5703125" style="305" hidden="1"/>
    <col min="12801" max="12801" width="1.5703125" style="305" hidden="1" customWidth="1"/>
    <col min="12802" max="12802" width="0.85546875" style="305" hidden="1" customWidth="1"/>
    <col min="12803" max="12818" width="2.5703125" style="305" hidden="1" customWidth="1"/>
    <col min="12819" max="12819" width="4" style="305" hidden="1" customWidth="1"/>
    <col min="12820" max="12823" width="2.5703125" style="305" hidden="1" customWidth="1"/>
    <col min="12824" max="12824" width="2.42578125" style="305" hidden="1" customWidth="1"/>
    <col min="12825" max="12828" width="2.5703125" style="305" hidden="1" customWidth="1"/>
    <col min="12829" max="12829" width="2.42578125" style="305" hidden="1" customWidth="1"/>
    <col min="12830" max="12833" width="2.5703125" style="305" hidden="1" customWidth="1"/>
    <col min="12834" max="12839" width="2.42578125" style="305" hidden="1" customWidth="1"/>
    <col min="12840" max="12840" width="1.5703125" style="305" hidden="1" customWidth="1"/>
    <col min="12841" max="13056" width="2.5703125" style="305" hidden="1"/>
    <col min="13057" max="13057" width="1.5703125" style="305" hidden="1" customWidth="1"/>
    <col min="13058" max="13058" width="0.85546875" style="305" hidden="1" customWidth="1"/>
    <col min="13059" max="13074" width="2.5703125" style="305" hidden="1" customWidth="1"/>
    <col min="13075" max="13075" width="4" style="305" hidden="1" customWidth="1"/>
    <col min="13076" max="13079" width="2.5703125" style="305" hidden="1" customWidth="1"/>
    <col min="13080" max="13080" width="2.42578125" style="305" hidden="1" customWidth="1"/>
    <col min="13081" max="13084" width="2.5703125" style="305" hidden="1" customWidth="1"/>
    <col min="13085" max="13085" width="2.42578125" style="305" hidden="1" customWidth="1"/>
    <col min="13086" max="13089" width="2.5703125" style="305" hidden="1" customWidth="1"/>
    <col min="13090" max="13095" width="2.42578125" style="305" hidden="1" customWidth="1"/>
    <col min="13096" max="13096" width="1.5703125" style="305" hidden="1" customWidth="1"/>
    <col min="13097" max="13312" width="2.5703125" style="305" hidden="1"/>
    <col min="13313" max="13313" width="1.5703125" style="305" hidden="1" customWidth="1"/>
    <col min="13314" max="13314" width="0.85546875" style="305" hidden="1" customWidth="1"/>
    <col min="13315" max="13330" width="2.5703125" style="305" hidden="1" customWidth="1"/>
    <col min="13331" max="13331" width="4" style="305" hidden="1" customWidth="1"/>
    <col min="13332" max="13335" width="2.5703125" style="305" hidden="1" customWidth="1"/>
    <col min="13336" max="13336" width="2.42578125" style="305" hidden="1" customWidth="1"/>
    <col min="13337" max="13340" width="2.5703125" style="305" hidden="1" customWidth="1"/>
    <col min="13341" max="13341" width="2.42578125" style="305" hidden="1" customWidth="1"/>
    <col min="13342" max="13345" width="2.5703125" style="305" hidden="1" customWidth="1"/>
    <col min="13346" max="13351" width="2.42578125" style="305" hidden="1" customWidth="1"/>
    <col min="13352" max="13352" width="1.5703125" style="305" hidden="1" customWidth="1"/>
    <col min="13353" max="13568" width="2.5703125" style="305" hidden="1"/>
    <col min="13569" max="13569" width="1.5703125" style="305" hidden="1" customWidth="1"/>
    <col min="13570" max="13570" width="0.85546875" style="305" hidden="1" customWidth="1"/>
    <col min="13571" max="13586" width="2.5703125" style="305" hidden="1" customWidth="1"/>
    <col min="13587" max="13587" width="4" style="305" hidden="1" customWidth="1"/>
    <col min="13588" max="13591" width="2.5703125" style="305" hidden="1" customWidth="1"/>
    <col min="13592" max="13592" width="2.42578125" style="305" hidden="1" customWidth="1"/>
    <col min="13593" max="13596" width="2.5703125" style="305" hidden="1" customWidth="1"/>
    <col min="13597" max="13597" width="2.42578125" style="305" hidden="1" customWidth="1"/>
    <col min="13598" max="13601" width="2.5703125" style="305" hidden="1" customWidth="1"/>
    <col min="13602" max="13607" width="2.42578125" style="305" hidden="1" customWidth="1"/>
    <col min="13608" max="13608" width="1.5703125" style="305" hidden="1" customWidth="1"/>
    <col min="13609" max="13824" width="2.5703125" style="305" hidden="1"/>
    <col min="13825" max="13825" width="1.5703125" style="305" hidden="1" customWidth="1"/>
    <col min="13826" max="13826" width="0.85546875" style="305" hidden="1" customWidth="1"/>
    <col min="13827" max="13842" width="2.5703125" style="305" hidden="1" customWidth="1"/>
    <col min="13843" max="13843" width="4" style="305" hidden="1" customWidth="1"/>
    <col min="13844" max="13847" width="2.5703125" style="305" hidden="1" customWidth="1"/>
    <col min="13848" max="13848" width="2.42578125" style="305" hidden="1" customWidth="1"/>
    <col min="13849" max="13852" width="2.5703125" style="305" hidden="1" customWidth="1"/>
    <col min="13853" max="13853" width="2.42578125" style="305" hidden="1" customWidth="1"/>
    <col min="13854" max="13857" width="2.5703125" style="305" hidden="1" customWidth="1"/>
    <col min="13858" max="13863" width="2.42578125" style="305" hidden="1" customWidth="1"/>
    <col min="13864" max="13864" width="1.5703125" style="305" hidden="1" customWidth="1"/>
    <col min="13865" max="14080" width="2.5703125" style="305" hidden="1"/>
    <col min="14081" max="14081" width="1.5703125" style="305" hidden="1" customWidth="1"/>
    <col min="14082" max="14082" width="0.85546875" style="305" hidden="1" customWidth="1"/>
    <col min="14083" max="14098" width="2.5703125" style="305" hidden="1" customWidth="1"/>
    <col min="14099" max="14099" width="4" style="305" hidden="1" customWidth="1"/>
    <col min="14100" max="14103" width="2.5703125" style="305" hidden="1" customWidth="1"/>
    <col min="14104" max="14104" width="2.42578125" style="305" hidden="1" customWidth="1"/>
    <col min="14105" max="14108" width="2.5703125" style="305" hidden="1" customWidth="1"/>
    <col min="14109" max="14109" width="2.42578125" style="305" hidden="1" customWidth="1"/>
    <col min="14110" max="14113" width="2.5703125" style="305" hidden="1" customWidth="1"/>
    <col min="14114" max="14119" width="2.42578125" style="305" hidden="1" customWidth="1"/>
    <col min="14120" max="14120" width="1.5703125" style="305" hidden="1" customWidth="1"/>
    <col min="14121" max="14336" width="2.5703125" style="305" hidden="1"/>
    <col min="14337" max="14337" width="1.5703125" style="305" hidden="1" customWidth="1"/>
    <col min="14338" max="14338" width="0.85546875" style="305" hidden="1" customWidth="1"/>
    <col min="14339" max="14354" width="2.5703125" style="305" hidden="1" customWidth="1"/>
    <col min="14355" max="14355" width="4" style="305" hidden="1" customWidth="1"/>
    <col min="14356" max="14359" width="2.5703125" style="305" hidden="1" customWidth="1"/>
    <col min="14360" max="14360" width="2.42578125" style="305" hidden="1" customWidth="1"/>
    <col min="14361" max="14364" width="2.5703125" style="305" hidden="1" customWidth="1"/>
    <col min="14365" max="14365" width="2.42578125" style="305" hidden="1" customWidth="1"/>
    <col min="14366" max="14369" width="2.5703125" style="305" hidden="1" customWidth="1"/>
    <col min="14370" max="14375" width="2.42578125" style="305" hidden="1" customWidth="1"/>
    <col min="14376" max="14376" width="1.5703125" style="305" hidden="1" customWidth="1"/>
    <col min="14377" max="14592" width="2.5703125" style="305" hidden="1"/>
    <col min="14593" max="14593" width="1.5703125" style="305" hidden="1" customWidth="1"/>
    <col min="14594" max="14594" width="0.85546875" style="305" hidden="1" customWidth="1"/>
    <col min="14595" max="14610" width="2.5703125" style="305" hidden="1" customWidth="1"/>
    <col min="14611" max="14611" width="4" style="305" hidden="1" customWidth="1"/>
    <col min="14612" max="14615" width="2.5703125" style="305" hidden="1" customWidth="1"/>
    <col min="14616" max="14616" width="2.42578125" style="305" hidden="1" customWidth="1"/>
    <col min="14617" max="14620" width="2.5703125" style="305" hidden="1" customWidth="1"/>
    <col min="14621" max="14621" width="2.42578125" style="305" hidden="1" customWidth="1"/>
    <col min="14622" max="14625" width="2.5703125" style="305" hidden="1" customWidth="1"/>
    <col min="14626" max="14631" width="2.42578125" style="305" hidden="1" customWidth="1"/>
    <col min="14632" max="14632" width="1.5703125" style="305" hidden="1" customWidth="1"/>
    <col min="14633" max="14848" width="2.5703125" style="305" hidden="1"/>
    <col min="14849" max="14849" width="1.5703125" style="305" hidden="1" customWidth="1"/>
    <col min="14850" max="14850" width="0.85546875" style="305" hidden="1" customWidth="1"/>
    <col min="14851" max="14866" width="2.5703125" style="305" hidden="1" customWidth="1"/>
    <col min="14867" max="14867" width="4" style="305" hidden="1" customWidth="1"/>
    <col min="14868" max="14871" width="2.5703125" style="305" hidden="1" customWidth="1"/>
    <col min="14872" max="14872" width="2.42578125" style="305" hidden="1" customWidth="1"/>
    <col min="14873" max="14876" width="2.5703125" style="305" hidden="1" customWidth="1"/>
    <col min="14877" max="14877" width="2.42578125" style="305" hidden="1" customWidth="1"/>
    <col min="14878" max="14881" width="2.5703125" style="305" hidden="1" customWidth="1"/>
    <col min="14882" max="14887" width="2.42578125" style="305" hidden="1" customWidth="1"/>
    <col min="14888" max="14888" width="1.5703125" style="305" hidden="1" customWidth="1"/>
    <col min="14889" max="15104" width="2.5703125" style="305" hidden="1"/>
    <col min="15105" max="15105" width="1.5703125" style="305" hidden="1" customWidth="1"/>
    <col min="15106" max="15106" width="0.85546875" style="305" hidden="1" customWidth="1"/>
    <col min="15107" max="15122" width="2.5703125" style="305" hidden="1" customWidth="1"/>
    <col min="15123" max="15123" width="4" style="305" hidden="1" customWidth="1"/>
    <col min="15124" max="15127" width="2.5703125" style="305" hidden="1" customWidth="1"/>
    <col min="15128" max="15128" width="2.42578125" style="305" hidden="1" customWidth="1"/>
    <col min="15129" max="15132" width="2.5703125" style="305" hidden="1" customWidth="1"/>
    <col min="15133" max="15133" width="2.42578125" style="305" hidden="1" customWidth="1"/>
    <col min="15134" max="15137" width="2.5703125" style="305" hidden="1" customWidth="1"/>
    <col min="15138" max="15143" width="2.42578125" style="305" hidden="1" customWidth="1"/>
    <col min="15144" max="15144" width="1.5703125" style="305" hidden="1" customWidth="1"/>
    <col min="15145" max="15360" width="2.5703125" style="305" hidden="1"/>
    <col min="15361" max="15361" width="1.5703125" style="305" hidden="1" customWidth="1"/>
    <col min="15362" max="15362" width="0.85546875" style="305" hidden="1" customWidth="1"/>
    <col min="15363" max="15378" width="2.5703125" style="305" hidden="1" customWidth="1"/>
    <col min="15379" max="15379" width="4" style="305" hidden="1" customWidth="1"/>
    <col min="15380" max="15383" width="2.5703125" style="305" hidden="1" customWidth="1"/>
    <col min="15384" max="15384" width="2.42578125" style="305" hidden="1" customWidth="1"/>
    <col min="15385" max="15388" width="2.5703125" style="305" hidden="1" customWidth="1"/>
    <col min="15389" max="15389" width="2.42578125" style="305" hidden="1" customWidth="1"/>
    <col min="15390" max="15393" width="2.5703125" style="305" hidden="1" customWidth="1"/>
    <col min="15394" max="15399" width="2.42578125" style="305" hidden="1" customWidth="1"/>
    <col min="15400" max="15400" width="1.5703125" style="305" hidden="1" customWidth="1"/>
    <col min="15401" max="15616" width="2.5703125" style="305" hidden="1"/>
    <col min="15617" max="15617" width="1.5703125" style="305" hidden="1" customWidth="1"/>
    <col min="15618" max="15618" width="0.85546875" style="305" hidden="1" customWidth="1"/>
    <col min="15619" max="15634" width="2.5703125" style="305" hidden="1" customWidth="1"/>
    <col min="15635" max="15635" width="4" style="305" hidden="1" customWidth="1"/>
    <col min="15636" max="15639" width="2.5703125" style="305" hidden="1" customWidth="1"/>
    <col min="15640" max="15640" width="2.42578125" style="305" hidden="1" customWidth="1"/>
    <col min="15641" max="15644" width="2.5703125" style="305" hidden="1" customWidth="1"/>
    <col min="15645" max="15645" width="2.42578125" style="305" hidden="1" customWidth="1"/>
    <col min="15646" max="15649" width="2.5703125" style="305" hidden="1" customWidth="1"/>
    <col min="15650" max="15655" width="2.42578125" style="305" hidden="1" customWidth="1"/>
    <col min="15656" max="15656" width="1.5703125" style="305" hidden="1" customWidth="1"/>
    <col min="15657" max="15872" width="2.5703125" style="305" hidden="1"/>
    <col min="15873" max="15873" width="1.5703125" style="305" hidden="1" customWidth="1"/>
    <col min="15874" max="15874" width="0.85546875" style="305" hidden="1" customWidth="1"/>
    <col min="15875" max="15890" width="2.5703125" style="305" hidden="1" customWidth="1"/>
    <col min="15891" max="15891" width="4" style="305" hidden="1" customWidth="1"/>
    <col min="15892" max="15895" width="2.5703125" style="305" hidden="1" customWidth="1"/>
    <col min="15896" max="15896" width="2.42578125" style="305" hidden="1" customWidth="1"/>
    <col min="15897" max="15900" width="2.5703125" style="305" hidden="1" customWidth="1"/>
    <col min="15901" max="15901" width="2.42578125" style="305" hidden="1" customWidth="1"/>
    <col min="15902" max="15905" width="2.5703125" style="305" hidden="1" customWidth="1"/>
    <col min="15906" max="15911" width="2.42578125" style="305" hidden="1" customWidth="1"/>
    <col min="15912" max="15912" width="1.5703125" style="305" hidden="1" customWidth="1"/>
    <col min="15913" max="16128" width="2.5703125" style="305" hidden="1"/>
    <col min="16129" max="16129" width="1.5703125" style="305" hidden="1" customWidth="1"/>
    <col min="16130" max="16130" width="0.85546875" style="305" hidden="1" customWidth="1"/>
    <col min="16131" max="16146" width="2.5703125" style="305" hidden="1" customWidth="1"/>
    <col min="16147" max="16147" width="4" style="305" hidden="1" customWidth="1"/>
    <col min="16148" max="16151" width="2.5703125" style="305" hidden="1" customWidth="1"/>
    <col min="16152" max="16152" width="2.42578125" style="305" hidden="1" customWidth="1"/>
    <col min="16153" max="16156" width="2.5703125" style="305" hidden="1" customWidth="1"/>
    <col min="16157" max="16157" width="2.42578125" style="305" hidden="1" customWidth="1"/>
    <col min="16158" max="16161" width="2.5703125" style="305" hidden="1" customWidth="1"/>
    <col min="16162" max="16167" width="2.42578125" style="305" hidden="1" customWidth="1"/>
    <col min="16168" max="16168" width="1.5703125" style="305" hidden="1" customWidth="1"/>
    <col min="16169" max="16384" width="2.5703125" style="305" hidden="1"/>
  </cols>
  <sheetData>
    <row r="1" spans="1:40" ht="13.15" customHeight="1">
      <c r="A1" s="2304" t="s">
        <v>2067</v>
      </c>
      <c r="B1" s="2304"/>
      <c r="C1" s="2304"/>
      <c r="D1" s="2304"/>
      <c r="E1" s="2304"/>
      <c r="F1" s="2304"/>
      <c r="G1" s="2304"/>
      <c r="H1" s="2304"/>
      <c r="I1" s="2304"/>
      <c r="J1" s="2304"/>
      <c r="K1" s="2304"/>
      <c r="L1" s="2304"/>
      <c r="M1" s="2304"/>
      <c r="N1" s="2304"/>
      <c r="O1" s="2304"/>
      <c r="P1" s="2304"/>
      <c r="Q1" s="2304"/>
      <c r="R1" s="2304"/>
      <c r="S1" s="2304"/>
      <c r="T1" s="2304"/>
      <c r="U1" s="2304"/>
      <c r="V1" s="2304"/>
      <c r="W1" s="2304"/>
      <c r="X1" s="2304"/>
      <c r="Y1" s="2304"/>
      <c r="Z1" s="2304"/>
      <c r="AA1" s="2304"/>
      <c r="AB1" s="2304"/>
      <c r="AC1" s="2304"/>
      <c r="AD1" s="2304"/>
      <c r="AE1" s="2304"/>
      <c r="AF1" s="2304"/>
      <c r="AG1" s="2304"/>
      <c r="AH1" s="2304"/>
      <c r="AI1" s="2304"/>
      <c r="AJ1" s="2304"/>
      <c r="AK1" s="2304"/>
      <c r="AL1" s="2304"/>
      <c r="AM1" s="2304"/>
      <c r="AN1" s="2304"/>
    </row>
    <row r="2" spans="1:40" ht="13.15" customHeight="1" thickBot="1">
      <c r="A2" s="2305"/>
      <c r="B2" s="2305"/>
      <c r="C2" s="2305"/>
      <c r="D2" s="2305"/>
      <c r="E2" s="2305"/>
      <c r="F2" s="2305"/>
      <c r="G2" s="2305"/>
      <c r="H2" s="2305"/>
      <c r="I2" s="2305"/>
      <c r="J2" s="2305"/>
      <c r="K2" s="2305"/>
      <c r="L2" s="2305"/>
      <c r="M2" s="2305"/>
      <c r="N2" s="2305"/>
      <c r="O2" s="2305"/>
      <c r="P2" s="2305"/>
      <c r="Q2" s="2305"/>
      <c r="R2" s="2305"/>
      <c r="S2" s="2305"/>
      <c r="T2" s="2305"/>
      <c r="U2" s="2305"/>
      <c r="V2" s="2305"/>
      <c r="W2" s="2305"/>
      <c r="X2" s="2305"/>
      <c r="Y2" s="2305"/>
      <c r="Z2" s="2305"/>
      <c r="AA2" s="2305"/>
      <c r="AB2" s="2305"/>
      <c r="AC2" s="2305"/>
      <c r="AD2" s="2305"/>
      <c r="AE2" s="2305"/>
      <c r="AF2" s="2305"/>
      <c r="AG2" s="2305"/>
      <c r="AH2" s="2305"/>
      <c r="AI2" s="2305"/>
      <c r="AJ2" s="2305"/>
      <c r="AK2" s="2305"/>
      <c r="AL2" s="2305"/>
      <c r="AM2" s="2305"/>
      <c r="AN2" s="2305"/>
    </row>
    <row r="3" spans="1:40" ht="13.1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15" customHeight="1">
      <c r="A4" s="307"/>
    </row>
    <row r="5" spans="1:40" ht="13.15" customHeight="1">
      <c r="A5" s="307" t="s">
        <v>868</v>
      </c>
      <c r="C5" s="307" t="s">
        <v>270</v>
      </c>
      <c r="F5" s="307"/>
    </row>
    <row r="6" spans="1:40" ht="13.15" customHeight="1">
      <c r="A6" s="307"/>
      <c r="C6" s="305" t="s">
        <v>2068</v>
      </c>
    </row>
    <row r="7" spans="1:40" ht="13.15" customHeight="1">
      <c r="B7" s="308"/>
      <c r="C7" s="309"/>
      <c r="D7" s="309"/>
      <c r="E7" s="309"/>
      <c r="F7" s="309"/>
      <c r="G7" s="309"/>
      <c r="H7" s="309"/>
      <c r="I7" s="309"/>
      <c r="J7" s="309"/>
      <c r="K7" s="309"/>
      <c r="L7" s="309"/>
      <c r="M7" s="309"/>
      <c r="N7" s="309"/>
      <c r="O7" s="309"/>
      <c r="P7" s="309"/>
      <c r="Q7" s="309"/>
      <c r="R7" s="309"/>
      <c r="S7" s="309"/>
      <c r="T7" s="2284" t="str">
        <f xml:space="preserve"> IF(T25=100%,'Sources and Basis Breakdown'!G2,'Sources and Basis Breakdown'!F2)</f>
        <v>30% PVC for New Const/
Rehabilitation
DDA/QCT
Building(s)</v>
      </c>
      <c r="U7" s="2284"/>
      <c r="V7" s="2284"/>
      <c r="W7" s="2284"/>
      <c r="X7" s="2284"/>
      <c r="Y7" s="2284" t="str">
        <f>IF(T25=100%,"",'Sources and Basis Breakdown'!G2)</f>
        <v>30% PVC for New Const/
Rehabilitation
NON-DDA/
NON-QCT Building(s)</v>
      </c>
      <c r="Z7" s="2284"/>
      <c r="AA7" s="2284"/>
      <c r="AB7" s="2284"/>
      <c r="AC7" s="2284"/>
      <c r="AD7" s="2284" t="str">
        <f xml:space="preserve"> IF(T25=100%, 'Sources and Basis Breakdown'!J2,'Sources and Basis Breakdown'!I2)</f>
        <v>30% PVC for Acquisition
DDA/QCT Building(s)</v>
      </c>
      <c r="AE7" s="2284"/>
      <c r="AF7" s="2284"/>
      <c r="AG7" s="2284"/>
      <c r="AH7" s="2284"/>
      <c r="AI7" s="2284" t="str">
        <f>IF(T25=100%,"",'Sources and Basis Breakdown'!J2)</f>
        <v>30% PVC for Acquisition
NON-DDA/
NON-QCT Building(s)</v>
      </c>
      <c r="AJ7" s="2284"/>
      <c r="AK7" s="2284"/>
      <c r="AL7" s="2284"/>
      <c r="AM7" s="2284"/>
    </row>
    <row r="8" spans="1:40" ht="13.15" customHeight="1">
      <c r="B8" s="310"/>
      <c r="T8" s="2284"/>
      <c r="U8" s="2284"/>
      <c r="V8" s="2284"/>
      <c r="W8" s="2284"/>
      <c r="X8" s="2284"/>
      <c r="Y8" s="2284"/>
      <c r="Z8" s="2284"/>
      <c r="AA8" s="2284"/>
      <c r="AB8" s="2284"/>
      <c r="AC8" s="2284"/>
      <c r="AD8" s="2284"/>
      <c r="AE8" s="2284"/>
      <c r="AF8" s="2284"/>
      <c r="AG8" s="2284"/>
      <c r="AH8" s="2284"/>
      <c r="AI8" s="2284"/>
      <c r="AJ8" s="2284"/>
      <c r="AK8" s="2284"/>
      <c r="AL8" s="2284"/>
      <c r="AM8" s="2284"/>
    </row>
    <row r="9" spans="1:40" ht="13.15" customHeight="1">
      <c r="B9" s="310"/>
      <c r="T9" s="2284"/>
      <c r="U9" s="2284"/>
      <c r="V9" s="2284"/>
      <c r="W9" s="2284"/>
      <c r="X9" s="2284"/>
      <c r="Y9" s="2284"/>
      <c r="Z9" s="2284"/>
      <c r="AA9" s="2284"/>
      <c r="AB9" s="2284"/>
      <c r="AC9" s="2284"/>
      <c r="AD9" s="2284"/>
      <c r="AE9" s="2284"/>
      <c r="AF9" s="2284"/>
      <c r="AG9" s="2284"/>
      <c r="AH9" s="2284"/>
      <c r="AI9" s="2284"/>
      <c r="AJ9" s="2284"/>
      <c r="AK9" s="2284"/>
      <c r="AL9" s="2284"/>
      <c r="AM9" s="2284"/>
    </row>
    <row r="10" spans="1:40" ht="13.15" customHeight="1">
      <c r="B10" s="311"/>
      <c r="C10" s="312"/>
      <c r="D10" s="312"/>
      <c r="E10" s="312"/>
      <c r="F10" s="312"/>
      <c r="G10" s="312"/>
      <c r="H10" s="312"/>
      <c r="I10" s="312"/>
      <c r="J10" s="312"/>
      <c r="K10" s="312"/>
      <c r="L10" s="312"/>
      <c r="M10" s="312"/>
      <c r="N10" s="312"/>
      <c r="O10" s="312"/>
      <c r="P10" s="312"/>
      <c r="Q10" s="312"/>
      <c r="R10" s="312"/>
      <c r="S10" s="312"/>
      <c r="T10" s="2284"/>
      <c r="U10" s="2284"/>
      <c r="V10" s="2284"/>
      <c r="W10" s="2284"/>
      <c r="X10" s="2284"/>
      <c r="Y10" s="2284"/>
      <c r="Z10" s="2284"/>
      <c r="AA10" s="2284"/>
      <c r="AB10" s="2284"/>
      <c r="AC10" s="2284"/>
      <c r="AD10" s="2284"/>
      <c r="AE10" s="2284"/>
      <c r="AF10" s="2284"/>
      <c r="AG10" s="2284"/>
      <c r="AH10" s="2284"/>
      <c r="AI10" s="2284"/>
      <c r="AJ10" s="2284"/>
      <c r="AK10" s="2284"/>
      <c r="AL10" s="2284"/>
      <c r="AM10" s="2284"/>
    </row>
    <row r="11" spans="1:40" ht="13.15" customHeight="1">
      <c r="B11" s="2270" t="s">
        <v>1885</v>
      </c>
      <c r="C11" s="2271"/>
      <c r="D11" s="2271"/>
      <c r="E11" s="2271"/>
      <c r="F11" s="2271"/>
      <c r="G11" s="2271"/>
      <c r="H11" s="2271"/>
      <c r="I11" s="2271"/>
      <c r="J11" s="2271"/>
      <c r="K11" s="2271"/>
      <c r="L11" s="2271"/>
      <c r="M11" s="2271"/>
      <c r="N11" s="2271"/>
      <c r="O11" s="2271"/>
      <c r="P11" s="2271"/>
      <c r="Q11" s="2271"/>
      <c r="R11" s="2271"/>
      <c r="S11" s="2272"/>
      <c r="T11" s="2306">
        <f>IF('Sources and Basis Breakdown'!F107=0,'Sources and Basis Breakdown'!E107,'Sources and Basis Breakdown'!F107)</f>
        <v>81876243</v>
      </c>
      <c r="U11" s="2307"/>
      <c r="V11" s="2307"/>
      <c r="W11" s="2307"/>
      <c r="X11" s="2307"/>
      <c r="Y11" s="2306">
        <f>IF(Y7="",0,IF('Sources and Basis Breakdown'!G107+'Sources and Basis Breakdown'!F107='Sources and Basis Breakdown'!E107,'Sources and Basis Breakdown'!G107,0))</f>
        <v>0</v>
      </c>
      <c r="Z11" s="2307"/>
      <c r="AA11" s="2307"/>
      <c r="AB11" s="2307"/>
      <c r="AC11" s="2307"/>
      <c r="AD11" s="2307">
        <f>IF('Sources and Basis Breakdown'!I107=0,'Sources and Basis Breakdown'!H107,'Sources and Basis Breakdown'!I107)</f>
        <v>0</v>
      </c>
      <c r="AE11" s="2307"/>
      <c r="AF11" s="2307"/>
      <c r="AG11" s="2307"/>
      <c r="AH11" s="2307"/>
      <c r="AI11" s="2307">
        <f>IF(Y7="",0,IF('Sources and Basis Breakdown'!I107+'Sources and Basis Breakdown'!J107='Sources and Basis Breakdown'!H107,'Sources and Basis Breakdown'!J107,0))</f>
        <v>0</v>
      </c>
      <c r="AJ11" s="2307"/>
      <c r="AK11" s="2307"/>
      <c r="AL11" s="2307"/>
      <c r="AM11" s="2307"/>
    </row>
    <row r="12" spans="1:40" ht="13.15" customHeight="1">
      <c r="B12" s="2308" t="s">
        <v>2069</v>
      </c>
      <c r="C12" s="1270"/>
      <c r="D12" s="1270"/>
      <c r="E12" s="1270"/>
      <c r="F12" s="1270"/>
      <c r="G12" s="1270"/>
      <c r="H12" s="1270"/>
      <c r="I12" s="1270"/>
      <c r="J12" s="1270"/>
      <c r="K12" s="1270"/>
      <c r="L12" s="1270"/>
      <c r="M12" s="1270"/>
      <c r="N12" s="1270"/>
      <c r="O12" s="1270"/>
      <c r="P12" s="1270"/>
      <c r="Q12" s="1270"/>
      <c r="R12" s="1270"/>
      <c r="S12" s="2309"/>
      <c r="T12" s="2299"/>
      <c r="U12" s="2300"/>
      <c r="V12" s="2300"/>
      <c r="W12" s="2300"/>
      <c r="X12" s="2301"/>
      <c r="Y12" s="2299"/>
      <c r="Z12" s="2300"/>
      <c r="AA12" s="2300"/>
      <c r="AB12" s="2300"/>
      <c r="AC12" s="2301"/>
      <c r="AD12" s="2299"/>
      <c r="AE12" s="2300"/>
      <c r="AF12" s="2300"/>
      <c r="AG12" s="2300"/>
      <c r="AH12" s="2301"/>
      <c r="AI12" s="2299"/>
      <c r="AJ12" s="2300"/>
      <c r="AK12" s="2300"/>
      <c r="AL12" s="2300"/>
      <c r="AM12" s="2301"/>
    </row>
    <row r="13" spans="1:40" ht="13.15" customHeight="1">
      <c r="B13" s="338"/>
      <c r="C13" s="2310" t="s">
        <v>2070</v>
      </c>
      <c r="D13" s="2310"/>
      <c r="E13" s="2310"/>
      <c r="F13" s="2310"/>
      <c r="G13" s="2310"/>
      <c r="H13" s="2310"/>
      <c r="I13" s="2310"/>
      <c r="J13" s="2310"/>
      <c r="K13" s="2310"/>
      <c r="L13" s="2310"/>
      <c r="M13" s="2310"/>
      <c r="N13" s="2310"/>
      <c r="O13" s="2310"/>
      <c r="P13" s="2310"/>
      <c r="Q13" s="2310"/>
      <c r="R13" s="2310"/>
      <c r="S13" s="2311"/>
      <c r="T13" s="2302"/>
      <c r="U13" s="2303"/>
      <c r="V13" s="2303"/>
      <c r="W13" s="2303"/>
      <c r="X13" s="2303"/>
      <c r="Y13" s="2302"/>
      <c r="Z13" s="2303"/>
      <c r="AA13" s="2303"/>
      <c r="AB13" s="2303"/>
      <c r="AC13" s="2303"/>
      <c r="AD13" s="2303"/>
      <c r="AE13" s="2303"/>
      <c r="AF13" s="2303"/>
      <c r="AG13" s="2303"/>
      <c r="AH13" s="2303"/>
      <c r="AI13" s="2303"/>
      <c r="AJ13" s="2303"/>
      <c r="AK13" s="2303"/>
      <c r="AL13" s="2303"/>
      <c r="AM13" s="2303"/>
    </row>
    <row r="14" spans="1:40" ht="13.15" customHeight="1">
      <c r="B14" s="338"/>
      <c r="C14" s="2310" t="s">
        <v>2071</v>
      </c>
      <c r="D14" s="2310"/>
      <c r="E14" s="2310"/>
      <c r="F14" s="2310"/>
      <c r="G14" s="2310"/>
      <c r="H14" s="2310"/>
      <c r="I14" s="2310"/>
      <c r="J14" s="2310"/>
      <c r="K14" s="2310"/>
      <c r="L14" s="2310"/>
      <c r="M14" s="2310"/>
      <c r="N14" s="2310"/>
      <c r="O14" s="2310"/>
      <c r="P14" s="2310"/>
      <c r="Q14" s="2310"/>
      <c r="R14" s="2310"/>
      <c r="S14" s="2311"/>
      <c r="T14" s="2292"/>
      <c r="U14" s="2293"/>
      <c r="V14" s="2293"/>
      <c r="W14" s="2293"/>
      <c r="X14" s="2293"/>
      <c r="Y14" s="2292"/>
      <c r="Z14" s="2293"/>
      <c r="AA14" s="2293"/>
      <c r="AB14" s="2293"/>
      <c r="AC14" s="2293"/>
      <c r="AD14" s="2293"/>
      <c r="AE14" s="2293"/>
      <c r="AF14" s="2293"/>
      <c r="AG14" s="2293"/>
      <c r="AH14" s="2293"/>
      <c r="AI14" s="2293"/>
      <c r="AJ14" s="2293"/>
      <c r="AK14" s="2293"/>
      <c r="AL14" s="2293"/>
      <c r="AM14" s="2293"/>
    </row>
    <row r="15" spans="1:40" ht="13.15" customHeight="1">
      <c r="B15" s="338"/>
      <c r="C15" s="2310" t="s">
        <v>2072</v>
      </c>
      <c r="D15" s="2310"/>
      <c r="E15" s="2310"/>
      <c r="F15" s="2310"/>
      <c r="G15" s="2310"/>
      <c r="H15" s="2310"/>
      <c r="I15" s="2310"/>
      <c r="J15" s="2310"/>
      <c r="K15" s="2310"/>
      <c r="L15" s="2310"/>
      <c r="M15" s="2310"/>
      <c r="N15" s="2310"/>
      <c r="O15" s="2310"/>
      <c r="P15" s="2310"/>
      <c r="Q15" s="2310"/>
      <c r="R15" s="2310"/>
      <c r="S15" s="2311"/>
      <c r="T15" s="2292"/>
      <c r="U15" s="2293"/>
      <c r="V15" s="2293"/>
      <c r="W15" s="2293"/>
      <c r="X15" s="2293"/>
      <c r="Y15" s="2292"/>
      <c r="Z15" s="2293"/>
      <c r="AA15" s="2293"/>
      <c r="AB15" s="2293"/>
      <c r="AC15" s="2293"/>
      <c r="AD15" s="2293"/>
      <c r="AE15" s="2293"/>
      <c r="AF15" s="2293"/>
      <c r="AG15" s="2293"/>
      <c r="AH15" s="2293"/>
      <c r="AI15" s="2293"/>
      <c r="AJ15" s="2293"/>
      <c r="AK15" s="2293"/>
      <c r="AL15" s="2293"/>
      <c r="AM15" s="2293"/>
    </row>
    <row r="16" spans="1:40" ht="13.15" customHeight="1">
      <c r="B16" s="338"/>
      <c r="C16" s="2310" t="s">
        <v>2073</v>
      </c>
      <c r="D16" s="2310"/>
      <c r="E16" s="2310"/>
      <c r="F16" s="2310"/>
      <c r="G16" s="2310"/>
      <c r="H16" s="2310"/>
      <c r="I16" s="2310"/>
      <c r="J16" s="2310"/>
      <c r="K16" s="2310"/>
      <c r="L16" s="2310"/>
      <c r="M16" s="2310"/>
      <c r="N16" s="2310"/>
      <c r="O16" s="2310"/>
      <c r="P16" s="2310"/>
      <c r="Q16" s="2310"/>
      <c r="R16" s="2310"/>
      <c r="S16" s="2311"/>
      <c r="T16" s="2292"/>
      <c r="U16" s="2293"/>
      <c r="V16" s="2293"/>
      <c r="W16" s="2293"/>
      <c r="X16" s="2293"/>
      <c r="Y16" s="2292"/>
      <c r="Z16" s="2293"/>
      <c r="AA16" s="2293"/>
      <c r="AB16" s="2293"/>
      <c r="AC16" s="2293"/>
      <c r="AD16" s="2293"/>
      <c r="AE16" s="2293"/>
      <c r="AF16" s="2293"/>
      <c r="AG16" s="2293"/>
      <c r="AH16" s="2293"/>
      <c r="AI16" s="2293"/>
      <c r="AJ16" s="2293"/>
      <c r="AK16" s="2293"/>
      <c r="AL16" s="2293"/>
      <c r="AM16" s="2293"/>
    </row>
    <row r="17" spans="1:40" ht="13.15" customHeight="1">
      <c r="B17" s="338"/>
      <c r="C17" s="2310" t="s">
        <v>2074</v>
      </c>
      <c r="D17" s="2310"/>
      <c r="E17" s="2310"/>
      <c r="F17" s="2310"/>
      <c r="G17" s="2310"/>
      <c r="H17" s="2310"/>
      <c r="I17" s="2310"/>
      <c r="J17" s="2310"/>
      <c r="K17" s="2310"/>
      <c r="L17" s="2310"/>
      <c r="M17" s="2310"/>
      <c r="N17" s="2310"/>
      <c r="O17" s="2310"/>
      <c r="P17" s="2310"/>
      <c r="Q17" s="2310"/>
      <c r="R17" s="2310"/>
      <c r="S17" s="2311"/>
      <c r="T17" s="2292"/>
      <c r="U17" s="2293"/>
      <c r="V17" s="2293"/>
      <c r="W17" s="2293"/>
      <c r="X17" s="2293"/>
      <c r="Y17" s="2292"/>
      <c r="Z17" s="2293"/>
      <c r="AA17" s="2293"/>
      <c r="AB17" s="2293"/>
      <c r="AC17" s="2293"/>
      <c r="AD17" s="2293"/>
      <c r="AE17" s="2293"/>
      <c r="AF17" s="2293"/>
      <c r="AG17" s="2293"/>
      <c r="AH17" s="2293"/>
      <c r="AI17" s="2293"/>
      <c r="AJ17" s="2293"/>
      <c r="AK17" s="2293"/>
      <c r="AL17" s="2293"/>
      <c r="AM17" s="2293"/>
    </row>
    <row r="18" spans="1:40" ht="13.15" customHeight="1">
      <c r="A18"/>
      <c r="B18" s="1039"/>
      <c r="C18" s="1515" t="s">
        <v>2075</v>
      </c>
      <c r="D18" s="1515"/>
      <c r="E18" s="1515"/>
      <c r="F18" s="1515"/>
      <c r="G18" s="1515"/>
      <c r="H18" s="1515"/>
      <c r="I18" s="1515"/>
      <c r="J18" s="1515"/>
      <c r="K18" s="1515"/>
      <c r="L18" s="1515"/>
      <c r="M18" s="1515"/>
      <c r="N18" s="1515"/>
      <c r="O18" s="1515"/>
      <c r="P18" s="1515"/>
      <c r="Q18" s="1515"/>
      <c r="R18" s="1515"/>
      <c r="S18" s="1516"/>
      <c r="T18" s="2292"/>
      <c r="U18" s="2293"/>
      <c r="V18" s="2293"/>
      <c r="W18" s="2293"/>
      <c r="X18" s="2293"/>
      <c r="Y18" s="2292"/>
      <c r="Z18" s="2293"/>
      <c r="AA18" s="2293"/>
      <c r="AB18" s="2293"/>
      <c r="AC18" s="2293"/>
      <c r="AD18" s="2293"/>
      <c r="AE18" s="2293"/>
      <c r="AF18" s="2293"/>
      <c r="AG18" s="2293"/>
      <c r="AH18" s="2293"/>
      <c r="AI18" s="2293"/>
      <c r="AJ18" s="2293"/>
      <c r="AK18" s="2293"/>
      <c r="AL18" s="2293"/>
      <c r="AM18" s="2293"/>
    </row>
    <row r="19" spans="1:40" ht="13.15" customHeight="1">
      <c r="B19" s="1039"/>
      <c r="C19" s="1515" t="s">
        <v>2075</v>
      </c>
      <c r="D19" s="1515"/>
      <c r="E19" s="1515"/>
      <c r="F19" s="1515"/>
      <c r="G19" s="1515"/>
      <c r="H19" s="1515"/>
      <c r="I19" s="1515"/>
      <c r="J19" s="1515"/>
      <c r="K19" s="1515"/>
      <c r="L19" s="1515"/>
      <c r="M19" s="1515"/>
      <c r="N19" s="1515"/>
      <c r="O19" s="1515"/>
      <c r="P19" s="1515"/>
      <c r="Q19" s="1515"/>
      <c r="R19" s="1515"/>
      <c r="S19" s="1516"/>
      <c r="T19" s="2292"/>
      <c r="U19" s="2293"/>
      <c r="V19" s="2293"/>
      <c r="W19" s="2293"/>
      <c r="X19" s="2293"/>
      <c r="Y19" s="2292"/>
      <c r="Z19" s="2293"/>
      <c r="AA19" s="2293"/>
      <c r="AB19" s="2293"/>
      <c r="AC19" s="2293"/>
      <c r="AD19" s="2293"/>
      <c r="AE19" s="2293"/>
      <c r="AF19" s="2293"/>
      <c r="AG19" s="2293"/>
      <c r="AH19" s="2293"/>
      <c r="AI19" s="2293"/>
      <c r="AJ19" s="2293"/>
      <c r="AK19" s="2293"/>
      <c r="AL19" s="2293"/>
      <c r="AM19" s="2293"/>
    </row>
    <row r="20" spans="1:40" ht="13.15" customHeight="1">
      <c r="B20" s="2270" t="s">
        <v>2076</v>
      </c>
      <c r="C20" s="2271"/>
      <c r="D20" s="2271"/>
      <c r="E20" s="2271"/>
      <c r="F20" s="2271"/>
      <c r="G20" s="2271"/>
      <c r="H20" s="2271"/>
      <c r="I20" s="2271"/>
      <c r="J20" s="2271"/>
      <c r="K20" s="2271"/>
      <c r="L20" s="2271"/>
      <c r="M20" s="2271"/>
      <c r="N20" s="2271"/>
      <c r="O20" s="2271"/>
      <c r="P20" s="2271"/>
      <c r="Q20" s="2271"/>
      <c r="R20" s="2271"/>
      <c r="S20" s="2272"/>
      <c r="T20" s="2283">
        <f>SUM(T13:X19)</f>
        <v>0</v>
      </c>
      <c r="U20" s="2264"/>
      <c r="V20" s="2264"/>
      <c r="W20" s="2264"/>
      <c r="X20" s="2264"/>
      <c r="Y20" s="2283">
        <f>SUM(Y13:AC19)</f>
        <v>0</v>
      </c>
      <c r="Z20" s="2264"/>
      <c r="AA20" s="2264"/>
      <c r="AB20" s="2264"/>
      <c r="AC20" s="2264"/>
      <c r="AD20" s="2274">
        <f>SUM(AD13:AH19)</f>
        <v>0</v>
      </c>
      <c r="AE20" s="2282"/>
      <c r="AF20" s="2282"/>
      <c r="AG20" s="2282"/>
      <c r="AH20" s="2283"/>
      <c r="AI20" s="2274">
        <f>SUM(AI13:AM19)</f>
        <v>0</v>
      </c>
      <c r="AJ20" s="2282"/>
      <c r="AK20" s="2282"/>
      <c r="AL20" s="2282"/>
      <c r="AM20" s="2283"/>
    </row>
    <row r="21" spans="1:40" ht="13.15" customHeight="1">
      <c r="B21" s="2270" t="s">
        <v>2077</v>
      </c>
      <c r="C21" s="2271"/>
      <c r="D21" s="2271"/>
      <c r="E21" s="2271"/>
      <c r="F21" s="2271"/>
      <c r="G21" s="2271"/>
      <c r="H21" s="2271"/>
      <c r="I21" s="2271"/>
      <c r="J21" s="2271"/>
      <c r="K21" s="2271"/>
      <c r="L21" s="2271"/>
      <c r="M21" s="2271"/>
      <c r="N21" s="2271"/>
      <c r="O21" s="2271"/>
      <c r="P21" s="2271"/>
      <c r="Q21" s="2271"/>
      <c r="R21" s="2271"/>
      <c r="S21" s="2272"/>
      <c r="T21" s="2292"/>
      <c r="U21" s="2293"/>
      <c r="V21" s="2293"/>
      <c r="W21" s="2293"/>
      <c r="X21" s="2293"/>
      <c r="Y21" s="2292"/>
      <c r="Z21" s="2293"/>
      <c r="AA21" s="2293"/>
      <c r="AB21" s="2293"/>
      <c r="AC21" s="2293"/>
      <c r="AD21" s="2299"/>
      <c r="AE21" s="2300"/>
      <c r="AF21" s="2300"/>
      <c r="AG21" s="2300"/>
      <c r="AH21" s="2301"/>
      <c r="AI21" s="2299"/>
      <c r="AJ21" s="2300"/>
      <c r="AK21" s="2300"/>
      <c r="AL21" s="2300"/>
      <c r="AM21" s="2301"/>
    </row>
    <row r="22" spans="1:40" ht="13.15" customHeight="1">
      <c r="B22" s="2270" t="s">
        <v>2078</v>
      </c>
      <c r="C22" s="2271"/>
      <c r="D22" s="2271"/>
      <c r="E22" s="2271"/>
      <c r="F22" s="2271"/>
      <c r="G22" s="2271"/>
      <c r="H22" s="2271"/>
      <c r="I22" s="2271"/>
      <c r="J22" s="2271"/>
      <c r="K22" s="2271"/>
      <c r="L22" s="2271"/>
      <c r="M22" s="2271"/>
      <c r="N22" s="2271"/>
      <c r="O22" s="2271"/>
      <c r="P22" s="2271"/>
      <c r="Q22" s="2271"/>
      <c r="R22" s="2271"/>
      <c r="S22" s="2272"/>
      <c r="T22" s="2288">
        <f>(ABS(T20)+ABS(T21))*-1</f>
        <v>0</v>
      </c>
      <c r="U22" s="2289"/>
      <c r="V22" s="2289"/>
      <c r="W22" s="2289"/>
      <c r="X22" s="2289"/>
      <c r="Y22" s="2288">
        <f>(Y20+Y21)*-1</f>
        <v>0</v>
      </c>
      <c r="Z22" s="2289"/>
      <c r="AA22" s="2289"/>
      <c r="AB22" s="2289"/>
      <c r="AC22" s="2289"/>
      <c r="AD22" s="2290">
        <f>(AD20)*-1</f>
        <v>0</v>
      </c>
      <c r="AE22" s="2291"/>
      <c r="AF22" s="2291"/>
      <c r="AG22" s="2291"/>
      <c r="AH22" s="2288"/>
      <c r="AI22" s="2290">
        <f>(AI20)*-1</f>
        <v>0</v>
      </c>
      <c r="AJ22" s="2291"/>
      <c r="AK22" s="2291"/>
      <c r="AL22" s="2291"/>
      <c r="AM22" s="2288"/>
    </row>
    <row r="23" spans="1:40" ht="13.15" customHeight="1">
      <c r="B23" s="2270" t="s">
        <v>2079</v>
      </c>
      <c r="C23" s="2271"/>
      <c r="D23" s="2271"/>
      <c r="E23" s="2271"/>
      <c r="F23" s="2271"/>
      <c r="G23" s="2271"/>
      <c r="H23" s="2271"/>
      <c r="I23" s="2271"/>
      <c r="J23" s="2271"/>
      <c r="K23" s="2271"/>
      <c r="L23" s="2271"/>
      <c r="M23" s="2271"/>
      <c r="N23" s="2271"/>
      <c r="O23" s="2271"/>
      <c r="P23" s="2271"/>
      <c r="Q23" s="2271"/>
      <c r="R23" s="2271"/>
      <c r="S23" s="2272"/>
      <c r="T23" s="2283">
        <f>T11+T22</f>
        <v>81876243</v>
      </c>
      <c r="U23" s="2264"/>
      <c r="V23" s="2264"/>
      <c r="W23" s="2264"/>
      <c r="X23" s="2264"/>
      <c r="Y23" s="2283">
        <f>Y11+Y22</f>
        <v>0</v>
      </c>
      <c r="Z23" s="2264"/>
      <c r="AA23" s="2264"/>
      <c r="AB23" s="2264"/>
      <c r="AC23" s="2264"/>
      <c r="AD23" s="2283">
        <f>AD11+AD22</f>
        <v>0</v>
      </c>
      <c r="AE23" s="2264"/>
      <c r="AF23" s="2264"/>
      <c r="AG23" s="2264"/>
      <c r="AH23" s="2264"/>
      <c r="AI23" s="2283">
        <f>AI11+AI22</f>
        <v>0</v>
      </c>
      <c r="AJ23" s="2264"/>
      <c r="AK23" s="2264"/>
      <c r="AL23" s="2264"/>
      <c r="AM23" s="2264"/>
    </row>
    <row r="24" spans="1:40" ht="13.15" customHeight="1">
      <c r="B24" s="2270" t="s">
        <v>2080</v>
      </c>
      <c r="C24" s="2271"/>
      <c r="D24" s="2271"/>
      <c r="E24" s="2271"/>
      <c r="F24" s="2271"/>
      <c r="G24" s="2271"/>
      <c r="H24" s="2271"/>
      <c r="I24" s="2271"/>
      <c r="J24" s="2271"/>
      <c r="K24" s="2271"/>
      <c r="L24" s="2271"/>
      <c r="M24" s="2271"/>
      <c r="N24" s="2271"/>
      <c r="O24" s="2271"/>
      <c r="P24" s="2271"/>
      <c r="Q24" s="2271"/>
      <c r="R24" s="2271"/>
      <c r="S24" s="2272"/>
      <c r="T24" s="2274">
        <f>Application!AJ1053</f>
        <v>191900454.63999999</v>
      </c>
      <c r="U24" s="2282"/>
      <c r="V24" s="2282"/>
      <c r="W24" s="2282"/>
      <c r="X24" s="2282"/>
      <c r="Y24" s="2282"/>
      <c r="Z24" s="2282"/>
      <c r="AA24" s="2282"/>
      <c r="AB24" s="2282"/>
      <c r="AC24" s="2282"/>
      <c r="AD24" s="2282"/>
      <c r="AE24" s="2282"/>
      <c r="AF24" s="2282"/>
      <c r="AG24" s="2282"/>
      <c r="AH24" s="2282"/>
      <c r="AI24" s="2282"/>
      <c r="AJ24" s="2282"/>
      <c r="AK24" s="2282"/>
      <c r="AL24" s="2282"/>
      <c r="AM24" s="2283"/>
    </row>
    <row r="25" spans="1:40" ht="13.15" customHeight="1">
      <c r="B25" s="2314" t="s">
        <v>2081</v>
      </c>
      <c r="C25" s="2315"/>
      <c r="D25" s="2315"/>
      <c r="E25" s="2315"/>
      <c r="F25" s="2315"/>
      <c r="G25" s="2315"/>
      <c r="H25" s="2315"/>
      <c r="I25" s="2315"/>
      <c r="J25" s="2315"/>
      <c r="K25" s="2315"/>
      <c r="L25" s="2315"/>
      <c r="M25" s="2315"/>
      <c r="N25" s="2315"/>
      <c r="O25" s="2315"/>
      <c r="P25" s="2315"/>
      <c r="Q25" s="2315"/>
      <c r="R25" s="2315"/>
      <c r="S25" s="2316"/>
      <c r="T25" s="2296">
        <f>IF(OR(Application!T196="yes",Application!T195="yes"),1.3,1)</f>
        <v>1.3</v>
      </c>
      <c r="U25" s="2297"/>
      <c r="V25" s="2297"/>
      <c r="W25" s="2297"/>
      <c r="X25" s="2297"/>
      <c r="Y25" s="2296">
        <v>1</v>
      </c>
      <c r="Z25" s="2297"/>
      <c r="AA25" s="2297"/>
      <c r="AB25" s="2297"/>
      <c r="AC25" s="2297"/>
      <c r="AD25" s="2296">
        <v>1</v>
      </c>
      <c r="AE25" s="2297"/>
      <c r="AF25" s="2297"/>
      <c r="AG25" s="2297"/>
      <c r="AH25" s="2298"/>
      <c r="AI25" s="2296">
        <v>1</v>
      </c>
      <c r="AJ25" s="2297"/>
      <c r="AK25" s="2297"/>
      <c r="AL25" s="2297"/>
      <c r="AM25" s="2298"/>
    </row>
    <row r="26" spans="1:40" ht="13.15" customHeight="1">
      <c r="B26" s="2270" t="s">
        <v>2082</v>
      </c>
      <c r="C26" s="2271"/>
      <c r="D26" s="2271"/>
      <c r="E26" s="2271"/>
      <c r="F26" s="2271"/>
      <c r="G26" s="2271"/>
      <c r="H26" s="2271"/>
      <c r="I26" s="2271"/>
      <c r="J26" s="2271"/>
      <c r="K26" s="2271"/>
      <c r="L26" s="2271"/>
      <c r="M26" s="2271"/>
      <c r="N26" s="2271"/>
      <c r="O26" s="2271"/>
      <c r="P26" s="2271"/>
      <c r="Q26" s="2271"/>
      <c r="R26" s="2271"/>
      <c r="S26" s="2272"/>
      <c r="T26" s="2283">
        <f>T23*T25</f>
        <v>106439115.90000001</v>
      </c>
      <c r="U26" s="2264"/>
      <c r="V26" s="2264"/>
      <c r="W26" s="2264"/>
      <c r="X26" s="2264"/>
      <c r="Y26" s="2283">
        <f>Y23*Y25</f>
        <v>0</v>
      </c>
      <c r="Z26" s="2264"/>
      <c r="AA26" s="2264"/>
      <c r="AB26" s="2264"/>
      <c r="AC26" s="2264"/>
      <c r="AD26" s="2283">
        <f>AD23*AD25</f>
        <v>0</v>
      </c>
      <c r="AE26" s="2264"/>
      <c r="AF26" s="2264"/>
      <c r="AG26" s="2264"/>
      <c r="AH26" s="2264"/>
      <c r="AI26" s="2283">
        <f>AI23*AI25</f>
        <v>0</v>
      </c>
      <c r="AJ26" s="2264"/>
      <c r="AK26" s="2264"/>
      <c r="AL26" s="2264"/>
      <c r="AM26" s="2264"/>
    </row>
    <row r="27" spans="1:40" ht="13.15" customHeight="1">
      <c r="A27" s="313"/>
      <c r="B27" s="2317" t="s">
        <v>2083</v>
      </c>
      <c r="C27" s="2318"/>
      <c r="D27" s="2318"/>
      <c r="E27" s="2318"/>
      <c r="F27" s="2318"/>
      <c r="G27" s="2318"/>
      <c r="H27" s="2318"/>
      <c r="I27" s="2318"/>
      <c r="J27" s="2318"/>
      <c r="K27" s="2318"/>
      <c r="L27" s="2318"/>
      <c r="M27" s="2318"/>
      <c r="N27" s="2318"/>
      <c r="O27" s="2318"/>
      <c r="P27" s="2318"/>
      <c r="Q27" s="2318"/>
      <c r="R27" s="2318"/>
      <c r="S27" s="2319"/>
      <c r="T27" s="2294">
        <f>Application!$AG$445</f>
        <v>1</v>
      </c>
      <c r="U27" s="2295"/>
      <c r="V27" s="2295"/>
      <c r="W27" s="2295"/>
      <c r="X27" s="2295"/>
      <c r="Y27" s="2294">
        <f>Application!$AG$445</f>
        <v>1</v>
      </c>
      <c r="Z27" s="2295"/>
      <c r="AA27" s="2295"/>
      <c r="AB27" s="2295"/>
      <c r="AC27" s="2295"/>
      <c r="AD27" s="2294">
        <f>Application!$AG$445</f>
        <v>1</v>
      </c>
      <c r="AE27" s="2295"/>
      <c r="AF27" s="2295"/>
      <c r="AG27" s="2295"/>
      <c r="AH27" s="2295"/>
      <c r="AI27" s="2294">
        <f>Application!$AG$445</f>
        <v>1</v>
      </c>
      <c r="AJ27" s="2295"/>
      <c r="AK27" s="2295"/>
      <c r="AL27" s="2295"/>
      <c r="AM27" s="2295"/>
    </row>
    <row r="28" spans="1:40" ht="13.15" customHeight="1">
      <c r="A28" s="307"/>
      <c r="B28" s="2270" t="s">
        <v>2084</v>
      </c>
      <c r="C28" s="2271"/>
      <c r="D28" s="2271"/>
      <c r="E28" s="2271"/>
      <c r="F28" s="2271"/>
      <c r="G28" s="2271"/>
      <c r="H28" s="2271"/>
      <c r="I28" s="2271"/>
      <c r="J28" s="2271"/>
      <c r="K28" s="2271"/>
      <c r="L28" s="2271"/>
      <c r="M28" s="2271"/>
      <c r="N28" s="2271"/>
      <c r="O28" s="2271"/>
      <c r="P28" s="2271"/>
      <c r="Q28" s="2271"/>
      <c r="R28" s="2271"/>
      <c r="S28" s="2272"/>
      <c r="T28" s="2283">
        <f>IF(ISERROR((T26*T27)),0,(T26*T27))</f>
        <v>106439115.90000001</v>
      </c>
      <c r="U28" s="2264"/>
      <c r="V28" s="2264"/>
      <c r="W28" s="2264"/>
      <c r="X28" s="2264"/>
      <c r="Y28" s="2283">
        <f>IF(ISERROR((Y26*Y27)),0,(Y26*Y27))</f>
        <v>0</v>
      </c>
      <c r="Z28" s="2264"/>
      <c r="AA28" s="2264"/>
      <c r="AB28" s="2264"/>
      <c r="AC28" s="2264"/>
      <c r="AD28" s="2283">
        <f>IF(ISERROR((AD26*AD27)),0,(AD26*AD27))</f>
        <v>0</v>
      </c>
      <c r="AE28" s="2264"/>
      <c r="AF28" s="2264"/>
      <c r="AG28" s="2264"/>
      <c r="AH28" s="2264"/>
      <c r="AI28" s="2283">
        <f>IF(ISERROR((AI26*AI27)),0,(AI26*AI27))</f>
        <v>0</v>
      </c>
      <c r="AJ28" s="2264"/>
      <c r="AK28" s="2264"/>
      <c r="AL28" s="2264"/>
      <c r="AM28" s="2264"/>
    </row>
    <row r="29" spans="1:40" ht="13.15" customHeight="1">
      <c r="B29" s="2270" t="s">
        <v>2085</v>
      </c>
      <c r="C29" s="2271"/>
      <c r="D29" s="2271"/>
      <c r="E29" s="2271"/>
      <c r="F29" s="2271"/>
      <c r="G29" s="2271"/>
      <c r="H29" s="2271"/>
      <c r="I29" s="2271"/>
      <c r="J29" s="2271"/>
      <c r="K29" s="2271"/>
      <c r="L29" s="2271"/>
      <c r="M29" s="2271"/>
      <c r="N29" s="2271"/>
      <c r="O29" s="2271"/>
      <c r="P29" s="2271"/>
      <c r="Q29" s="2271"/>
      <c r="R29" s="2271"/>
      <c r="S29" s="2272"/>
      <c r="T29" s="2274">
        <f>T28+Y28+AD28+AI28</f>
        <v>106439115.90000001</v>
      </c>
      <c r="U29" s="2282"/>
      <c r="V29" s="2282"/>
      <c r="W29" s="2282"/>
      <c r="X29" s="2282"/>
      <c r="Y29" s="2282"/>
      <c r="Z29" s="2282"/>
      <c r="AA29" s="2282"/>
      <c r="AB29" s="2282"/>
      <c r="AC29" s="2282"/>
      <c r="AD29" s="2282"/>
      <c r="AE29" s="2282"/>
      <c r="AF29" s="2282"/>
      <c r="AG29" s="2282"/>
      <c r="AH29" s="2282"/>
      <c r="AI29" s="2282"/>
      <c r="AJ29" s="2282"/>
      <c r="AK29" s="2282"/>
      <c r="AL29" s="2282"/>
      <c r="AM29" s="2283"/>
    </row>
    <row r="30" spans="1:40" ht="13.15" customHeight="1">
      <c r="B30" s="2287" t="s">
        <v>2086</v>
      </c>
      <c r="C30" s="2287"/>
      <c r="D30" s="2287"/>
      <c r="E30" s="2287"/>
      <c r="F30" s="2287"/>
      <c r="G30" s="2287"/>
      <c r="H30" s="2287"/>
      <c r="I30" s="2287"/>
      <c r="J30" s="2287"/>
      <c r="K30" s="2287"/>
      <c r="L30" s="2287"/>
      <c r="M30" s="2287"/>
      <c r="N30" s="2287"/>
      <c r="O30" s="2287"/>
      <c r="P30" s="2287"/>
      <c r="Q30" s="2287"/>
      <c r="R30" s="2287"/>
      <c r="S30" s="2287"/>
      <c r="T30" s="2287"/>
      <c r="U30" s="2287"/>
      <c r="V30" s="2287"/>
      <c r="W30" s="2287"/>
      <c r="X30" s="2287"/>
      <c r="Y30" s="2287"/>
      <c r="Z30" s="2287"/>
      <c r="AA30" s="2287"/>
      <c r="AB30" s="2287"/>
      <c r="AC30" s="2287"/>
      <c r="AD30" s="2287"/>
      <c r="AE30" s="2287"/>
      <c r="AF30" s="2287"/>
      <c r="AG30" s="2287"/>
      <c r="AH30" s="2287"/>
      <c r="AI30" s="2287"/>
      <c r="AJ30" s="2287"/>
      <c r="AK30" s="2287"/>
      <c r="AL30" s="2287"/>
      <c r="AM30" s="2287"/>
    </row>
    <row r="31" spans="1:40" ht="13.15" customHeight="1">
      <c r="B31" s="2287" t="s">
        <v>2087</v>
      </c>
      <c r="C31" s="2287"/>
      <c r="D31" s="2287"/>
      <c r="E31" s="2287"/>
      <c r="F31" s="2287"/>
      <c r="G31" s="2287"/>
      <c r="H31" s="2287"/>
      <c r="I31" s="2287"/>
      <c r="J31" s="2287"/>
      <c r="K31" s="2287"/>
      <c r="L31" s="2287"/>
      <c r="M31" s="2287"/>
      <c r="N31" s="2287"/>
      <c r="O31" s="2287"/>
      <c r="P31" s="2287"/>
      <c r="Q31" s="2287"/>
      <c r="R31" s="2287"/>
      <c r="S31" s="2287"/>
      <c r="T31" s="2287"/>
      <c r="U31" s="2287"/>
      <c r="V31" s="2287"/>
      <c r="W31" s="2287"/>
      <c r="X31" s="2287"/>
      <c r="Y31" s="2287"/>
      <c r="Z31" s="2287"/>
      <c r="AA31" s="2287"/>
      <c r="AB31" s="2287"/>
      <c r="AC31" s="2287"/>
      <c r="AD31" s="2287"/>
      <c r="AE31" s="2287"/>
      <c r="AF31" s="2287"/>
      <c r="AG31" s="2287"/>
      <c r="AH31" s="2287"/>
      <c r="AI31" s="2287"/>
      <c r="AJ31" s="2287"/>
      <c r="AK31" s="2287"/>
      <c r="AL31" s="2287"/>
      <c r="AM31" s="2287"/>
      <c r="AN31" s="418"/>
    </row>
    <row r="32" spans="1:40" ht="13.15" customHeight="1">
      <c r="B32" s="337"/>
      <c r="C32" s="411" t="s">
        <v>2088</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15" customHeight="1">
      <c r="A34" s="307" t="s">
        <v>909</v>
      </c>
      <c r="C34" s="307" t="s">
        <v>279</v>
      </c>
    </row>
    <row r="35" spans="1:76" ht="13.1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84" t="s">
        <v>2089</v>
      </c>
      <c r="Z35" s="2284"/>
      <c r="AA35" s="2284"/>
      <c r="AB35" s="2284"/>
      <c r="AC35" s="2284"/>
      <c r="AD35" s="2285" t="s">
        <v>2090</v>
      </c>
      <c r="AE35" s="2285"/>
      <c r="AF35" s="2285"/>
      <c r="AG35" s="2285"/>
      <c r="AH35" s="2285"/>
    </row>
    <row r="36" spans="1:76" ht="13.15" customHeight="1">
      <c r="B36" s="310"/>
      <c r="X36" s="315"/>
      <c r="Y36" s="2284"/>
      <c r="Z36" s="2284"/>
      <c r="AA36" s="2284"/>
      <c r="AB36" s="2284"/>
      <c r="AC36" s="2284"/>
      <c r="AD36" s="2285"/>
      <c r="AE36" s="2285"/>
      <c r="AF36" s="2285"/>
      <c r="AG36" s="2285"/>
      <c r="AH36" s="2285"/>
    </row>
    <row r="37" spans="1:76" ht="13.1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84"/>
      <c r="Z37" s="2284"/>
      <c r="AA37" s="2284"/>
      <c r="AB37" s="2284"/>
      <c r="AC37" s="2284"/>
      <c r="AD37" s="2285"/>
      <c r="AE37" s="2285"/>
      <c r="AF37" s="2285"/>
      <c r="AG37" s="2285"/>
      <c r="AH37" s="2285"/>
    </row>
    <row r="38" spans="1:76" ht="13.15" customHeight="1">
      <c r="A38" s="307"/>
      <c r="B38" s="2270" t="s">
        <v>2084</v>
      </c>
      <c r="C38" s="2271"/>
      <c r="D38" s="2271"/>
      <c r="E38" s="2271"/>
      <c r="F38" s="2271"/>
      <c r="G38" s="2271"/>
      <c r="H38" s="2271"/>
      <c r="I38" s="2271"/>
      <c r="J38" s="2271"/>
      <c r="K38" s="2271"/>
      <c r="L38" s="2271"/>
      <c r="M38" s="2271"/>
      <c r="N38" s="2271"/>
      <c r="O38" s="2271"/>
      <c r="P38" s="2271"/>
      <c r="Q38" s="2271"/>
      <c r="R38" s="2271"/>
      <c r="S38" s="2271"/>
      <c r="T38" s="2271"/>
      <c r="U38" s="2271"/>
      <c r="V38" s="2271"/>
      <c r="W38" s="2271"/>
      <c r="X38" s="2272"/>
      <c r="Y38" s="2264">
        <f>IF(T24&gt;=(T23+Y23+AD23+AI23),T28+Y28,0)</f>
        <v>106439115.90000001</v>
      </c>
      <c r="Z38" s="2264"/>
      <c r="AA38" s="2264"/>
      <c r="AB38" s="2264"/>
      <c r="AC38" s="2264"/>
      <c r="AD38" s="2264">
        <f>IF(T24&gt;=(T23+Y23+AD23+AI23),AD28+AI28,0)</f>
        <v>0</v>
      </c>
      <c r="AE38" s="2264"/>
      <c r="AF38" s="2264"/>
      <c r="AG38" s="2264"/>
      <c r="AH38" s="2264"/>
    </row>
    <row r="39" spans="1:76" ht="13.15" customHeight="1">
      <c r="B39" s="2270" t="s">
        <v>2091</v>
      </c>
      <c r="C39" s="2271"/>
      <c r="D39" s="2271"/>
      <c r="E39" s="2271"/>
      <c r="F39" s="2271"/>
      <c r="G39" s="2271"/>
      <c r="H39" s="2271"/>
      <c r="I39" s="2271"/>
      <c r="J39" s="2271"/>
      <c r="K39" s="2271"/>
      <c r="L39" s="2271"/>
      <c r="M39" s="2271"/>
      <c r="N39" s="2271"/>
      <c r="O39" s="2271"/>
      <c r="P39" s="2271"/>
      <c r="Q39" s="2271"/>
      <c r="R39" s="2271"/>
      <c r="S39" s="2271"/>
      <c r="T39" s="2271"/>
      <c r="U39" s="2271"/>
      <c r="V39" s="2271"/>
      <c r="W39" s="2271"/>
      <c r="X39" s="2272"/>
      <c r="Y39" s="2286">
        <v>0.04</v>
      </c>
      <c r="Z39" s="2286"/>
      <c r="AA39" s="2286"/>
      <c r="AB39" s="2286"/>
      <c r="AC39" s="2286"/>
      <c r="AD39" s="2286">
        <v>0.04</v>
      </c>
      <c r="AE39" s="2286"/>
      <c r="AF39" s="2286"/>
      <c r="AG39" s="2286"/>
      <c r="AH39" s="2286"/>
    </row>
    <row r="40" spans="1:76" ht="13.15" customHeight="1">
      <c r="A40" s="307"/>
      <c r="B40" s="2270" t="s">
        <v>2092</v>
      </c>
      <c r="C40" s="2271"/>
      <c r="D40" s="2271"/>
      <c r="E40" s="2271"/>
      <c r="F40" s="2271"/>
      <c r="G40" s="2271"/>
      <c r="H40" s="2271"/>
      <c r="I40" s="2271"/>
      <c r="J40" s="2271"/>
      <c r="K40" s="2271"/>
      <c r="L40" s="2271"/>
      <c r="M40" s="2271"/>
      <c r="N40" s="2271"/>
      <c r="O40" s="2271"/>
      <c r="P40" s="2271"/>
      <c r="Q40" s="2271"/>
      <c r="R40" s="2271"/>
      <c r="S40" s="2271"/>
      <c r="T40" s="2271"/>
      <c r="U40" s="2271"/>
      <c r="V40" s="2271"/>
      <c r="W40" s="2271"/>
      <c r="X40" s="2272"/>
      <c r="Y40" s="2264">
        <f>ROUND(Y38*Y39,0)</f>
        <v>4257565</v>
      </c>
      <c r="Z40" s="2264"/>
      <c r="AA40" s="2264"/>
      <c r="AB40" s="2264"/>
      <c r="AC40" s="2264"/>
      <c r="AD40" s="2283">
        <f>ROUND(AD38*AD39,0)</f>
        <v>0</v>
      </c>
      <c r="AE40" s="2264"/>
      <c r="AF40" s="2264"/>
      <c r="AG40" s="2264"/>
      <c r="AH40" s="2264"/>
    </row>
    <row r="41" spans="1:76" ht="13.15" customHeight="1">
      <c r="B41" s="2270" t="s">
        <v>2093</v>
      </c>
      <c r="C41" s="2271"/>
      <c r="D41" s="2271"/>
      <c r="E41" s="2271"/>
      <c r="F41" s="2271"/>
      <c r="G41" s="2271"/>
      <c r="H41" s="2271"/>
      <c r="I41" s="2271"/>
      <c r="J41" s="2271"/>
      <c r="K41" s="2271"/>
      <c r="L41" s="2271"/>
      <c r="M41" s="2271"/>
      <c r="N41" s="2271"/>
      <c r="O41" s="2271"/>
      <c r="P41" s="2271"/>
      <c r="Q41" s="2271"/>
      <c r="R41" s="2271"/>
      <c r="S41" s="2271"/>
      <c r="T41" s="2271"/>
      <c r="U41" s="2271"/>
      <c r="V41" s="2271"/>
      <c r="W41" s="2271"/>
      <c r="X41" s="2272"/>
      <c r="Y41" s="2274">
        <f>Y40+AD40</f>
        <v>4257565</v>
      </c>
      <c r="Z41" s="2282"/>
      <c r="AA41" s="2282"/>
      <c r="AB41" s="2282"/>
      <c r="AC41" s="2282"/>
      <c r="AD41" s="2282"/>
      <c r="AE41" s="2282"/>
      <c r="AF41" s="2282"/>
      <c r="AG41" s="2282"/>
      <c r="AH41" s="2283"/>
    </row>
    <row r="42" spans="1:76" ht="13.1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1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15" customHeight="1" thickBot="1">
      <c r="A44" s="2281" t="s">
        <v>2094</v>
      </c>
      <c r="B44" s="2281"/>
      <c r="C44" s="2281"/>
      <c r="D44" s="2281"/>
      <c r="E44" s="2281"/>
      <c r="F44" s="2281"/>
      <c r="G44" s="2281"/>
      <c r="H44" s="2281"/>
      <c r="I44" s="2281"/>
      <c r="J44" s="2281"/>
      <c r="K44" s="2281"/>
      <c r="L44" s="2281"/>
      <c r="M44" s="2281"/>
      <c r="N44" s="2281"/>
      <c r="O44" s="2281"/>
      <c r="P44" s="2281"/>
      <c r="Q44" s="2281"/>
      <c r="R44" s="2281"/>
      <c r="S44" s="2281"/>
      <c r="T44" s="2281"/>
      <c r="U44" s="2281"/>
      <c r="V44" s="2281"/>
      <c r="W44" s="2281"/>
      <c r="X44" s="2281"/>
      <c r="Y44" s="2281"/>
      <c r="Z44" s="2281"/>
      <c r="AA44" s="2281"/>
      <c r="AB44" s="2281"/>
      <c r="AC44" s="2281"/>
      <c r="AD44" s="2281"/>
      <c r="AE44" s="2281"/>
      <c r="AF44" s="2281"/>
      <c r="AG44" s="2281"/>
      <c r="AH44" s="2281"/>
      <c r="AI44" s="2281"/>
      <c r="AJ44" s="2281"/>
      <c r="AK44" s="2281"/>
      <c r="AL44" s="2281"/>
      <c r="AM44" s="2281"/>
      <c r="AN44" s="2281"/>
      <c r="AO44" s="2281"/>
      <c r="AP44" s="2281"/>
      <c r="AQ44" s="2281"/>
      <c r="AR44" s="2281"/>
      <c r="AS44" s="2281"/>
      <c r="AT44" s="2281"/>
      <c r="AU44" s="2281"/>
      <c r="AV44" s="2281"/>
      <c r="AW44" s="2281"/>
      <c r="AX44" s="2281"/>
      <c r="AY44" s="2281"/>
      <c r="AZ44" s="2281"/>
      <c r="BA44" s="2281"/>
      <c r="BB44" s="2281"/>
      <c r="BC44" s="2281"/>
      <c r="BD44" s="2281"/>
      <c r="BE44" s="2281"/>
      <c r="BF44" s="2281"/>
      <c r="BG44" s="2281"/>
      <c r="BH44" s="2281"/>
      <c r="BI44" s="2281"/>
      <c r="BJ44" s="2281"/>
      <c r="BK44" s="2281"/>
      <c r="BL44" s="2281"/>
      <c r="BM44" s="2281"/>
      <c r="BN44" s="2281"/>
      <c r="BO44" s="2281"/>
      <c r="BP44" s="2281"/>
      <c r="BQ44" s="2281"/>
      <c r="BR44" s="2281"/>
      <c r="BS44" s="2281"/>
      <c r="BT44" s="2281"/>
      <c r="BU44" s="2281"/>
      <c r="BV44" s="2281"/>
      <c r="BW44" s="2281"/>
      <c r="BX44" s="2281"/>
    </row>
    <row r="45" spans="1:76" s="136" customFormat="1" ht="13.15" customHeight="1" thickTop="1"/>
    <row r="46" spans="1:76" ht="13.15" customHeight="1">
      <c r="A46" s="307" t="s">
        <v>987</v>
      </c>
      <c r="C46" s="307" t="s">
        <v>282</v>
      </c>
    </row>
    <row r="47" spans="1:76" ht="13.15" customHeight="1">
      <c r="D47" s="307" t="s">
        <v>675</v>
      </c>
      <c r="AB47" s="2278">
        <f>'Sources and Uses Budget'!B105-MAX(IF('Sources and Uses Budget'!B15="",0,'Sources and Uses Budget'!B15),IF(Application!AG394="",0,Application!AG394))</f>
        <v>88827994</v>
      </c>
      <c r="AC47" s="2279"/>
      <c r="AD47" s="2279"/>
      <c r="AE47" s="2279"/>
      <c r="AF47" s="2280"/>
    </row>
    <row r="48" spans="1:76" ht="13.15" customHeight="1">
      <c r="D48" s="307" t="s">
        <v>175</v>
      </c>
      <c r="AB48" s="2278">
        <f>Application!AO639-MAX(IF('Sources and Uses Budget'!B15="",0,'Sources and Uses Budget'!B15),IF(Application!AG394="",0,Application!AG394))</f>
        <v>52216600</v>
      </c>
      <c r="AC48" s="2279"/>
      <c r="AD48" s="2279"/>
      <c r="AE48" s="2279"/>
      <c r="AF48" s="2280"/>
    </row>
    <row r="49" spans="1:76" ht="13.15" customHeight="1">
      <c r="D49" s="307" t="s">
        <v>2095</v>
      </c>
      <c r="AB49" s="2278">
        <f>AB47-AB48</f>
        <v>36611394</v>
      </c>
      <c r="AC49" s="2279"/>
      <c r="AD49" s="2279"/>
      <c r="AE49" s="2279"/>
      <c r="AF49" s="2280"/>
    </row>
    <row r="50" spans="1:76" ht="13.15" customHeight="1">
      <c r="D50" s="307" t="s">
        <v>2096</v>
      </c>
      <c r="AA50" s="318"/>
      <c r="AB50" s="2266">
        <v>0.85999996711406401</v>
      </c>
      <c r="AC50" s="2267"/>
      <c r="AD50" s="2267"/>
      <c r="AE50" s="2267"/>
      <c r="AF50" s="2268"/>
    </row>
    <row r="51" spans="1:76" s="320" customFormat="1" ht="13.15" customHeight="1">
      <c r="A51" s="305"/>
      <c r="B51" s="305"/>
      <c r="C51" s="305"/>
      <c r="D51" s="305"/>
      <c r="E51" s="2277" t="s">
        <v>2097</v>
      </c>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319"/>
      <c r="AB51" s="319"/>
      <c r="AC51" s="319"/>
      <c r="AD51" s="319"/>
      <c r="AE51" s="319"/>
      <c r="AF51" s="319"/>
      <c r="AG51" s="305"/>
      <c r="AH51" s="305"/>
      <c r="AI51" s="305"/>
      <c r="AJ51" s="305"/>
      <c r="AK51" s="305"/>
      <c r="AL51" s="305"/>
      <c r="AM51" s="305"/>
      <c r="AN51" s="305"/>
    </row>
    <row r="52" spans="1:76" s="320" customFormat="1" ht="13.15" customHeight="1">
      <c r="A52" s="305"/>
      <c r="B52" s="305"/>
      <c r="C52" s="305"/>
      <c r="D52" s="305"/>
      <c r="E52" s="2277"/>
      <c r="F52" s="2277"/>
      <c r="G52" s="2277"/>
      <c r="H52" s="2277"/>
      <c r="I52" s="2277"/>
      <c r="J52" s="2277"/>
      <c r="K52" s="2277"/>
      <c r="L52" s="2277"/>
      <c r="M52" s="2277"/>
      <c r="N52" s="2277"/>
      <c r="O52" s="2277"/>
      <c r="P52" s="2277"/>
      <c r="Q52" s="2277"/>
      <c r="R52" s="2277"/>
      <c r="S52" s="2277"/>
      <c r="T52" s="2277"/>
      <c r="U52" s="2277"/>
      <c r="V52" s="2277"/>
      <c r="W52" s="2277"/>
      <c r="X52" s="2277"/>
      <c r="Y52" s="2277"/>
      <c r="Z52" s="2277"/>
      <c r="AA52" s="321"/>
      <c r="AB52" s="321"/>
      <c r="AC52" s="321"/>
      <c r="AD52" s="321"/>
      <c r="AE52" s="321"/>
      <c r="AF52" s="321"/>
      <c r="AG52" s="322"/>
      <c r="AH52" s="305"/>
      <c r="AI52" s="305"/>
      <c r="AJ52" s="305"/>
      <c r="AK52" s="305"/>
      <c r="AL52" s="305"/>
      <c r="AM52" s="305"/>
      <c r="AN52" s="305"/>
    </row>
    <row r="53" spans="1:76" ht="13.1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15" customHeight="1">
      <c r="D54" s="307" t="s">
        <v>2098</v>
      </c>
      <c r="AB54" s="2278">
        <f>ROUND(IF(ISERROR((AB49/AB50)),0,(AB49/AB50)),0)</f>
        <v>42571390</v>
      </c>
      <c r="AC54" s="2279"/>
      <c r="AD54" s="2279"/>
      <c r="AE54" s="2279"/>
      <c r="AF54" s="2280"/>
    </row>
    <row r="55" spans="1:76" ht="13.15" customHeight="1">
      <c r="D55" s="307" t="s">
        <v>2099</v>
      </c>
      <c r="AB55" s="2278">
        <f>(AB54/10)</f>
        <v>4257139</v>
      </c>
      <c r="AC55" s="2279"/>
      <c r="AD55" s="2279"/>
      <c r="AE55" s="2279"/>
      <c r="AF55" s="2280"/>
    </row>
    <row r="56" spans="1:76" ht="13.15" customHeight="1">
      <c r="D56" s="307" t="s">
        <v>2100</v>
      </c>
      <c r="AB56" s="2278">
        <f>ROUND((IF((Y41&lt;AB55),Y41,AB55)),0)</f>
        <v>4257139</v>
      </c>
      <c r="AC56" s="2279"/>
      <c r="AD56" s="2279"/>
      <c r="AE56" s="2279"/>
      <c r="AF56" s="2280"/>
    </row>
    <row r="57" spans="1:76" ht="13.15" customHeight="1">
      <c r="D57" s="307" t="s">
        <v>2101</v>
      </c>
      <c r="AB57" s="2278">
        <f>ROUND((10*AB56*AB50),0)</f>
        <v>36611394</v>
      </c>
      <c r="AC57" s="2279"/>
      <c r="AD57" s="2279"/>
      <c r="AE57" s="2279"/>
      <c r="AF57" s="2280"/>
    </row>
    <row r="58" spans="1:76" ht="13.15" customHeight="1">
      <c r="D58" s="307"/>
      <c r="AB58" s="326"/>
      <c r="AC58" s="326"/>
      <c r="AD58" s="326"/>
      <c r="AE58" s="326"/>
      <c r="AF58" s="326"/>
    </row>
    <row r="59" spans="1:76" ht="13.15" customHeight="1">
      <c r="D59" s="307" t="s">
        <v>2102</v>
      </c>
      <c r="AB59" s="2262">
        <f>AB49-AB57</f>
        <v>0</v>
      </c>
      <c r="AC59" s="2262"/>
      <c r="AD59" s="2262"/>
      <c r="AE59" s="2262"/>
      <c r="AF59" s="2262"/>
    </row>
    <row r="60" spans="1:76" ht="13.15" customHeight="1">
      <c r="D60" s="307"/>
      <c r="AB60" s="326"/>
      <c r="AC60" s="326"/>
      <c r="AD60" s="326"/>
      <c r="AE60" s="326"/>
      <c r="AF60" s="326"/>
    </row>
    <row r="61" spans="1:76" s="136" customFormat="1" ht="13.15" customHeight="1" thickBot="1">
      <c r="A61" s="2281" t="str">
        <f>IF(Application!AP205="yes","Farmworker State Credit", "State Credit" )</f>
        <v>State Credit</v>
      </c>
      <c r="B61" s="2281"/>
      <c r="C61" s="2281"/>
      <c r="D61" s="2281"/>
      <c r="E61" s="2281"/>
      <c r="F61" s="2281"/>
      <c r="G61" s="2281"/>
      <c r="H61" s="2281"/>
      <c r="I61" s="2281"/>
      <c r="J61" s="2281"/>
      <c r="K61" s="2281"/>
      <c r="L61" s="2281"/>
      <c r="M61" s="2281"/>
      <c r="N61" s="2281"/>
      <c r="O61" s="2281"/>
      <c r="P61" s="2281"/>
      <c r="Q61" s="2281"/>
      <c r="R61" s="2281"/>
      <c r="S61" s="2281"/>
      <c r="T61" s="2281"/>
      <c r="U61" s="2281"/>
      <c r="V61" s="2281"/>
      <c r="W61" s="2281"/>
      <c r="X61" s="2281"/>
      <c r="Y61" s="2281"/>
      <c r="Z61" s="2281"/>
      <c r="AA61" s="2281"/>
      <c r="AB61" s="2281"/>
      <c r="AC61" s="2281"/>
      <c r="AD61" s="2281"/>
      <c r="AE61" s="2281"/>
      <c r="AF61" s="2281"/>
      <c r="AG61" s="2281"/>
      <c r="AH61" s="2281"/>
      <c r="AI61" s="2281"/>
      <c r="AJ61" s="2281"/>
      <c r="AK61" s="2281"/>
      <c r="AL61" s="2281"/>
      <c r="AM61" s="2281"/>
      <c r="AN61" s="2281"/>
      <c r="AO61" s="2281"/>
      <c r="AP61" s="2281"/>
      <c r="AQ61" s="2281"/>
      <c r="AR61" s="2281"/>
      <c r="AS61" s="2281"/>
      <c r="AT61" s="2281"/>
      <c r="AU61" s="2281"/>
      <c r="AV61" s="2281"/>
      <c r="AW61" s="2281"/>
      <c r="AX61" s="2281"/>
      <c r="AY61" s="2281"/>
      <c r="AZ61" s="2281"/>
      <c r="BA61" s="2281"/>
      <c r="BB61" s="2281"/>
      <c r="BC61" s="2281"/>
      <c r="BD61" s="2281"/>
      <c r="BE61" s="2281"/>
      <c r="BF61" s="2281"/>
      <c r="BG61" s="2281"/>
      <c r="BH61" s="2281"/>
      <c r="BI61" s="2281"/>
      <c r="BJ61" s="2281"/>
      <c r="BK61" s="2281"/>
      <c r="BL61" s="2281"/>
      <c r="BM61" s="2281"/>
      <c r="BN61" s="2281"/>
      <c r="BO61" s="2281"/>
      <c r="BP61" s="2281"/>
      <c r="BQ61" s="2281"/>
      <c r="BR61" s="2281"/>
      <c r="BS61" s="2281"/>
      <c r="BT61" s="2281"/>
      <c r="BU61" s="2281"/>
      <c r="BV61" s="2281"/>
      <c r="BW61" s="2281"/>
      <c r="BX61" s="2281"/>
    </row>
    <row r="62" spans="1:76" s="136" customFormat="1" ht="13.15" customHeight="1" thickTop="1"/>
    <row r="63" spans="1:76" ht="13.15" customHeight="1">
      <c r="A63" s="307" t="s">
        <v>1005</v>
      </c>
      <c r="C63" s="137" t="s">
        <v>2103</v>
      </c>
      <c r="Y63" s="2273" t="s">
        <v>2104</v>
      </c>
      <c r="Z63" s="2273"/>
      <c r="AA63" s="2273"/>
      <c r="AB63" s="2273"/>
      <c r="AC63" s="2273"/>
      <c r="AD63" s="2273" t="s">
        <v>2090</v>
      </c>
      <c r="AE63" s="2273"/>
      <c r="AF63" s="2273"/>
      <c r="AG63" s="2273"/>
      <c r="AH63" s="2273"/>
    </row>
    <row r="64" spans="1:76" ht="13.15" customHeight="1">
      <c r="C64" s="307"/>
      <c r="D64" s="280" t="s">
        <v>2105</v>
      </c>
      <c r="E64" s="323"/>
      <c r="F64" s="323"/>
      <c r="G64" s="323"/>
      <c r="H64" s="323"/>
      <c r="I64" s="323"/>
      <c r="J64" s="323"/>
      <c r="K64" s="323"/>
      <c r="L64" s="323"/>
      <c r="M64" s="323"/>
      <c r="N64" s="323"/>
      <c r="O64" s="323"/>
      <c r="P64" s="323"/>
      <c r="Q64" s="323"/>
      <c r="R64" s="323"/>
      <c r="S64" s="323"/>
      <c r="T64" s="323"/>
      <c r="U64" s="323"/>
      <c r="V64" s="323"/>
      <c r="W64" s="323"/>
      <c r="X64" s="323"/>
      <c r="Y64" s="2274">
        <f>IF(Application!$Z$205="(select)",0,((T23*T27)+Y28))</f>
        <v>0</v>
      </c>
      <c r="Z64" s="2275"/>
      <c r="AA64" s="2275"/>
      <c r="AB64" s="2275"/>
      <c r="AC64" s="2276"/>
      <c r="AD64" s="2274">
        <f>IF(AND(OR(Application!D211="At-Risk",Application!D211="At-Risk and Special Needs"),Application!M358="yes"),AD28+AI28,0)</f>
        <v>0</v>
      </c>
      <c r="AE64" s="2275"/>
      <c r="AF64" s="2275"/>
      <c r="AG64" s="2275"/>
      <c r="AH64" s="2276"/>
    </row>
    <row r="65" spans="1:36" ht="13.15" customHeight="1">
      <c r="C65" s="307"/>
      <c r="E65" s="909" t="s">
        <v>2106</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2107</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15" customHeight="1">
      <c r="C67" s="307"/>
      <c r="D67" s="307" t="s">
        <v>2108</v>
      </c>
      <c r="E67" s="324"/>
      <c r="F67" s="324"/>
      <c r="G67" s="324"/>
      <c r="H67" s="324"/>
      <c r="I67" s="324"/>
      <c r="J67" s="324"/>
      <c r="K67" s="324"/>
      <c r="L67" s="324"/>
      <c r="M67" s="324"/>
      <c r="N67" s="324"/>
      <c r="O67" s="324"/>
      <c r="P67" s="324"/>
      <c r="Q67" s="324"/>
      <c r="R67" s="324"/>
      <c r="S67" s="324"/>
      <c r="T67" s="324"/>
      <c r="U67" s="324"/>
      <c r="V67" s="324"/>
      <c r="W67" s="324"/>
      <c r="X67" s="324"/>
      <c r="Y67" s="2263">
        <f>IF(OR(Application!Z205="State Farmworker Credit",Application!Z205="$500M (Farmworker Housing)"),0.75,IF(Application!Z205="15% set-aside",0.13,IF(Application!Z205="15% set-aside with qualifying low value rehab",0.95,IF(Application!Z205="$500M",0.3,0))))</f>
        <v>0</v>
      </c>
      <c r="Z67" s="2263"/>
      <c r="AA67" s="2263"/>
      <c r="AB67" s="2263"/>
      <c r="AC67" s="2263"/>
      <c r="AD67" s="2263">
        <f>IF(Application!Z205="15% set-aside with qualifying low value rehab", 0.95,IF(OR(Application!D211="At-Risk",'Points System'!B13="Yes"),0.13,0))</f>
        <v>0</v>
      </c>
      <c r="AE67" s="2263"/>
      <c r="AF67" s="2263"/>
      <c r="AG67" s="2263"/>
      <c r="AH67" s="2263"/>
    </row>
    <row r="68" spans="1:36" ht="13.15" customHeight="1">
      <c r="C68" s="307"/>
      <c r="D68" s="137" t="s">
        <v>2109</v>
      </c>
      <c r="Y68" s="2264">
        <f>ROUND(Y64*Y67,0)</f>
        <v>0</v>
      </c>
      <c r="Z68" s="2265"/>
      <c r="AA68" s="2265"/>
      <c r="AB68" s="2265"/>
      <c r="AC68" s="2265"/>
      <c r="AD68" s="2264">
        <f>ROUND(AD64*AD67,0)</f>
        <v>0</v>
      </c>
      <c r="AE68" s="2265"/>
      <c r="AF68" s="2265"/>
      <c r="AG68" s="2265"/>
      <c r="AH68" s="2265"/>
    </row>
    <row r="69" spans="1:36" ht="13.15" customHeight="1">
      <c r="C69" s="307"/>
      <c r="D69" s="137" t="s">
        <v>2110</v>
      </c>
      <c r="Y69" s="2264">
        <f>IF(OR(Application!Z205="State Farmworker Credit",Application!Z205="$500M (Farmworker Housing)"),Y68+AD68,MIN(Y68+AD68,200000*(Application!G753+Application!O777)))</f>
        <v>0</v>
      </c>
      <c r="Z69" s="2264"/>
      <c r="AA69" s="2264"/>
      <c r="AB69" s="2264"/>
      <c r="AC69" s="2264"/>
      <c r="AD69" s="2264"/>
      <c r="AE69" s="2264"/>
      <c r="AF69" s="2264"/>
      <c r="AG69" s="2264"/>
      <c r="AH69" s="2264"/>
    </row>
    <row r="70" spans="1:36" ht="13.15" customHeight="1">
      <c r="C70" s="307"/>
      <c r="E70" s="307"/>
      <c r="AB70" s="325"/>
      <c r="AC70" s="325"/>
      <c r="AD70" s="325"/>
      <c r="AE70" s="325"/>
      <c r="AF70" s="325"/>
    </row>
    <row r="71" spans="1:36" ht="13.15" customHeight="1">
      <c r="A71" s="307" t="s">
        <v>1017</v>
      </c>
      <c r="C71" s="137" t="s">
        <v>288</v>
      </c>
    </row>
    <row r="72" spans="1:36" ht="13.15" customHeight="1">
      <c r="A72" s="307"/>
      <c r="C72" s="307"/>
      <c r="D72" s="137" t="s">
        <v>729</v>
      </c>
      <c r="AB72" s="2266"/>
      <c r="AC72" s="2267"/>
      <c r="AD72" s="2267"/>
      <c r="AE72" s="2267"/>
      <c r="AF72" s="2268"/>
    </row>
    <row r="73" spans="1:36" ht="13.15" customHeight="1">
      <c r="A73" s="307"/>
      <c r="C73" s="307"/>
      <c r="D73" s="307"/>
      <c r="E73" s="2269" t="s">
        <v>2111</v>
      </c>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2269"/>
      <c r="AB73" s="341"/>
      <c r="AC73" s="341"/>
    </row>
    <row r="74" spans="1:36" ht="13.15" customHeight="1">
      <c r="A74" s="307"/>
      <c r="C74" s="307"/>
      <c r="D74" s="307"/>
      <c r="E74" s="2269"/>
      <c r="F74" s="2269"/>
      <c r="G74" s="2269"/>
      <c r="H74" s="2269"/>
      <c r="I74" s="2269"/>
      <c r="J74" s="2269"/>
      <c r="K74" s="2269"/>
      <c r="L74" s="2269"/>
      <c r="M74" s="2269"/>
      <c r="N74" s="2269"/>
      <c r="O74" s="2269"/>
      <c r="P74" s="2269"/>
      <c r="Q74" s="2269"/>
      <c r="R74" s="2269"/>
      <c r="S74" s="2269"/>
      <c r="T74" s="2269"/>
      <c r="U74" s="2269"/>
      <c r="V74" s="2269"/>
      <c r="W74" s="2269"/>
      <c r="X74" s="2269"/>
      <c r="Y74" s="2269"/>
      <c r="Z74" s="2269"/>
      <c r="AA74" s="2269"/>
      <c r="AB74" s="341"/>
      <c r="AC74" s="341"/>
    </row>
    <row r="75" spans="1:36" ht="13.15" customHeight="1">
      <c r="A75" s="307"/>
      <c r="C75" s="307"/>
      <c r="D75" s="307"/>
      <c r="E75" s="2269"/>
      <c r="F75" s="2269"/>
      <c r="G75" s="2269"/>
      <c r="H75" s="2269"/>
      <c r="I75" s="2269"/>
      <c r="J75" s="2269"/>
      <c r="K75" s="2269"/>
      <c r="L75" s="2269"/>
      <c r="M75" s="2269"/>
      <c r="N75" s="2269"/>
      <c r="O75" s="2269"/>
      <c r="P75" s="2269"/>
      <c r="Q75" s="2269"/>
      <c r="R75" s="2269"/>
      <c r="S75" s="2269"/>
      <c r="T75" s="2269"/>
      <c r="U75" s="2269"/>
      <c r="V75" s="2269"/>
      <c r="W75" s="2269"/>
      <c r="X75" s="2269"/>
      <c r="Y75" s="2269"/>
      <c r="Z75" s="2269"/>
      <c r="AA75" s="2269"/>
      <c r="AB75" s="341"/>
      <c r="AC75" s="341"/>
    </row>
    <row r="76" spans="1:36" ht="13.1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15" customHeight="1">
      <c r="C77" s="307"/>
      <c r="D77" s="137" t="s">
        <v>2112</v>
      </c>
      <c r="AB77" s="2257">
        <f>ROUND(IF(ISERROR((AB59/AB72)),0,(AB59/AB72)),0)</f>
        <v>0</v>
      </c>
      <c r="AC77" s="2257"/>
      <c r="AD77" s="2257"/>
      <c r="AE77" s="2257"/>
      <c r="AF77" s="2257"/>
    </row>
    <row r="78" spans="1:36" ht="13.15" customHeight="1">
      <c r="C78" s="307"/>
      <c r="D78" s="137" t="s">
        <v>2113</v>
      </c>
      <c r="AB78" s="2258">
        <f>ROUNDUP(MIN(Y69,AB77),0)</f>
        <v>0</v>
      </c>
      <c r="AC78" s="2259"/>
      <c r="AD78" s="2259"/>
      <c r="AE78" s="2259"/>
      <c r="AF78" s="2260"/>
    </row>
    <row r="79" spans="1:36" ht="13.15" customHeight="1">
      <c r="C79" s="307"/>
      <c r="D79" s="137" t="s">
        <v>2114</v>
      </c>
      <c r="AB79" s="2261">
        <f>AB78*AB72</f>
        <v>0</v>
      </c>
      <c r="AC79" s="2261"/>
      <c r="AD79" s="2261"/>
      <c r="AE79" s="2261"/>
      <c r="AF79" s="2261"/>
    </row>
    <row r="80" spans="1:36" ht="13.15" customHeight="1">
      <c r="C80" s="307"/>
      <c r="D80" s="307"/>
      <c r="AB80" s="328"/>
      <c r="AC80" s="328"/>
      <c r="AD80" s="328"/>
      <c r="AE80" s="328"/>
      <c r="AF80" s="328"/>
    </row>
    <row r="81" spans="1:78" ht="13.15" customHeight="1">
      <c r="D81" s="307" t="s">
        <v>2102</v>
      </c>
      <c r="AB81" s="2262">
        <f>AB49-(AB57+AB79)</f>
        <v>0</v>
      </c>
      <c r="AC81" s="2262"/>
      <c r="AD81" s="2262"/>
      <c r="AE81" s="2262"/>
      <c r="AF81" s="2262"/>
    </row>
    <row r="82" spans="1:78" ht="13.15" customHeight="1">
      <c r="F82" s="422"/>
      <c r="J82" s="422" t="str">
        <f>IF(AB81&gt;0,"FUNDING GAP MUST NOT EXCEED ZERO","")</f>
        <v/>
      </c>
    </row>
    <row r="83" spans="1:78" ht="13.15" customHeight="1">
      <c r="D83" s="423"/>
    </row>
    <row r="84" spans="1:78" ht="13.15" customHeight="1" thickBot="1">
      <c r="A84" s="2281"/>
      <c r="B84" s="2281"/>
      <c r="C84" s="2281"/>
      <c r="D84" s="2281"/>
      <c r="E84" s="2281"/>
      <c r="F84" s="2281"/>
      <c r="G84" s="2281"/>
      <c r="H84" s="2281"/>
      <c r="I84" s="2281"/>
      <c r="J84" s="2281"/>
      <c r="K84" s="2281"/>
      <c r="L84" s="2281"/>
      <c r="M84" s="2281"/>
      <c r="N84" s="2281"/>
      <c r="O84" s="2281"/>
      <c r="P84" s="2281"/>
      <c r="Q84" s="2281"/>
      <c r="R84" s="2281"/>
      <c r="S84" s="2281"/>
      <c r="T84" s="2281"/>
      <c r="U84" s="2281"/>
      <c r="V84" s="2281"/>
      <c r="W84" s="2281"/>
      <c r="X84" s="2281"/>
      <c r="Y84" s="2281"/>
      <c r="Z84" s="2281"/>
      <c r="AA84" s="2281"/>
      <c r="AB84" s="2281"/>
      <c r="AC84" s="2281"/>
      <c r="AD84" s="2281"/>
      <c r="AE84" s="2281"/>
      <c r="AF84" s="2281"/>
      <c r="AG84" s="2281"/>
      <c r="AH84" s="2281"/>
      <c r="AI84" s="2281"/>
      <c r="AJ84" s="2281"/>
      <c r="AK84" s="2281"/>
      <c r="AL84" s="2281"/>
      <c r="AM84" s="2281"/>
      <c r="AN84" s="2281"/>
      <c r="AO84" s="2281"/>
      <c r="AP84" s="2281"/>
      <c r="AQ84" s="2281"/>
      <c r="AR84" s="2281"/>
      <c r="AS84" s="2281"/>
      <c r="AT84" s="2281"/>
      <c r="AU84" s="2281"/>
      <c r="AV84" s="2281"/>
      <c r="AW84" s="2281"/>
      <c r="AX84" s="2281"/>
      <c r="AY84" s="2281"/>
      <c r="AZ84" s="2281"/>
      <c r="BA84" s="2281"/>
      <c r="BB84" s="2281"/>
      <c r="BC84" s="2281"/>
      <c r="BD84" s="2281"/>
      <c r="BE84" s="2281"/>
      <c r="BF84" s="2281"/>
      <c r="BG84" s="2281"/>
      <c r="BH84" s="2281"/>
      <c r="BI84" s="2281"/>
      <c r="BJ84" s="2281"/>
      <c r="BK84" s="2281"/>
      <c r="BL84" s="2281"/>
      <c r="BM84" s="2281"/>
      <c r="BN84" s="2281"/>
      <c r="BO84" s="2281"/>
      <c r="BP84" s="2281"/>
      <c r="BQ84" s="2281"/>
      <c r="BR84" s="2281"/>
      <c r="BS84" s="2281"/>
      <c r="BT84" s="2281"/>
      <c r="BU84" s="2281"/>
      <c r="BV84" s="2281"/>
      <c r="BW84" s="2281"/>
      <c r="BX84" s="2281"/>
    </row>
    <row r="85" spans="1:78" ht="13.15" customHeight="1" thickTop="1"/>
    <row r="86" spans="1:78" ht="13.15" customHeight="1">
      <c r="A86" s="307"/>
      <c r="C86" s="137"/>
    </row>
    <row r="87" spans="1:78" ht="13.15" customHeight="1">
      <c r="D87" s="137"/>
      <c r="AB87" s="2313"/>
      <c r="AC87" s="2313"/>
      <c r="AD87" s="2313"/>
      <c r="AE87" s="2313"/>
      <c r="AF87" s="2313"/>
    </row>
    <row r="88" spans="1:78" ht="13.15" customHeight="1" thickBot="1">
      <c r="D88" s="137"/>
      <c r="AB88" s="2312"/>
      <c r="AC88" s="2312"/>
      <c r="AD88" s="2312"/>
      <c r="AE88" s="2312"/>
      <c r="AF88" s="2312"/>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1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800" workbookViewId="0">
      <selection activeCell="T128" sqref="T128"/>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5703125" style="13" customWidth="1"/>
    <col min="19" max="19" width="3.28515625" style="13" customWidth="1"/>
    <col min="20" max="26" width="2.42578125" style="13" customWidth="1"/>
    <col min="27" max="30" width="2.5703125" style="13" customWidth="1"/>
    <col min="31" max="32" width="2.42578125" style="13" customWidth="1"/>
    <col min="33" max="33" width="3.42578125" style="13" customWidth="1"/>
    <col min="34" max="36" width="2.42578125" style="13" customWidth="1"/>
    <col min="37" max="37" width="5.5703125" style="13" customWidth="1"/>
    <col min="38" max="38" width="2.42578125" style="13" customWidth="1"/>
    <col min="39" max="39" width="3.42578125" style="13" customWidth="1"/>
    <col min="40" max="40" width="5.5703125" style="434" customWidth="1"/>
    <col min="41" max="41" width="5.5703125" style="25" hidden="1" customWidth="1"/>
    <col min="42" max="45" width="5.5703125" style="13" hidden="1" customWidth="1"/>
    <col min="46" max="46" width="10.85546875" style="13" hidden="1" customWidth="1"/>
    <col min="47" max="48" width="5.5703125" style="13" hidden="1" customWidth="1"/>
    <col min="49" max="49" width="8.7109375" style="13" hidden="1" customWidth="1"/>
    <col min="50" max="50" width="7.42578125" style="13" hidden="1" customWidth="1"/>
    <col min="51" max="55" width="5.5703125" style="13" hidden="1" customWidth="1"/>
    <col min="56" max="60" width="5.5703125" style="27" hidden="1" customWidth="1"/>
    <col min="61" max="81" width="5.5703125" style="13" hidden="1" customWidth="1"/>
    <col min="82" max="16384" width="9.140625" style="13" hidden="1"/>
  </cols>
  <sheetData>
    <row r="1" spans="1:42" ht="15.75" customHeight="1">
      <c r="A1" s="2355" t="s">
        <v>2115</v>
      </c>
      <c r="B1" s="2355"/>
      <c r="C1" s="2355"/>
      <c r="D1" s="2355"/>
      <c r="E1" s="2355"/>
      <c r="F1" s="2355"/>
      <c r="G1" s="2355"/>
      <c r="H1" s="2355"/>
      <c r="I1" s="2355"/>
      <c r="J1" s="2355"/>
      <c r="K1" s="2355"/>
      <c r="L1" s="2355"/>
      <c r="M1" s="2355"/>
      <c r="N1" s="2355"/>
      <c r="O1" s="2355"/>
      <c r="P1" s="2355"/>
      <c r="Q1" s="2355"/>
      <c r="R1" s="2355"/>
      <c r="S1" s="2355"/>
      <c r="T1" s="2355"/>
      <c r="U1" s="2355"/>
      <c r="V1" s="2355"/>
      <c r="W1" s="2355"/>
      <c r="X1" s="2355"/>
      <c r="Y1" s="2355"/>
      <c r="Z1" s="2355"/>
      <c r="AA1" s="2355"/>
      <c r="AB1" s="2355"/>
      <c r="AC1" s="2355"/>
      <c r="AD1" s="2355"/>
      <c r="AE1" s="2355"/>
      <c r="AF1" s="2355"/>
      <c r="AG1" s="2355"/>
      <c r="AH1" s="2355"/>
      <c r="AI1" s="2355"/>
      <c r="AJ1" s="2355"/>
      <c r="AK1" s="2355"/>
      <c r="AL1" s="2355"/>
      <c r="AM1" s="2355"/>
    </row>
    <row r="2" spans="1:42" s="436" customFormat="1" ht="12.75" customHeight="1" thickBot="1">
      <c r="A2" s="2356"/>
      <c r="B2" s="2356"/>
      <c r="C2" s="2356"/>
      <c r="D2" s="2356"/>
      <c r="E2" s="2356"/>
      <c r="F2" s="2356"/>
      <c r="G2" s="2356"/>
      <c r="H2" s="2356"/>
      <c r="I2" s="2356"/>
      <c r="J2" s="2356"/>
      <c r="K2" s="2356"/>
      <c r="L2" s="2356"/>
      <c r="M2" s="2356"/>
      <c r="N2" s="2356"/>
      <c r="O2" s="2356"/>
      <c r="P2" s="2356"/>
      <c r="Q2" s="2356"/>
      <c r="R2" s="2356"/>
      <c r="S2" s="2356"/>
      <c r="T2" s="2356"/>
      <c r="U2" s="2356"/>
      <c r="V2" s="2356"/>
      <c r="W2" s="2356"/>
      <c r="X2" s="2356"/>
      <c r="Y2" s="2356"/>
      <c r="Z2" s="2356"/>
      <c r="AA2" s="2356"/>
      <c r="AB2" s="2356"/>
      <c r="AC2" s="2356"/>
      <c r="AD2" s="2356"/>
      <c r="AE2" s="2356"/>
      <c r="AF2" s="2356"/>
      <c r="AG2" s="2356"/>
      <c r="AH2" s="2356"/>
      <c r="AI2" s="2356"/>
      <c r="AJ2" s="2356"/>
      <c r="AK2" s="2356"/>
      <c r="AL2" s="2356"/>
      <c r="AM2" s="2356"/>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2116</v>
      </c>
      <c r="B4" s="439" t="s">
        <v>2117</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2118</v>
      </c>
      <c r="B7" s="439" t="s">
        <v>2119</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36" t="s">
        <v>2120</v>
      </c>
      <c r="AF7" s="2336"/>
      <c r="AG7" s="2336"/>
      <c r="AH7" s="2336"/>
      <c r="AI7" s="2336"/>
      <c r="AJ7" s="2336"/>
      <c r="AK7" s="2336"/>
      <c r="AL7" s="440"/>
      <c r="AM7" s="440"/>
      <c r="AN7" s="435"/>
    </row>
    <row r="8" spans="1:42" s="436" customFormat="1" ht="12.75" customHeight="1">
      <c r="A8" s="438"/>
      <c r="B8" s="439" t="s">
        <v>2121</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2122</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2123</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26" t="s">
        <v>807</v>
      </c>
      <c r="C13" s="2326"/>
      <c r="D13" s="447"/>
      <c r="E13" s="448" t="s">
        <v>2124</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57"/>
      <c r="AH13" s="2357"/>
      <c r="AI13" s="2357"/>
      <c r="AJ13" s="2358"/>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26" t="s">
        <v>807</v>
      </c>
      <c r="C16" s="2326"/>
      <c r="D16" s="447"/>
      <c r="E16" s="2337" t="s">
        <v>2125</v>
      </c>
      <c r="F16" s="2338"/>
      <c r="G16" s="2338"/>
      <c r="H16" s="2338"/>
      <c r="I16" s="2338"/>
      <c r="J16" s="2338"/>
      <c r="K16" s="2338"/>
      <c r="L16" s="2338"/>
      <c r="M16" s="2338"/>
      <c r="N16" s="2338"/>
      <c r="O16" s="2338"/>
      <c r="P16" s="2338"/>
      <c r="Q16" s="2338"/>
      <c r="R16" s="2338"/>
      <c r="S16" s="2338"/>
      <c r="T16" s="2338"/>
      <c r="U16" s="2338"/>
      <c r="V16" s="2338"/>
      <c r="W16" s="2338"/>
      <c r="X16" s="2338"/>
      <c r="Y16" s="2338"/>
      <c r="Z16" s="2338"/>
      <c r="AA16" s="2338"/>
      <c r="AB16" s="2338"/>
      <c r="AC16" s="2338"/>
      <c r="AD16" s="2338"/>
      <c r="AE16" s="2338"/>
      <c r="AF16" s="2338"/>
      <c r="AG16" s="2338"/>
      <c r="AH16" s="2338"/>
      <c r="AI16" s="2338"/>
      <c r="AJ16" s="2339"/>
      <c r="AK16" s="440"/>
      <c r="AL16" s="440"/>
      <c r="AM16" s="440"/>
      <c r="AN16" s="435"/>
      <c r="AO16" s="450">
        <f>IF($B25="yes",20,0)</f>
        <v>0</v>
      </c>
      <c r="AP16" s="13"/>
    </row>
    <row r="17" spans="1:42" s="436" customFormat="1" ht="12.75" customHeight="1">
      <c r="A17" s="440"/>
      <c r="B17" s="440"/>
      <c r="C17" s="440"/>
      <c r="D17" s="451"/>
      <c r="E17" s="2340"/>
      <c r="F17" s="2341"/>
      <c r="G17" s="2341"/>
      <c r="H17" s="2341"/>
      <c r="I17" s="2341"/>
      <c r="J17" s="2341"/>
      <c r="K17" s="2341"/>
      <c r="L17" s="2341"/>
      <c r="M17" s="2341"/>
      <c r="N17" s="2341"/>
      <c r="O17" s="2341"/>
      <c r="P17" s="2341"/>
      <c r="Q17" s="2341"/>
      <c r="R17" s="2341"/>
      <c r="S17" s="2341"/>
      <c r="T17" s="2341"/>
      <c r="U17" s="2341"/>
      <c r="V17" s="2341"/>
      <c r="W17" s="2341"/>
      <c r="X17" s="2341"/>
      <c r="Y17" s="2341"/>
      <c r="Z17" s="2341"/>
      <c r="AA17" s="2341"/>
      <c r="AB17" s="2341"/>
      <c r="AC17" s="2341"/>
      <c r="AD17" s="2341"/>
      <c r="AE17" s="2341"/>
      <c r="AF17" s="2341"/>
      <c r="AG17" s="2341"/>
      <c r="AH17" s="2341"/>
      <c r="AI17" s="2341"/>
      <c r="AJ17" s="2342"/>
      <c r="AK17" s="440"/>
      <c r="AL17" s="440"/>
      <c r="AM17" s="440"/>
      <c r="AN17" s="435"/>
      <c r="AO17" s="450">
        <f>IF($B28="yes",20,0)</f>
        <v>0</v>
      </c>
    </row>
    <row r="18" spans="1:42" s="436" customFormat="1" ht="12.75" customHeight="1">
      <c r="A18" s="440"/>
      <c r="B18" s="440"/>
      <c r="C18" s="440"/>
      <c r="D18" s="451"/>
      <c r="E18" s="2340"/>
      <c r="F18" s="2341"/>
      <c r="G18" s="2341"/>
      <c r="H18" s="2341"/>
      <c r="I18" s="2341"/>
      <c r="J18" s="2341"/>
      <c r="K18" s="2341"/>
      <c r="L18" s="2341"/>
      <c r="M18" s="2341"/>
      <c r="N18" s="2341"/>
      <c r="O18" s="2341"/>
      <c r="P18" s="2341"/>
      <c r="Q18" s="2341"/>
      <c r="R18" s="2341"/>
      <c r="S18" s="2341"/>
      <c r="T18" s="2341"/>
      <c r="U18" s="2341"/>
      <c r="V18" s="2341"/>
      <c r="W18" s="2341"/>
      <c r="X18" s="2341"/>
      <c r="Y18" s="2341"/>
      <c r="Z18" s="2341"/>
      <c r="AA18" s="2341"/>
      <c r="AB18" s="2341"/>
      <c r="AC18" s="2341"/>
      <c r="AD18" s="2341"/>
      <c r="AE18" s="2341"/>
      <c r="AF18" s="2341"/>
      <c r="AG18" s="2341"/>
      <c r="AH18" s="2341"/>
      <c r="AI18" s="2341"/>
      <c r="AJ18" s="2342"/>
      <c r="AK18" s="440"/>
      <c r="AL18" s="440"/>
      <c r="AM18" s="440"/>
      <c r="AN18" s="435"/>
      <c r="AO18" s="436">
        <f>IF(SUM(AO13:AO17)&gt;20,20,(SUM(AO13:AO17)))</f>
        <v>0</v>
      </c>
      <c r="AP18" s="436" t="s">
        <v>2126</v>
      </c>
    </row>
    <row r="19" spans="1:42" s="436" customFormat="1" ht="12.75" customHeight="1">
      <c r="A19" s="440"/>
      <c r="B19" s="440"/>
      <c r="C19" s="440"/>
      <c r="D19" s="451"/>
      <c r="E19" s="452" t="s">
        <v>2127</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68"/>
      <c r="F20" s="2369"/>
      <c r="G20" s="2369"/>
      <c r="H20" s="2369"/>
      <c r="I20" s="2369"/>
      <c r="J20" s="2369"/>
      <c r="K20" s="2369"/>
      <c r="L20" s="2369"/>
      <c r="M20" s="2369"/>
      <c r="N20" s="2369"/>
      <c r="O20" s="2369"/>
      <c r="P20" s="2369"/>
      <c r="Q20" s="2369"/>
      <c r="R20" s="2369"/>
      <c r="S20" s="2369"/>
      <c r="T20" s="2369"/>
      <c r="U20" s="2369"/>
      <c r="V20" s="2369"/>
      <c r="W20" s="2369"/>
      <c r="X20" s="2369"/>
      <c r="Y20" s="2369"/>
      <c r="Z20" s="2369"/>
      <c r="AA20" s="2369"/>
      <c r="AB20" s="2369"/>
      <c r="AC20" s="2369"/>
      <c r="AD20" s="2369"/>
      <c r="AE20" s="2369"/>
      <c r="AF20" s="2369"/>
      <c r="AG20" s="2369"/>
      <c r="AH20" s="2369"/>
      <c r="AI20" s="2369"/>
      <c r="AJ20" s="2370"/>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26" t="s">
        <v>807</v>
      </c>
      <c r="C22" s="2326"/>
      <c r="D22" s="447"/>
      <c r="E22" s="2362" t="s">
        <v>2128</v>
      </c>
      <c r="F22" s="2363"/>
      <c r="G22" s="2363"/>
      <c r="H22" s="2363"/>
      <c r="I22" s="2363"/>
      <c r="J22" s="2363"/>
      <c r="K22" s="2363"/>
      <c r="L22" s="2363"/>
      <c r="M22" s="2363"/>
      <c r="N22" s="2363"/>
      <c r="O22" s="2363"/>
      <c r="P22" s="2363"/>
      <c r="Q22" s="2363"/>
      <c r="R22" s="2363"/>
      <c r="S22" s="2363"/>
      <c r="T22" s="2363"/>
      <c r="U22" s="2363"/>
      <c r="V22" s="2363"/>
      <c r="W22" s="2363"/>
      <c r="X22" s="2363"/>
      <c r="Y22" s="2363"/>
      <c r="Z22" s="2363"/>
      <c r="AA22" s="2363"/>
      <c r="AB22" s="2363"/>
      <c r="AC22" s="2363"/>
      <c r="AD22" s="2363"/>
      <c r="AE22" s="2363"/>
      <c r="AF22" s="2363"/>
      <c r="AG22" s="2363"/>
      <c r="AH22" s="2363"/>
      <c r="AI22" s="2363"/>
      <c r="AJ22" s="2364"/>
      <c r="AK22" s="440"/>
      <c r="AL22" s="440"/>
      <c r="AM22" s="440"/>
      <c r="AN22" s="435"/>
      <c r="AO22" s="450">
        <f>IF($B40="yes",14,0)</f>
        <v>0</v>
      </c>
    </row>
    <row r="23" spans="1:42" s="436" customFormat="1" ht="12.75" customHeight="1">
      <c r="A23" s="440"/>
      <c r="B23" s="440"/>
      <c r="C23" s="440"/>
      <c r="D23" s="450"/>
      <c r="E23" s="2365"/>
      <c r="F23" s="2366"/>
      <c r="G23" s="2366"/>
      <c r="H23" s="2366"/>
      <c r="I23" s="2366"/>
      <c r="J23" s="2366"/>
      <c r="K23" s="2366"/>
      <c r="L23" s="2366"/>
      <c r="M23" s="2366"/>
      <c r="N23" s="2366"/>
      <c r="O23" s="2366"/>
      <c r="P23" s="2366"/>
      <c r="Q23" s="2366"/>
      <c r="R23" s="2366"/>
      <c r="S23" s="2366"/>
      <c r="T23" s="2366"/>
      <c r="U23" s="2366"/>
      <c r="V23" s="2366"/>
      <c r="W23" s="2366"/>
      <c r="X23" s="2366"/>
      <c r="Y23" s="2366"/>
      <c r="Z23" s="2366"/>
      <c r="AA23" s="2366"/>
      <c r="AB23" s="2366"/>
      <c r="AC23" s="2366"/>
      <c r="AD23" s="2366"/>
      <c r="AE23" s="2366"/>
      <c r="AF23" s="2366"/>
      <c r="AG23" s="2366"/>
      <c r="AH23" s="2366"/>
      <c r="AI23" s="2366"/>
      <c r="AJ23" s="2367"/>
      <c r="AK23" s="440"/>
      <c r="AL23" s="440"/>
      <c r="AM23" s="440"/>
      <c r="AN23" s="435"/>
      <c r="AO23" s="436">
        <f>IF(SUM(AO20:AO21)&gt;14,14,SUM(AO20:AO21))</f>
        <v>0</v>
      </c>
      <c r="AP23" s="436" t="s">
        <v>2126</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26" t="s">
        <v>807</v>
      </c>
      <c r="C25" s="2326"/>
      <c r="D25" s="447"/>
      <c r="E25" s="2327" t="s">
        <v>2129</v>
      </c>
      <c r="F25" s="2328"/>
      <c r="G25" s="2328"/>
      <c r="H25" s="2328"/>
      <c r="I25" s="2328"/>
      <c r="J25" s="2328"/>
      <c r="K25" s="2328"/>
      <c r="L25" s="2328"/>
      <c r="M25" s="2328"/>
      <c r="N25" s="2328"/>
      <c r="O25" s="2328"/>
      <c r="P25" s="2328"/>
      <c r="Q25" s="2328"/>
      <c r="R25" s="2328"/>
      <c r="S25" s="2328"/>
      <c r="T25" s="2328"/>
      <c r="U25" s="2328"/>
      <c r="V25" s="2328"/>
      <c r="W25" s="2328"/>
      <c r="X25" s="2328"/>
      <c r="Y25" s="2328"/>
      <c r="Z25" s="2328"/>
      <c r="AA25" s="2328"/>
      <c r="AB25" s="2328"/>
      <c r="AC25" s="2328"/>
      <c r="AD25" s="2328"/>
      <c r="AE25" s="2328"/>
      <c r="AF25" s="2328"/>
      <c r="AG25" s="2328"/>
      <c r="AH25" s="2328"/>
      <c r="AI25" s="2328"/>
      <c r="AJ25" s="2329"/>
      <c r="AK25" s="440"/>
      <c r="AL25" s="440"/>
      <c r="AM25" s="440"/>
      <c r="AN25" s="435"/>
      <c r="AO25" s="450">
        <f>IF($B45="yes",6,0)</f>
        <v>0</v>
      </c>
    </row>
    <row r="26" spans="1:42" s="436" customFormat="1" ht="12.75" customHeight="1">
      <c r="A26" s="440"/>
      <c r="B26" s="440"/>
      <c r="C26" s="440"/>
      <c r="D26" s="450"/>
      <c r="E26" s="2330"/>
      <c r="F26" s="2331"/>
      <c r="G26" s="2331"/>
      <c r="H26" s="2331"/>
      <c r="I26" s="2331"/>
      <c r="J26" s="2331"/>
      <c r="K26" s="2331"/>
      <c r="L26" s="2331"/>
      <c r="M26" s="2331"/>
      <c r="N26" s="2331"/>
      <c r="O26" s="2331"/>
      <c r="P26" s="2331"/>
      <c r="Q26" s="2331"/>
      <c r="R26" s="2331"/>
      <c r="S26" s="2331"/>
      <c r="T26" s="2331"/>
      <c r="U26" s="2331"/>
      <c r="V26" s="2331"/>
      <c r="W26" s="2331"/>
      <c r="X26" s="2331"/>
      <c r="Y26" s="2331"/>
      <c r="Z26" s="2331"/>
      <c r="AA26" s="2331"/>
      <c r="AB26" s="2331"/>
      <c r="AC26" s="2331"/>
      <c r="AD26" s="2331"/>
      <c r="AE26" s="2331"/>
      <c r="AF26" s="2331"/>
      <c r="AG26" s="2331"/>
      <c r="AH26" s="2331"/>
      <c r="AI26" s="2331"/>
      <c r="AJ26" s="2332"/>
      <c r="AK26" s="440"/>
      <c r="AL26" s="440"/>
      <c r="AM26" s="440"/>
      <c r="AN26" s="435"/>
      <c r="AO26" s="436">
        <f>IF(AO25&gt;6,6,AO25)</f>
        <v>0</v>
      </c>
      <c r="AP26" s="436" t="s">
        <v>2126</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26" t="s">
        <v>807</v>
      </c>
      <c r="C28" s="2326"/>
      <c r="D28" s="447"/>
      <c r="E28" s="2350" t="s">
        <v>2130</v>
      </c>
      <c r="F28" s="2351"/>
      <c r="G28" s="2351"/>
      <c r="H28" s="2351"/>
      <c r="I28" s="2351"/>
      <c r="J28" s="2351"/>
      <c r="K28" s="2351"/>
      <c r="L28" s="2351"/>
      <c r="M28" s="2351"/>
      <c r="N28" s="2351"/>
      <c r="O28" s="2351"/>
      <c r="P28" s="2351"/>
      <c r="Q28" s="2351"/>
      <c r="R28" s="2351"/>
      <c r="S28" s="2351"/>
      <c r="T28" s="2351"/>
      <c r="U28" s="2351"/>
      <c r="V28" s="2351"/>
      <c r="W28" s="2351"/>
      <c r="X28" s="2351"/>
      <c r="Y28" s="2351"/>
      <c r="Z28" s="2351"/>
      <c r="AA28" s="2351"/>
      <c r="AB28" s="2351"/>
      <c r="AC28" s="2351"/>
      <c r="AD28" s="2351"/>
      <c r="AE28" s="2351"/>
      <c r="AF28" s="2351"/>
      <c r="AG28" s="2351"/>
      <c r="AH28" s="2351"/>
      <c r="AI28" s="2351"/>
      <c r="AJ28" s="2352"/>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2131</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2126</v>
      </c>
    </row>
    <row r="33" spans="1:41" s="436" customFormat="1" ht="12.75" customHeight="1">
      <c r="A33" s="440"/>
      <c r="B33" s="2326" t="s">
        <v>807</v>
      </c>
      <c r="C33" s="2326"/>
      <c r="D33" s="447"/>
      <c r="E33" s="2362" t="s">
        <v>2132</v>
      </c>
      <c r="F33" s="2363"/>
      <c r="G33" s="2363"/>
      <c r="H33" s="2363"/>
      <c r="I33" s="2363"/>
      <c r="J33" s="2363"/>
      <c r="K33" s="2363"/>
      <c r="L33" s="2363"/>
      <c r="M33" s="2363"/>
      <c r="N33" s="2363"/>
      <c r="O33" s="2363"/>
      <c r="P33" s="2363"/>
      <c r="Q33" s="2363"/>
      <c r="R33" s="2363"/>
      <c r="S33" s="2363"/>
      <c r="T33" s="2363"/>
      <c r="U33" s="2363"/>
      <c r="V33" s="2363"/>
      <c r="W33" s="2363"/>
      <c r="X33" s="2363"/>
      <c r="Y33" s="2363"/>
      <c r="Z33" s="2363"/>
      <c r="AA33" s="2363"/>
      <c r="AB33" s="2363"/>
      <c r="AC33" s="2363"/>
      <c r="AD33" s="2363"/>
      <c r="AE33" s="2363"/>
      <c r="AF33" s="2363"/>
      <c r="AG33" s="2363"/>
      <c r="AH33" s="2363"/>
      <c r="AI33" s="2363"/>
      <c r="AJ33" s="2364"/>
      <c r="AK33" s="440"/>
      <c r="AL33" s="440"/>
      <c r="AM33" s="440"/>
      <c r="AN33" s="435"/>
      <c r="AO33" s="450"/>
    </row>
    <row r="34" spans="1:41" s="436" customFormat="1" ht="12.75" customHeight="1">
      <c r="A34" s="440"/>
      <c r="B34" s="440"/>
      <c r="C34" s="440"/>
      <c r="E34" s="2365"/>
      <c r="F34" s="2366"/>
      <c r="G34" s="2366"/>
      <c r="H34" s="2366"/>
      <c r="I34" s="2366"/>
      <c r="J34" s="2366"/>
      <c r="K34" s="2366"/>
      <c r="L34" s="2366"/>
      <c r="M34" s="2366"/>
      <c r="N34" s="2366"/>
      <c r="O34" s="2366"/>
      <c r="P34" s="2366"/>
      <c r="Q34" s="2366"/>
      <c r="R34" s="2366"/>
      <c r="S34" s="2366"/>
      <c r="T34" s="2366"/>
      <c r="U34" s="2366"/>
      <c r="V34" s="2366"/>
      <c r="W34" s="2366"/>
      <c r="X34" s="2366"/>
      <c r="Y34" s="2366"/>
      <c r="Z34" s="2366"/>
      <c r="AA34" s="2366"/>
      <c r="AB34" s="2366"/>
      <c r="AC34" s="2366"/>
      <c r="AD34" s="2366"/>
      <c r="AE34" s="2366"/>
      <c r="AF34" s="2366"/>
      <c r="AG34" s="2366"/>
      <c r="AH34" s="2366"/>
      <c r="AI34" s="2366"/>
      <c r="AJ34" s="2367"/>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26" t="s">
        <v>807</v>
      </c>
      <c r="C36" s="2326"/>
      <c r="D36" s="447"/>
      <c r="E36" s="2327" t="s">
        <v>2133</v>
      </c>
      <c r="F36" s="2328"/>
      <c r="G36" s="2328"/>
      <c r="H36" s="2328"/>
      <c r="I36" s="2328"/>
      <c r="J36" s="2328"/>
      <c r="K36" s="2328"/>
      <c r="L36" s="2328"/>
      <c r="M36" s="2328"/>
      <c r="N36" s="2328"/>
      <c r="O36" s="2328"/>
      <c r="P36" s="2328"/>
      <c r="Q36" s="2328"/>
      <c r="R36" s="2328"/>
      <c r="S36" s="2328"/>
      <c r="T36" s="2328"/>
      <c r="U36" s="2328"/>
      <c r="V36" s="2328"/>
      <c r="W36" s="2328"/>
      <c r="X36" s="2328"/>
      <c r="Y36" s="2328"/>
      <c r="Z36" s="2328"/>
      <c r="AA36" s="2328"/>
      <c r="AB36" s="2328"/>
      <c r="AC36" s="2328"/>
      <c r="AD36" s="2328"/>
      <c r="AE36" s="2328"/>
      <c r="AF36" s="2328"/>
      <c r="AG36" s="2328"/>
      <c r="AH36" s="2328"/>
      <c r="AI36" s="2328"/>
      <c r="AJ36" s="2329"/>
      <c r="AK36" s="440"/>
      <c r="AL36" s="440"/>
      <c r="AM36" s="440"/>
      <c r="AN36" s="435"/>
    </row>
    <row r="37" spans="1:41" s="436" customFormat="1" ht="12.75" customHeight="1">
      <c r="A37" s="440"/>
      <c r="B37" s="440"/>
      <c r="C37" s="440"/>
      <c r="E37" s="2333"/>
      <c r="F37" s="2334"/>
      <c r="G37" s="2334"/>
      <c r="H37" s="2334"/>
      <c r="I37" s="2334"/>
      <c r="J37" s="2334"/>
      <c r="K37" s="2334"/>
      <c r="L37" s="2334"/>
      <c r="M37" s="2334"/>
      <c r="N37" s="2334"/>
      <c r="O37" s="2334"/>
      <c r="P37" s="2334"/>
      <c r="Q37" s="2334"/>
      <c r="R37" s="2334"/>
      <c r="S37" s="2334"/>
      <c r="T37" s="2334"/>
      <c r="U37" s="2334"/>
      <c r="V37" s="2334"/>
      <c r="W37" s="2334"/>
      <c r="X37" s="2334"/>
      <c r="Y37" s="2334"/>
      <c r="Z37" s="2334"/>
      <c r="AA37" s="2334"/>
      <c r="AB37" s="2334"/>
      <c r="AC37" s="2334"/>
      <c r="AD37" s="2334"/>
      <c r="AE37" s="2334"/>
      <c r="AF37" s="2334"/>
      <c r="AG37" s="2334"/>
      <c r="AH37" s="2334"/>
      <c r="AI37" s="2334"/>
      <c r="AJ37" s="2335"/>
      <c r="AK37" s="440"/>
      <c r="AL37" s="440"/>
      <c r="AM37" s="440"/>
      <c r="AN37" s="435"/>
    </row>
    <row r="38" spans="1:41" s="436" customFormat="1" ht="12.75" customHeight="1">
      <c r="A38" s="440"/>
      <c r="B38" s="440"/>
      <c r="C38" s="440"/>
      <c r="E38" s="2330"/>
      <c r="F38" s="2331"/>
      <c r="G38" s="2331"/>
      <c r="H38" s="2331"/>
      <c r="I38" s="2331"/>
      <c r="J38" s="2331"/>
      <c r="K38" s="2331"/>
      <c r="L38" s="2331"/>
      <c r="M38" s="2331"/>
      <c r="N38" s="2331"/>
      <c r="O38" s="2331"/>
      <c r="P38" s="2331"/>
      <c r="Q38" s="2331"/>
      <c r="R38" s="2331"/>
      <c r="S38" s="2331"/>
      <c r="T38" s="2331"/>
      <c r="U38" s="2331"/>
      <c r="V38" s="2331"/>
      <c r="W38" s="2331"/>
      <c r="X38" s="2331"/>
      <c r="Y38" s="2331"/>
      <c r="Z38" s="2331"/>
      <c r="AA38" s="2331"/>
      <c r="AB38" s="2331"/>
      <c r="AC38" s="2331"/>
      <c r="AD38" s="2331"/>
      <c r="AE38" s="2331"/>
      <c r="AF38" s="2331"/>
      <c r="AG38" s="2331"/>
      <c r="AH38" s="2331"/>
      <c r="AI38" s="2331"/>
      <c r="AJ38" s="2332"/>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326" t="s">
        <v>807</v>
      </c>
      <c r="C40" s="2326"/>
      <c r="D40" s="447"/>
      <c r="E40" s="2327" t="s">
        <v>2134</v>
      </c>
      <c r="F40" s="2328"/>
      <c r="G40" s="2328"/>
      <c r="H40" s="2328"/>
      <c r="I40" s="2328"/>
      <c r="J40" s="2328"/>
      <c r="K40" s="2328"/>
      <c r="L40" s="2328"/>
      <c r="M40" s="2328"/>
      <c r="N40" s="2328"/>
      <c r="O40" s="2328"/>
      <c r="P40" s="2328"/>
      <c r="Q40" s="2328"/>
      <c r="R40" s="2328"/>
      <c r="S40" s="2328"/>
      <c r="T40" s="2328"/>
      <c r="U40" s="2328"/>
      <c r="V40" s="2328"/>
      <c r="W40" s="2328"/>
      <c r="X40" s="2328"/>
      <c r="Y40" s="2328"/>
      <c r="Z40" s="2328"/>
      <c r="AA40" s="2328"/>
      <c r="AB40" s="2328"/>
      <c r="AC40" s="2328"/>
      <c r="AD40" s="2328"/>
      <c r="AE40" s="2328"/>
      <c r="AF40" s="2328"/>
      <c r="AG40" s="2328"/>
      <c r="AH40" s="2328"/>
      <c r="AI40" s="2328"/>
      <c r="AJ40" s="2329"/>
      <c r="AK40" s="440"/>
      <c r="AL40" s="440"/>
      <c r="AM40" s="440"/>
      <c r="AN40" s="435"/>
    </row>
    <row r="41" spans="1:41" s="436" customFormat="1" ht="12.75" customHeight="1">
      <c r="A41" s="440"/>
      <c r="B41" s="440"/>
      <c r="C41" s="440"/>
      <c r="E41" s="2330"/>
      <c r="F41" s="2331"/>
      <c r="G41" s="2331"/>
      <c r="H41" s="2331"/>
      <c r="I41" s="2331"/>
      <c r="J41" s="2331"/>
      <c r="K41" s="2331"/>
      <c r="L41" s="2331"/>
      <c r="M41" s="2331"/>
      <c r="N41" s="2331"/>
      <c r="O41" s="2331"/>
      <c r="P41" s="2331"/>
      <c r="Q41" s="2331"/>
      <c r="R41" s="2331"/>
      <c r="S41" s="2331"/>
      <c r="T41" s="2331"/>
      <c r="U41" s="2331"/>
      <c r="V41" s="2331"/>
      <c r="W41" s="2331"/>
      <c r="X41" s="2331"/>
      <c r="Y41" s="2331"/>
      <c r="Z41" s="2331"/>
      <c r="AA41" s="2331"/>
      <c r="AB41" s="2331"/>
      <c r="AC41" s="2331"/>
      <c r="AD41" s="2331"/>
      <c r="AE41" s="2331"/>
      <c r="AF41" s="2331"/>
      <c r="AG41" s="2331"/>
      <c r="AH41" s="2331"/>
      <c r="AI41" s="2331"/>
      <c r="AJ41" s="2332"/>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2135</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326" t="s">
        <v>807</v>
      </c>
      <c r="C45" s="2326"/>
      <c r="D45" s="1031"/>
      <c r="E45" s="2327" t="s">
        <v>2136</v>
      </c>
      <c r="F45" s="2328"/>
      <c r="G45" s="2328"/>
      <c r="H45" s="2328"/>
      <c r="I45" s="2328"/>
      <c r="J45" s="2328"/>
      <c r="K45" s="2328"/>
      <c r="L45" s="2328"/>
      <c r="M45" s="2328"/>
      <c r="N45" s="2328"/>
      <c r="O45" s="2328"/>
      <c r="P45" s="2328"/>
      <c r="Q45" s="2328"/>
      <c r="R45" s="2328"/>
      <c r="S45" s="2328"/>
      <c r="T45" s="2328"/>
      <c r="U45" s="2328"/>
      <c r="V45" s="2328"/>
      <c r="W45" s="2328"/>
      <c r="X45" s="2328"/>
      <c r="Y45" s="2328"/>
      <c r="Z45" s="2328"/>
      <c r="AA45" s="2328"/>
      <c r="AB45" s="2328"/>
      <c r="AC45" s="2328"/>
      <c r="AD45" s="2328"/>
      <c r="AE45" s="2328"/>
      <c r="AF45" s="2328"/>
      <c r="AG45" s="2328"/>
      <c r="AH45" s="2328"/>
      <c r="AI45" s="2328"/>
      <c r="AJ45" s="2329"/>
      <c r="AK45" s="1031"/>
      <c r="AL45" s="440"/>
      <c r="AM45" s="440"/>
      <c r="AN45" s="435"/>
    </row>
    <row r="46" spans="1:41" s="436" customFormat="1" ht="12.75" customHeight="1">
      <c r="A46" s="440"/>
      <c r="B46" s="440"/>
      <c r="C46" s="440"/>
      <c r="E46" s="2333"/>
      <c r="F46" s="2334"/>
      <c r="G46" s="2334"/>
      <c r="H46" s="2334"/>
      <c r="I46" s="2334"/>
      <c r="J46" s="2334"/>
      <c r="K46" s="2334"/>
      <c r="L46" s="2334"/>
      <c r="M46" s="2334"/>
      <c r="N46" s="2334"/>
      <c r="O46" s="2334"/>
      <c r="P46" s="2334"/>
      <c r="Q46" s="2334"/>
      <c r="R46" s="2334"/>
      <c r="S46" s="2334"/>
      <c r="T46" s="2334"/>
      <c r="U46" s="2334"/>
      <c r="V46" s="2334"/>
      <c r="W46" s="2334"/>
      <c r="X46" s="2334"/>
      <c r="Y46" s="2334"/>
      <c r="Z46" s="2334"/>
      <c r="AA46" s="2334"/>
      <c r="AB46" s="2334"/>
      <c r="AC46" s="2334"/>
      <c r="AD46" s="2334"/>
      <c r="AE46" s="2334"/>
      <c r="AF46" s="2334"/>
      <c r="AG46" s="2334"/>
      <c r="AH46" s="2334"/>
      <c r="AI46" s="2334"/>
      <c r="AJ46" s="2335"/>
      <c r="AK46" s="440"/>
      <c r="AL46" s="440"/>
      <c r="AM46" s="440"/>
      <c r="AN46" s="435"/>
    </row>
    <row r="47" spans="1:41" s="436" customFormat="1" ht="12.75" customHeight="1">
      <c r="A47" s="440"/>
      <c r="D47" s="447"/>
      <c r="E47" s="2330"/>
      <c r="F47" s="2331"/>
      <c r="G47" s="2331"/>
      <c r="H47" s="2331"/>
      <c r="I47" s="2331"/>
      <c r="J47" s="2331"/>
      <c r="K47" s="2331"/>
      <c r="L47" s="2331"/>
      <c r="M47" s="2331"/>
      <c r="N47" s="2331"/>
      <c r="O47" s="2331"/>
      <c r="P47" s="2331"/>
      <c r="Q47" s="2331"/>
      <c r="R47" s="2331"/>
      <c r="S47" s="2331"/>
      <c r="T47" s="2331"/>
      <c r="U47" s="2331"/>
      <c r="V47" s="2331"/>
      <c r="W47" s="2331"/>
      <c r="X47" s="2331"/>
      <c r="Y47" s="2331"/>
      <c r="Z47" s="2331"/>
      <c r="AA47" s="2331"/>
      <c r="AB47" s="2331"/>
      <c r="AC47" s="2331"/>
      <c r="AD47" s="2331"/>
      <c r="AE47" s="2331"/>
      <c r="AF47" s="2331"/>
      <c r="AG47" s="2331"/>
      <c r="AH47" s="2331"/>
      <c r="AI47" s="2331"/>
      <c r="AJ47" s="2332"/>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2137</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2138</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26" t="s">
        <v>807</v>
      </c>
      <c r="C52" s="2326"/>
      <c r="D52" s="440"/>
      <c r="E52" s="2327" t="s">
        <v>2139</v>
      </c>
      <c r="F52" s="2328"/>
      <c r="G52" s="2328"/>
      <c r="H52" s="2328"/>
      <c r="I52" s="2328"/>
      <c r="J52" s="2328"/>
      <c r="K52" s="2328"/>
      <c r="L52" s="2328"/>
      <c r="M52" s="2328"/>
      <c r="N52" s="2328"/>
      <c r="O52" s="2328"/>
      <c r="P52" s="2328"/>
      <c r="Q52" s="2328"/>
      <c r="R52" s="2328"/>
      <c r="S52" s="2328"/>
      <c r="T52" s="2328"/>
      <c r="U52" s="2328"/>
      <c r="V52" s="2328"/>
      <c r="W52" s="2328"/>
      <c r="X52" s="2328"/>
      <c r="Y52" s="2328"/>
      <c r="Z52" s="2328"/>
      <c r="AA52" s="2328"/>
      <c r="AB52" s="2328"/>
      <c r="AC52" s="2328"/>
      <c r="AD52" s="2328"/>
      <c r="AE52" s="2328"/>
      <c r="AF52" s="2328"/>
      <c r="AG52" s="2328"/>
      <c r="AH52" s="2328"/>
      <c r="AI52" s="2328"/>
      <c r="AJ52" s="2329"/>
      <c r="AK52" s="440"/>
      <c r="AL52" s="440"/>
      <c r="AM52" s="440"/>
      <c r="AN52" s="435"/>
      <c r="AO52" s="459"/>
    </row>
    <row r="53" spans="1:50" s="436" customFormat="1" ht="12.75" customHeight="1">
      <c r="A53" s="440"/>
      <c r="D53" s="447"/>
      <c r="E53" s="2333"/>
      <c r="F53" s="2334"/>
      <c r="G53" s="2334"/>
      <c r="H53" s="2334"/>
      <c r="I53" s="2334"/>
      <c r="J53" s="2334"/>
      <c r="K53" s="2334"/>
      <c r="L53" s="2334"/>
      <c r="M53" s="2334"/>
      <c r="N53" s="2334"/>
      <c r="O53" s="2334"/>
      <c r="P53" s="2334"/>
      <c r="Q53" s="2334"/>
      <c r="R53" s="2334"/>
      <c r="S53" s="2334"/>
      <c r="T53" s="2334"/>
      <c r="U53" s="2334"/>
      <c r="V53" s="2334"/>
      <c r="W53" s="2334"/>
      <c r="X53" s="2334"/>
      <c r="Y53" s="2334"/>
      <c r="Z53" s="2334"/>
      <c r="AA53" s="2334"/>
      <c r="AB53" s="2334"/>
      <c r="AC53" s="2334"/>
      <c r="AD53" s="2334"/>
      <c r="AE53" s="2334"/>
      <c r="AF53" s="2334"/>
      <c r="AG53" s="2334"/>
      <c r="AH53" s="2334"/>
      <c r="AI53" s="2334"/>
      <c r="AJ53" s="2335"/>
      <c r="AK53" s="440"/>
      <c r="AL53" s="440"/>
      <c r="AM53" s="440"/>
      <c r="AN53" s="435"/>
      <c r="AO53" s="459"/>
    </row>
    <row r="54" spans="1:50" s="436" customFormat="1" ht="12.75" customHeight="1">
      <c r="A54" s="440"/>
      <c r="D54" s="440"/>
      <c r="E54" s="2330"/>
      <c r="F54" s="2331"/>
      <c r="G54" s="2331"/>
      <c r="H54" s="2331"/>
      <c r="I54" s="2331"/>
      <c r="J54" s="2331"/>
      <c r="K54" s="2331"/>
      <c r="L54" s="2331"/>
      <c r="M54" s="2331"/>
      <c r="N54" s="2331"/>
      <c r="O54" s="2331"/>
      <c r="P54" s="2331"/>
      <c r="Q54" s="2331"/>
      <c r="R54" s="2331"/>
      <c r="S54" s="2331"/>
      <c r="T54" s="2331"/>
      <c r="U54" s="2331"/>
      <c r="V54" s="2331"/>
      <c r="W54" s="2331"/>
      <c r="X54" s="2331"/>
      <c r="Y54" s="2331"/>
      <c r="Z54" s="2331"/>
      <c r="AA54" s="2331"/>
      <c r="AB54" s="2331"/>
      <c r="AC54" s="2331"/>
      <c r="AD54" s="2331"/>
      <c r="AE54" s="2331"/>
      <c r="AF54" s="2331"/>
      <c r="AG54" s="2331"/>
      <c r="AH54" s="2331"/>
      <c r="AI54" s="2331"/>
      <c r="AJ54" s="2332"/>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26" t="s">
        <v>807</v>
      </c>
      <c r="C56" s="2326"/>
      <c r="D56" s="440"/>
      <c r="E56" s="2347" t="s">
        <v>2140</v>
      </c>
      <c r="F56" s="2348"/>
      <c r="G56" s="2348"/>
      <c r="H56" s="2348"/>
      <c r="I56" s="2348"/>
      <c r="J56" s="2348"/>
      <c r="K56" s="2348"/>
      <c r="L56" s="2348"/>
      <c r="M56" s="2348"/>
      <c r="N56" s="2348"/>
      <c r="O56" s="2348"/>
      <c r="P56" s="2348"/>
      <c r="Q56" s="2348"/>
      <c r="R56" s="2348"/>
      <c r="S56" s="2348"/>
      <c r="T56" s="2348"/>
      <c r="U56" s="2348"/>
      <c r="V56" s="2348"/>
      <c r="W56" s="2348"/>
      <c r="X56" s="2348"/>
      <c r="Y56" s="2348"/>
      <c r="Z56" s="2348"/>
      <c r="AA56" s="2348"/>
      <c r="AB56" s="2348"/>
      <c r="AC56" s="2348"/>
      <c r="AD56" s="2348"/>
      <c r="AE56" s="2348"/>
      <c r="AF56" s="2348"/>
      <c r="AG56" s="2348"/>
      <c r="AH56" s="2348"/>
      <c r="AI56" s="2348"/>
      <c r="AJ56" s="2349"/>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26" t="s">
        <v>807</v>
      </c>
      <c r="C58" s="2326"/>
      <c r="D58" s="440"/>
      <c r="E58" s="2327" t="s">
        <v>2141</v>
      </c>
      <c r="F58" s="2328"/>
      <c r="G58" s="2328"/>
      <c r="H58" s="2328"/>
      <c r="I58" s="2328"/>
      <c r="J58" s="2328"/>
      <c r="K58" s="2328"/>
      <c r="L58" s="2328"/>
      <c r="M58" s="2328"/>
      <c r="N58" s="2328"/>
      <c r="O58" s="2328"/>
      <c r="P58" s="2328"/>
      <c r="Q58" s="2328"/>
      <c r="R58" s="2328"/>
      <c r="S58" s="2328"/>
      <c r="T58" s="2328"/>
      <c r="U58" s="2328"/>
      <c r="V58" s="2328"/>
      <c r="W58" s="2328"/>
      <c r="X58" s="2328"/>
      <c r="Y58" s="2328"/>
      <c r="Z58" s="2328"/>
      <c r="AA58" s="2328"/>
      <c r="AB58" s="2328"/>
      <c r="AC58" s="2328"/>
      <c r="AD58" s="2328"/>
      <c r="AE58" s="2328"/>
      <c r="AF58" s="2328"/>
      <c r="AG58" s="2328"/>
      <c r="AH58" s="2328"/>
      <c r="AI58" s="2328"/>
      <c r="AJ58" s="2329"/>
      <c r="AK58" s="440"/>
      <c r="AL58" s="440"/>
      <c r="AM58" s="440"/>
      <c r="AN58" s="435"/>
    </row>
    <row r="59" spans="1:50" s="436" customFormat="1" ht="12.75" customHeight="1">
      <c r="A59" s="440"/>
      <c r="B59" s="447"/>
      <c r="C59" s="447"/>
      <c r="D59" s="447"/>
      <c r="E59" s="2330"/>
      <c r="F59" s="2331"/>
      <c r="G59" s="2331"/>
      <c r="H59" s="2331"/>
      <c r="I59" s="2331"/>
      <c r="J59" s="2331"/>
      <c r="K59" s="2331"/>
      <c r="L59" s="2331"/>
      <c r="M59" s="2331"/>
      <c r="N59" s="2331"/>
      <c r="O59" s="2331"/>
      <c r="P59" s="2331"/>
      <c r="Q59" s="2331"/>
      <c r="R59" s="2331"/>
      <c r="S59" s="2331"/>
      <c r="T59" s="2331"/>
      <c r="U59" s="2331"/>
      <c r="V59" s="2331"/>
      <c r="W59" s="2331"/>
      <c r="X59" s="2331"/>
      <c r="Y59" s="2331"/>
      <c r="Z59" s="2331"/>
      <c r="AA59" s="2331"/>
      <c r="AB59" s="2331"/>
      <c r="AC59" s="2331"/>
      <c r="AD59" s="2331"/>
      <c r="AE59" s="2331"/>
      <c r="AF59" s="2331"/>
      <c r="AG59" s="2331"/>
      <c r="AH59" s="2331"/>
      <c r="AI59" s="2331"/>
      <c r="AJ59" s="2332"/>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2142</v>
      </c>
      <c r="AK62" s="2359">
        <f>AO39</f>
        <v>0</v>
      </c>
      <c r="AL62" s="2360"/>
      <c r="AM62" s="2361"/>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2143</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36" t="s">
        <v>2144</v>
      </c>
      <c r="AF65" s="2336"/>
      <c r="AG65" s="2336"/>
      <c r="AH65" s="2336"/>
      <c r="AI65" s="2336"/>
      <c r="AJ65" s="2336"/>
      <c r="AK65" s="2336"/>
      <c r="AL65" s="440"/>
      <c r="AM65" s="440"/>
      <c r="AN65" s="435"/>
    </row>
    <row r="66" spans="1:42" s="436" customFormat="1" ht="12.75" customHeight="1">
      <c r="A66" s="438"/>
      <c r="B66" s="439" t="s">
        <v>2145</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26" t="s">
        <v>843</v>
      </c>
      <c r="C68" s="2326"/>
      <c r="D68" s="447" t="s">
        <v>2146</v>
      </c>
      <c r="E68" s="2337" t="s">
        <v>2147</v>
      </c>
      <c r="F68" s="2338"/>
      <c r="G68" s="2338"/>
      <c r="H68" s="2338"/>
      <c r="I68" s="2338"/>
      <c r="J68" s="2338"/>
      <c r="K68" s="2338"/>
      <c r="L68" s="2338"/>
      <c r="M68" s="2338"/>
      <c r="N68" s="2338"/>
      <c r="O68" s="2338"/>
      <c r="P68" s="2338"/>
      <c r="Q68" s="2338"/>
      <c r="R68" s="2338"/>
      <c r="S68" s="2338"/>
      <c r="T68" s="2338"/>
      <c r="U68" s="2338"/>
      <c r="V68" s="2338"/>
      <c r="W68" s="2338"/>
      <c r="X68" s="2338"/>
      <c r="Y68" s="2338"/>
      <c r="Z68" s="2338"/>
      <c r="AA68" s="2338"/>
      <c r="AB68" s="2338"/>
      <c r="AC68" s="2338"/>
      <c r="AD68" s="2338"/>
      <c r="AE68" s="2338"/>
      <c r="AF68" s="2338"/>
      <c r="AG68" s="2338"/>
      <c r="AH68" s="2338"/>
      <c r="AI68" s="2338"/>
      <c r="AJ68" s="2339"/>
      <c r="AK68" s="443"/>
      <c r="AL68" s="440"/>
      <c r="AM68" s="440"/>
      <c r="AN68" s="435"/>
      <c r="AO68" s="450">
        <f>IF($B68="yes",10,0)</f>
        <v>10</v>
      </c>
    </row>
    <row r="69" spans="1:42" s="436" customFormat="1" ht="12.75" customHeight="1">
      <c r="A69" s="438"/>
      <c r="B69" s="440"/>
      <c r="C69" s="440"/>
      <c r="D69" s="451"/>
      <c r="E69" s="2340"/>
      <c r="F69" s="2341"/>
      <c r="G69" s="2341"/>
      <c r="H69" s="2341"/>
      <c r="I69" s="2341"/>
      <c r="J69" s="2341"/>
      <c r="K69" s="2341"/>
      <c r="L69" s="2341"/>
      <c r="M69" s="2341"/>
      <c r="N69" s="2341"/>
      <c r="O69" s="2341"/>
      <c r="P69" s="2341"/>
      <c r="Q69" s="2341"/>
      <c r="R69" s="2341"/>
      <c r="S69" s="2341"/>
      <c r="T69" s="2341"/>
      <c r="U69" s="2341"/>
      <c r="V69" s="2341"/>
      <c r="W69" s="2341"/>
      <c r="X69" s="2341"/>
      <c r="Y69" s="2341"/>
      <c r="Z69" s="2341"/>
      <c r="AA69" s="2341"/>
      <c r="AB69" s="2341"/>
      <c r="AC69" s="2341"/>
      <c r="AD69" s="2341"/>
      <c r="AE69" s="2341"/>
      <c r="AF69" s="2341"/>
      <c r="AG69" s="2341"/>
      <c r="AH69" s="2341"/>
      <c r="AI69" s="2341"/>
      <c r="AJ69" s="2342"/>
      <c r="AK69" s="443"/>
      <c r="AL69" s="440"/>
      <c r="AM69" s="440"/>
      <c r="AN69" s="435"/>
      <c r="AO69" s="450">
        <f>IF($B74="yes",10,0)</f>
        <v>0</v>
      </c>
    </row>
    <row r="70" spans="1:42" s="436" customFormat="1" ht="12.75" customHeight="1">
      <c r="A70" s="438"/>
      <c r="B70" s="440"/>
      <c r="C70" s="440"/>
      <c r="D70" s="451"/>
      <c r="E70" s="2340"/>
      <c r="F70" s="2341"/>
      <c r="G70" s="2341"/>
      <c r="H70" s="2341"/>
      <c r="I70" s="2341"/>
      <c r="J70" s="2341"/>
      <c r="K70" s="2341"/>
      <c r="L70" s="2341"/>
      <c r="M70" s="2341"/>
      <c r="N70" s="2341"/>
      <c r="O70" s="2341"/>
      <c r="P70" s="2341"/>
      <c r="Q70" s="2341"/>
      <c r="R70" s="2341"/>
      <c r="S70" s="2341"/>
      <c r="T70" s="2341"/>
      <c r="U70" s="2341"/>
      <c r="V70" s="2341"/>
      <c r="W70" s="2341"/>
      <c r="X70" s="2341"/>
      <c r="Y70" s="2341"/>
      <c r="Z70" s="2341"/>
      <c r="AA70" s="2341"/>
      <c r="AB70" s="2341"/>
      <c r="AC70" s="2341"/>
      <c r="AD70" s="2341"/>
      <c r="AE70" s="2341"/>
      <c r="AF70" s="2341"/>
      <c r="AG70" s="2341"/>
      <c r="AH70" s="2341"/>
      <c r="AI70" s="2341"/>
      <c r="AJ70" s="2342"/>
      <c r="AK70" s="443"/>
      <c r="AL70" s="440"/>
      <c r="AM70" s="440"/>
      <c r="AN70" s="435"/>
      <c r="AO70" s="450">
        <f>IF($B81="yes",10,0)</f>
        <v>0</v>
      </c>
    </row>
    <row r="71" spans="1:42" s="436" customFormat="1" ht="12.75" customHeight="1">
      <c r="A71" s="438"/>
      <c r="B71" s="440"/>
      <c r="C71" s="440"/>
      <c r="D71" s="451"/>
      <c r="E71" s="2340"/>
      <c r="F71" s="2341"/>
      <c r="G71" s="2341"/>
      <c r="H71" s="2341"/>
      <c r="I71" s="2341"/>
      <c r="J71" s="2341"/>
      <c r="K71" s="2341"/>
      <c r="L71" s="2341"/>
      <c r="M71" s="2341"/>
      <c r="N71" s="2341"/>
      <c r="O71" s="2341"/>
      <c r="P71" s="2341"/>
      <c r="Q71" s="2341"/>
      <c r="R71" s="2341"/>
      <c r="S71" s="2341"/>
      <c r="T71" s="2341"/>
      <c r="U71" s="2341"/>
      <c r="V71" s="2341"/>
      <c r="W71" s="2341"/>
      <c r="X71" s="2341"/>
      <c r="Y71" s="2341"/>
      <c r="Z71" s="2341"/>
      <c r="AA71" s="2341"/>
      <c r="AB71" s="2341"/>
      <c r="AC71" s="2341"/>
      <c r="AD71" s="2341"/>
      <c r="AE71" s="2341"/>
      <c r="AF71" s="2341"/>
      <c r="AG71" s="2341"/>
      <c r="AH71" s="2341"/>
      <c r="AI71" s="2341"/>
      <c r="AJ71" s="2342"/>
      <c r="AK71" s="443"/>
      <c r="AL71" s="440"/>
      <c r="AM71" s="440"/>
      <c r="AN71" s="435"/>
      <c r="AO71" s="436">
        <f>IF(SUM(AO68:AO70)&gt;10,10,(SUM(AO68:AO70)))</f>
        <v>10</v>
      </c>
      <c r="AP71" s="474" t="s">
        <v>2148</v>
      </c>
    </row>
    <row r="72" spans="1:42" s="436" customFormat="1" ht="12.75" customHeight="1">
      <c r="A72" s="438"/>
      <c r="B72" s="440"/>
      <c r="C72" s="440"/>
      <c r="D72" s="451"/>
      <c r="E72" s="2343"/>
      <c r="F72" s="2344"/>
      <c r="G72" s="2344"/>
      <c r="H72" s="2344"/>
      <c r="I72" s="2344"/>
      <c r="J72" s="2344"/>
      <c r="K72" s="2344"/>
      <c r="L72" s="2344"/>
      <c r="M72" s="2344"/>
      <c r="N72" s="2344"/>
      <c r="O72" s="2344"/>
      <c r="P72" s="2344"/>
      <c r="Q72" s="2344"/>
      <c r="R72" s="2344"/>
      <c r="S72" s="2344"/>
      <c r="T72" s="2344"/>
      <c r="U72" s="2344"/>
      <c r="V72" s="2344"/>
      <c r="W72" s="2344"/>
      <c r="X72" s="2344"/>
      <c r="Y72" s="2344"/>
      <c r="Z72" s="2344"/>
      <c r="AA72" s="2344"/>
      <c r="AB72" s="2344"/>
      <c r="AC72" s="2344"/>
      <c r="AD72" s="2344"/>
      <c r="AE72" s="2344"/>
      <c r="AF72" s="2344"/>
      <c r="AG72" s="2344"/>
      <c r="AH72" s="2344"/>
      <c r="AI72" s="2344"/>
      <c r="AJ72" s="2345"/>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26" t="s">
        <v>807</v>
      </c>
      <c r="C74" s="2326"/>
      <c r="D74" s="447" t="s">
        <v>2149</v>
      </c>
      <c r="E74" s="865" t="s">
        <v>2150</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46" t="s">
        <v>807</v>
      </c>
      <c r="F75" s="2326"/>
      <c r="G75" s="475"/>
      <c r="H75" s="458" t="s">
        <v>2151</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24" t="s">
        <v>807</v>
      </c>
      <c r="F76" s="2325"/>
      <c r="G76" s="475"/>
      <c r="H76" s="458" t="s">
        <v>2152</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24" t="s">
        <v>807</v>
      </c>
      <c r="F77" s="2325"/>
      <c r="G77" s="475"/>
      <c r="H77" s="458" t="s">
        <v>2153</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46" t="s">
        <v>807</v>
      </c>
      <c r="F79" s="2326"/>
      <c r="G79" s="802"/>
      <c r="H79" s="870" t="s">
        <v>2154</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26" t="s">
        <v>807</v>
      </c>
      <c r="C81" s="2326"/>
      <c r="D81" s="447" t="s">
        <v>2155</v>
      </c>
      <c r="E81" s="2327" t="s">
        <v>2156</v>
      </c>
      <c r="F81" s="2328"/>
      <c r="G81" s="2328"/>
      <c r="H81" s="2328"/>
      <c r="I81" s="2328"/>
      <c r="J81" s="2328"/>
      <c r="K81" s="2328"/>
      <c r="L81" s="2328"/>
      <c r="M81" s="2328"/>
      <c r="N81" s="2328"/>
      <c r="O81" s="2328"/>
      <c r="P81" s="2328"/>
      <c r="Q81" s="2328"/>
      <c r="R81" s="2328"/>
      <c r="S81" s="2328"/>
      <c r="T81" s="2328"/>
      <c r="U81" s="2328"/>
      <c r="V81" s="2328"/>
      <c r="W81" s="2328"/>
      <c r="X81" s="2328"/>
      <c r="Y81" s="2328"/>
      <c r="Z81" s="2328"/>
      <c r="AA81" s="2328"/>
      <c r="AB81" s="2328"/>
      <c r="AC81" s="2328"/>
      <c r="AD81" s="2328"/>
      <c r="AE81" s="2328"/>
      <c r="AF81" s="2328"/>
      <c r="AG81" s="2328"/>
      <c r="AH81" s="2328"/>
      <c r="AI81" s="2328"/>
      <c r="AJ81" s="2329"/>
      <c r="AK81" s="443"/>
      <c r="AL81" s="440"/>
      <c r="AM81" s="440"/>
      <c r="AN81" s="435"/>
    </row>
    <row r="82" spans="1:43" s="436" customFormat="1" ht="12.75" customHeight="1">
      <c r="A82" s="438"/>
      <c r="B82" s="440"/>
      <c r="C82" s="440"/>
      <c r="D82" s="450"/>
      <c r="E82" s="2330"/>
      <c r="F82" s="2331"/>
      <c r="G82" s="2331"/>
      <c r="H82" s="2331"/>
      <c r="I82" s="2331"/>
      <c r="J82" s="2331"/>
      <c r="K82" s="2331"/>
      <c r="L82" s="2331"/>
      <c r="M82" s="2331"/>
      <c r="N82" s="2331"/>
      <c r="O82" s="2331"/>
      <c r="P82" s="2331"/>
      <c r="Q82" s="2331"/>
      <c r="R82" s="2331"/>
      <c r="S82" s="2331"/>
      <c r="T82" s="2331"/>
      <c r="U82" s="2331"/>
      <c r="V82" s="2331"/>
      <c r="W82" s="2331"/>
      <c r="X82" s="2331"/>
      <c r="Y82" s="2331"/>
      <c r="Z82" s="2331"/>
      <c r="AA82" s="2331"/>
      <c r="AB82" s="2331"/>
      <c r="AC82" s="2331"/>
      <c r="AD82" s="2331"/>
      <c r="AE82" s="2331"/>
      <c r="AF82" s="2331"/>
      <c r="AG82" s="2331"/>
      <c r="AH82" s="2331"/>
      <c r="AI82" s="2331"/>
      <c r="AJ82" s="2332"/>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2157</v>
      </c>
      <c r="AK84" s="2359">
        <f>IF(AK62&gt;0,0,AO71)</f>
        <v>10</v>
      </c>
      <c r="AL84" s="2360"/>
      <c r="AM84" s="2361"/>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2158</v>
      </c>
      <c r="B87" s="439" t="s">
        <v>2159</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36" t="s">
        <v>2120</v>
      </c>
      <c r="AF87" s="2336"/>
      <c r="AG87" s="2336"/>
      <c r="AH87" s="2336"/>
      <c r="AI87" s="2336"/>
      <c r="AJ87" s="2336"/>
      <c r="AK87" s="2336"/>
      <c r="AL87" s="440"/>
      <c r="AM87" s="440"/>
      <c r="AN87" s="435"/>
    </row>
    <row r="88" spans="1:43" s="436" customFormat="1" ht="12.75" customHeight="1">
      <c r="A88" s="438"/>
      <c r="B88" s="439" t="s">
        <v>2160</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26" t="s">
        <v>807</v>
      </c>
      <c r="C90" s="2326"/>
      <c r="D90" s="447" t="s">
        <v>2146</v>
      </c>
      <c r="E90" s="2337" t="s">
        <v>2161</v>
      </c>
      <c r="F90" s="2338"/>
      <c r="G90" s="2338"/>
      <c r="H90" s="2338"/>
      <c r="I90" s="2338"/>
      <c r="J90" s="2338"/>
      <c r="K90" s="2338"/>
      <c r="L90" s="2338"/>
      <c r="M90" s="2338"/>
      <c r="N90" s="2338"/>
      <c r="O90" s="2338"/>
      <c r="P90" s="2338"/>
      <c r="Q90" s="2338"/>
      <c r="R90" s="2338"/>
      <c r="S90" s="2338"/>
      <c r="T90" s="2338"/>
      <c r="U90" s="2338"/>
      <c r="V90" s="2338"/>
      <c r="W90" s="2338"/>
      <c r="X90" s="2338"/>
      <c r="Y90" s="2338"/>
      <c r="Z90" s="2338"/>
      <c r="AA90" s="2338"/>
      <c r="AB90" s="2338"/>
      <c r="AC90" s="2338"/>
      <c r="AD90" s="2338"/>
      <c r="AE90" s="2338"/>
      <c r="AF90" s="2338"/>
      <c r="AG90" s="2338"/>
      <c r="AH90" s="2338"/>
      <c r="AI90" s="2338"/>
      <c r="AJ90" s="2339"/>
      <c r="AK90" s="443"/>
      <c r="AL90" s="440"/>
      <c r="AM90" s="440"/>
      <c r="AN90" s="435"/>
    </row>
    <row r="91" spans="1:43" s="436" customFormat="1" ht="12.75" customHeight="1">
      <c r="A91" s="438"/>
      <c r="B91" s="439"/>
      <c r="C91" s="439"/>
      <c r="D91" s="439"/>
      <c r="E91" s="2340"/>
      <c r="F91" s="2341"/>
      <c r="G91" s="2341"/>
      <c r="H91" s="2341"/>
      <c r="I91" s="2341"/>
      <c r="J91" s="2341"/>
      <c r="K91" s="2341"/>
      <c r="L91" s="2341"/>
      <c r="M91" s="2341"/>
      <c r="N91" s="2341"/>
      <c r="O91" s="2341"/>
      <c r="P91" s="2341"/>
      <c r="Q91" s="2341"/>
      <c r="R91" s="2341"/>
      <c r="S91" s="2341"/>
      <c r="T91" s="2341"/>
      <c r="U91" s="2341"/>
      <c r="V91" s="2341"/>
      <c r="W91" s="2341"/>
      <c r="X91" s="2341"/>
      <c r="Y91" s="2341"/>
      <c r="Z91" s="2341"/>
      <c r="AA91" s="2341"/>
      <c r="AB91" s="2341"/>
      <c r="AC91" s="2341"/>
      <c r="AD91" s="2341"/>
      <c r="AE91" s="2341"/>
      <c r="AF91" s="2341"/>
      <c r="AG91" s="2341"/>
      <c r="AH91" s="2341"/>
      <c r="AI91" s="2341"/>
      <c r="AJ91" s="2342"/>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20">
        <f>Application!AC753</f>
        <v>0.5658031088082901</v>
      </c>
      <c r="F93" s="2321"/>
      <c r="G93" s="2321"/>
      <c r="H93" s="2321"/>
      <c r="I93" s="477"/>
      <c r="J93" s="480" t="s">
        <v>2162</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22">
        <f>0.6-ROUNDUP(E93,2)</f>
        <v>2.9999999999999916E-2</v>
      </c>
      <c r="F94" s="2323"/>
      <c r="G94" s="2323"/>
      <c r="H94" s="2323"/>
      <c r="I94" s="477"/>
      <c r="J94" s="480" t="s">
        <v>2163</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53">
        <f>IF(E94*200&gt;20,20,E94*200)</f>
        <v>5.9999999999999831</v>
      </c>
      <c r="F95" s="2354"/>
      <c r="G95" s="2354"/>
      <c r="H95" s="2354"/>
      <c r="I95" s="477"/>
      <c r="J95" s="480" t="s">
        <v>2164</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2126</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26" t="s">
        <v>843</v>
      </c>
      <c r="C98" s="2326"/>
      <c r="D98" s="447" t="s">
        <v>2149</v>
      </c>
      <c r="E98" s="2337" t="s">
        <v>2165</v>
      </c>
      <c r="F98" s="2338"/>
      <c r="G98" s="2338"/>
      <c r="H98" s="2338"/>
      <c r="I98" s="2338"/>
      <c r="J98" s="2338"/>
      <c r="K98" s="2338"/>
      <c r="L98" s="2338"/>
      <c r="M98" s="2338"/>
      <c r="N98" s="2338"/>
      <c r="O98" s="2338"/>
      <c r="P98" s="2338"/>
      <c r="Q98" s="2338"/>
      <c r="R98" s="2338"/>
      <c r="S98" s="2338"/>
      <c r="T98" s="2338"/>
      <c r="U98" s="2338"/>
      <c r="V98" s="2338"/>
      <c r="W98" s="2338"/>
      <c r="X98" s="2338"/>
      <c r="Y98" s="2338"/>
      <c r="Z98" s="2338"/>
      <c r="AA98" s="2338"/>
      <c r="AB98" s="2338"/>
      <c r="AC98" s="2338"/>
      <c r="AD98" s="2338"/>
      <c r="AE98" s="2338"/>
      <c r="AF98" s="2338"/>
      <c r="AG98" s="2338"/>
      <c r="AH98" s="2338"/>
      <c r="AI98" s="2338"/>
      <c r="AJ98" s="2339"/>
      <c r="AK98" s="443"/>
      <c r="AL98" s="440"/>
      <c r="AM98" s="440"/>
      <c r="AN98" s="435"/>
    </row>
    <row r="99" spans="1:47" s="436" customFormat="1" ht="12.75" customHeight="1">
      <c r="A99" s="438"/>
      <c r="B99" s="439"/>
      <c r="C99" s="439"/>
      <c r="D99" s="439"/>
      <c r="E99" s="2340"/>
      <c r="F99" s="2341"/>
      <c r="G99" s="2341"/>
      <c r="H99" s="2341"/>
      <c r="I99" s="2341"/>
      <c r="J99" s="2341"/>
      <c r="K99" s="2341"/>
      <c r="L99" s="2341"/>
      <c r="M99" s="2341"/>
      <c r="N99" s="2341"/>
      <c r="O99" s="2341"/>
      <c r="P99" s="2341"/>
      <c r="Q99" s="2341"/>
      <c r="R99" s="2341"/>
      <c r="S99" s="2341"/>
      <c r="T99" s="2341"/>
      <c r="U99" s="2341"/>
      <c r="V99" s="2341"/>
      <c r="W99" s="2341"/>
      <c r="X99" s="2341"/>
      <c r="Y99" s="2341"/>
      <c r="Z99" s="2341"/>
      <c r="AA99" s="2341"/>
      <c r="AB99" s="2341"/>
      <c r="AC99" s="2341"/>
      <c r="AD99" s="2341"/>
      <c r="AE99" s="2341"/>
      <c r="AF99" s="2341"/>
      <c r="AG99" s="2341"/>
      <c r="AH99" s="2341"/>
      <c r="AI99" s="2341"/>
      <c r="AJ99" s="2342"/>
      <c r="AK99" s="443"/>
      <c r="AL99" s="440"/>
      <c r="AM99" s="440"/>
      <c r="AN99" s="435"/>
    </row>
    <row r="100" spans="1:47" s="436" customFormat="1" ht="12.75" customHeight="1">
      <c r="A100" s="438"/>
      <c r="B100" s="439"/>
      <c r="C100" s="439"/>
      <c r="D100" s="439"/>
      <c r="E100" s="2340"/>
      <c r="F100" s="2341"/>
      <c r="G100" s="2341"/>
      <c r="H100" s="2341"/>
      <c r="I100" s="2341"/>
      <c r="J100" s="2341"/>
      <c r="K100" s="2341"/>
      <c r="L100" s="2341"/>
      <c r="M100" s="2341"/>
      <c r="N100" s="2341"/>
      <c r="O100" s="2341"/>
      <c r="P100" s="2341"/>
      <c r="Q100" s="2341"/>
      <c r="R100" s="2341"/>
      <c r="S100" s="2341"/>
      <c r="T100" s="2341"/>
      <c r="U100" s="2341"/>
      <c r="V100" s="2341"/>
      <c r="W100" s="2341"/>
      <c r="X100" s="2341"/>
      <c r="Y100" s="2341"/>
      <c r="Z100" s="2341"/>
      <c r="AA100" s="2341"/>
      <c r="AB100" s="2341"/>
      <c r="AC100" s="2341"/>
      <c r="AD100" s="2341"/>
      <c r="AE100" s="2341"/>
      <c r="AF100" s="2341"/>
      <c r="AG100" s="2341"/>
      <c r="AH100" s="2341"/>
      <c r="AI100" s="2341"/>
      <c r="AJ100" s="2342"/>
      <c r="AK100" s="443"/>
      <c r="AL100" s="440"/>
      <c r="AM100" s="440"/>
      <c r="AN100" s="435"/>
    </row>
    <row r="101" spans="1:47" s="436" customFormat="1" ht="12.75" customHeight="1">
      <c r="A101" s="438"/>
      <c r="B101" s="439"/>
      <c r="C101" s="439"/>
      <c r="D101" s="439"/>
      <c r="E101" s="2340"/>
      <c r="F101" s="2341"/>
      <c r="G101" s="2341"/>
      <c r="H101" s="2341"/>
      <c r="I101" s="2341"/>
      <c r="J101" s="2341"/>
      <c r="K101" s="2341"/>
      <c r="L101" s="2341"/>
      <c r="M101" s="2341"/>
      <c r="N101" s="2341"/>
      <c r="O101" s="2341"/>
      <c r="P101" s="2341"/>
      <c r="Q101" s="2341"/>
      <c r="R101" s="2341"/>
      <c r="S101" s="2341"/>
      <c r="T101" s="2341"/>
      <c r="U101" s="2341"/>
      <c r="V101" s="2341"/>
      <c r="W101" s="2341"/>
      <c r="X101" s="2341"/>
      <c r="Y101" s="2341"/>
      <c r="Z101" s="2341"/>
      <c r="AA101" s="2341"/>
      <c r="AB101" s="2341"/>
      <c r="AC101" s="2341"/>
      <c r="AD101" s="2341"/>
      <c r="AE101" s="2341"/>
      <c r="AF101" s="2341"/>
      <c r="AG101" s="2341"/>
      <c r="AH101" s="2341"/>
      <c r="AI101" s="2341"/>
      <c r="AJ101" s="2342"/>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20">
        <f>Application!AC753</f>
        <v>0.5658031088082901</v>
      </c>
      <c r="F103" s="2321"/>
      <c r="G103" s="2321"/>
      <c r="H103" s="2321"/>
      <c r="I103" s="477"/>
      <c r="J103" s="480" t="s">
        <v>2162</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20">
        <f ca="1">SUMIF(Application!AC718:AG752,0.2,Application!G718:J752)/Application!G753+SUMIF(Application!AC718:AG752,0.25,Application!G718:J752)/Application!G753+SUMIF(Application!AC718:AG752,0.3,Application!G718:J752)/Application!G753</f>
        <v>0.18134715025906736</v>
      </c>
      <c r="F104" s="2321"/>
      <c r="G104" s="2321"/>
      <c r="H104" s="2321"/>
      <c r="I104" s="477"/>
      <c r="J104" s="480" t="s">
        <v>2166</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20">
        <f ca="1">SUMIF(Application!AC718:AG752,0.35,Application!G718:J752)/Application!G753+SUMIF(Application!AC718:AG752,0.4,Application!G718:J752)/Application!G753+SUMIF(Application!AC718:AG752,0.45,Application!G718:J752)/Application!G753+SUMIF(Application!AC718:AG752,0.5,Application!G718:J752)/Application!G753</f>
        <v>0.10362694300518134</v>
      </c>
      <c r="F105" s="2321"/>
      <c r="G105" s="2321"/>
      <c r="H105" s="2321"/>
      <c r="I105" s="477"/>
      <c r="J105" s="480" t="s">
        <v>2167</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78">
        <f ca="1">IF(AND(E103&lt;=0.6,OR(AND(E104&gt;=0.1,E105&gt;=0.1),AND(E104&gt;0.1,(E104+E105)&gt;=0.2))),20,0)</f>
        <v>20</v>
      </c>
      <c r="F106" s="2379"/>
      <c r="G106" s="2379"/>
      <c r="H106" s="2379"/>
      <c r="I106" s="453"/>
      <c r="J106" s="487" t="s">
        <v>2164</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2126</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2168</v>
      </c>
      <c r="AK109" s="2359">
        <f ca="1">MAX(AP95,AP106)</f>
        <v>20</v>
      </c>
      <c r="AL109" s="2360"/>
      <c r="AM109" s="2361"/>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2169</v>
      </c>
      <c r="B112" s="439" t="s">
        <v>2170</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36" t="s">
        <v>2144</v>
      </c>
      <c r="AF112" s="2336"/>
      <c r="AG112" s="2336"/>
      <c r="AH112" s="2336"/>
      <c r="AI112" s="2336"/>
      <c r="AJ112" s="2336"/>
      <c r="AK112" s="2336"/>
      <c r="AL112" s="440"/>
      <c r="AM112" s="440"/>
      <c r="AN112" s="435"/>
      <c r="AO112" s="436" t="str">
        <f>Application!B718</f>
        <v>1 Bedroom</v>
      </c>
      <c r="AQ112" s="436">
        <f>Application!O718</f>
        <v>851</v>
      </c>
    </row>
    <row r="113" spans="1:52" s="436" customFormat="1" ht="12.75" customHeight="1">
      <c r="A113" s="440"/>
      <c r="B113" s="439" t="s">
        <v>2160</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2 Bedrooms</v>
      </c>
      <c r="AQ113" s="436">
        <f>Application!O719</f>
        <v>1025</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3 Bedrooms</v>
      </c>
      <c r="AQ114" s="436">
        <f>Application!O720</f>
        <v>1193</v>
      </c>
    </row>
    <row r="115" spans="1:52" s="436" customFormat="1" ht="12.75" customHeight="1">
      <c r="A115" s="440"/>
      <c r="B115" s="2326" t="s">
        <v>843</v>
      </c>
      <c r="C115" s="2326"/>
      <c r="D115" s="447" t="s">
        <v>2146</v>
      </c>
      <c r="E115" s="2337" t="s">
        <v>2171</v>
      </c>
      <c r="F115" s="2338"/>
      <c r="G115" s="2338"/>
      <c r="H115" s="2338"/>
      <c r="I115" s="2338"/>
      <c r="J115" s="2338"/>
      <c r="K115" s="2338"/>
      <c r="L115" s="2338"/>
      <c r="M115" s="2338"/>
      <c r="N115" s="2338"/>
      <c r="O115" s="2338"/>
      <c r="P115" s="2338"/>
      <c r="Q115" s="2338"/>
      <c r="R115" s="2338"/>
      <c r="S115" s="2338"/>
      <c r="T115" s="2338"/>
      <c r="U115" s="2338"/>
      <c r="V115" s="2338"/>
      <c r="W115" s="2338"/>
      <c r="X115" s="2338"/>
      <c r="Y115" s="2338"/>
      <c r="Z115" s="2338"/>
      <c r="AA115" s="2338"/>
      <c r="AB115" s="2338"/>
      <c r="AC115" s="2338"/>
      <c r="AD115" s="2338"/>
      <c r="AE115" s="2338"/>
      <c r="AF115" s="2338"/>
      <c r="AG115" s="2338"/>
      <c r="AH115" s="2338"/>
      <c r="AI115" s="2338"/>
      <c r="AJ115" s="2339"/>
      <c r="AK115" s="440"/>
      <c r="AL115" s="440"/>
      <c r="AM115" s="440"/>
      <c r="AN115" s="435"/>
      <c r="AO115" s="436" t="str">
        <f>Application!B721</f>
        <v>1 Bedroom</v>
      </c>
      <c r="AQ115" s="436">
        <f>Application!O721</f>
        <v>1450</v>
      </c>
      <c r="AU115" s="436" t="s">
        <v>2172</v>
      </c>
      <c r="AV115" s="495" t="s">
        <v>1673</v>
      </c>
      <c r="AW115" s="436" t="s">
        <v>2173</v>
      </c>
    </row>
    <row r="116" spans="1:52" s="436" customFormat="1" ht="12.75" customHeight="1">
      <c r="A116" s="440"/>
      <c r="B116" s="439"/>
      <c r="C116" s="439"/>
      <c r="D116" s="439"/>
      <c r="E116" s="2340"/>
      <c r="F116" s="2341"/>
      <c r="G116" s="2341"/>
      <c r="H116" s="2341"/>
      <c r="I116" s="2341"/>
      <c r="J116" s="2341"/>
      <c r="K116" s="2341"/>
      <c r="L116" s="2341"/>
      <c r="M116" s="2341"/>
      <c r="N116" s="2341"/>
      <c r="O116" s="2341"/>
      <c r="P116" s="2341"/>
      <c r="Q116" s="2341"/>
      <c r="R116" s="2341"/>
      <c r="S116" s="2341"/>
      <c r="T116" s="2341"/>
      <c r="U116" s="2341"/>
      <c r="V116" s="2341"/>
      <c r="W116" s="2341"/>
      <c r="X116" s="2341"/>
      <c r="Y116" s="2341"/>
      <c r="Z116" s="2341"/>
      <c r="AA116" s="2341"/>
      <c r="AB116" s="2341"/>
      <c r="AC116" s="2341"/>
      <c r="AD116" s="2341"/>
      <c r="AE116" s="2341"/>
      <c r="AF116" s="2341"/>
      <c r="AG116" s="2341"/>
      <c r="AH116" s="2341"/>
      <c r="AI116" s="2341"/>
      <c r="AJ116" s="2342"/>
      <c r="AK116" s="440"/>
      <c r="AL116" s="440"/>
      <c r="AM116" s="440"/>
      <c r="AN116" s="435"/>
      <c r="AO116" s="436" t="str">
        <f>Application!B722</f>
        <v>2 Bedrooms</v>
      </c>
      <c r="AQ116" s="436">
        <f>Application!O722</f>
        <v>1744</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340"/>
      <c r="F117" s="2341"/>
      <c r="G117" s="2341"/>
      <c r="H117" s="2341"/>
      <c r="I117" s="2341"/>
      <c r="J117" s="2341"/>
      <c r="K117" s="2341"/>
      <c r="L117" s="2341"/>
      <c r="M117" s="2341"/>
      <c r="N117" s="2341"/>
      <c r="O117" s="2341"/>
      <c r="P117" s="2341"/>
      <c r="Q117" s="2341"/>
      <c r="R117" s="2341"/>
      <c r="S117" s="2341"/>
      <c r="T117" s="2341"/>
      <c r="U117" s="2341"/>
      <c r="V117" s="2341"/>
      <c r="W117" s="2341"/>
      <c r="X117" s="2341"/>
      <c r="Y117" s="2341"/>
      <c r="Z117" s="2341"/>
      <c r="AA117" s="2341"/>
      <c r="AB117" s="2341"/>
      <c r="AC117" s="2341"/>
      <c r="AD117" s="2341"/>
      <c r="AE117" s="2341"/>
      <c r="AF117" s="2341"/>
      <c r="AG117" s="2341"/>
      <c r="AH117" s="2341"/>
      <c r="AI117" s="2341"/>
      <c r="AJ117" s="2342"/>
      <c r="AK117" s="440"/>
      <c r="AL117" s="440"/>
      <c r="AM117" s="440"/>
      <c r="AN117" s="435"/>
      <c r="AO117" s="436" t="str">
        <f>Application!B723</f>
        <v>3 Bedrooms</v>
      </c>
      <c r="AQ117" s="436">
        <f>Application!O723</f>
        <v>2024</v>
      </c>
      <c r="AU117" s="756" t="str">
        <f>J124</f>
        <v>1-bedroom</v>
      </c>
      <c r="AV117" s="436">
        <f t="array" ref="AV117">SUM(IF(Application!B718:F752="1 Bedroom",Application!G718:J752))</f>
        <v>89</v>
      </c>
      <c r="AW117" s="905">
        <f>AV117/AV122</f>
        <v>0.46113989637305697</v>
      </c>
    </row>
    <row r="118" spans="1:52" s="436" customFormat="1" ht="12.75" customHeight="1">
      <c r="A118" s="440"/>
      <c r="B118" s="439"/>
      <c r="C118" s="439"/>
      <c r="D118" s="439"/>
      <c r="E118" s="2340"/>
      <c r="F118" s="2341"/>
      <c r="G118" s="2341"/>
      <c r="H118" s="2341"/>
      <c r="I118" s="2341"/>
      <c r="J118" s="2341"/>
      <c r="K118" s="2341"/>
      <c r="L118" s="2341"/>
      <c r="M118" s="2341"/>
      <c r="N118" s="2341"/>
      <c r="O118" s="2341"/>
      <c r="P118" s="2341"/>
      <c r="Q118" s="2341"/>
      <c r="R118" s="2341"/>
      <c r="S118" s="2341"/>
      <c r="T118" s="2341"/>
      <c r="U118" s="2341"/>
      <c r="V118" s="2341"/>
      <c r="W118" s="2341"/>
      <c r="X118" s="2341"/>
      <c r="Y118" s="2341"/>
      <c r="Z118" s="2341"/>
      <c r="AA118" s="2341"/>
      <c r="AB118" s="2341"/>
      <c r="AC118" s="2341"/>
      <c r="AD118" s="2341"/>
      <c r="AE118" s="2341"/>
      <c r="AF118" s="2341"/>
      <c r="AG118" s="2341"/>
      <c r="AH118" s="2341"/>
      <c r="AI118" s="2341"/>
      <c r="AJ118" s="2342"/>
      <c r="AK118" s="440"/>
      <c r="AL118" s="440"/>
      <c r="AM118" s="440"/>
      <c r="AN118" s="435"/>
      <c r="AO118" s="436" t="str">
        <f>Application!B724</f>
        <v>1 Bedroom</v>
      </c>
      <c r="AQ118" s="436">
        <f>Application!O724</f>
        <v>1750</v>
      </c>
      <c r="AU118" s="756" t="str">
        <f>O124</f>
        <v>2-bedroom</v>
      </c>
      <c r="AV118" s="436">
        <f t="array" ref="AV118">SUM(IF(Application!B718:F752="2 Bedrooms",Application!G718:J752))</f>
        <v>49</v>
      </c>
      <c r="AW118" s="905">
        <f>AV118/AV122</f>
        <v>0.25388601036269431</v>
      </c>
    </row>
    <row r="119" spans="1:52" s="436" customFormat="1" ht="12.75" customHeight="1">
      <c r="A119" s="440"/>
      <c r="B119" s="439"/>
      <c r="C119" s="439"/>
      <c r="D119" s="439"/>
      <c r="E119" s="2340"/>
      <c r="F119" s="2341"/>
      <c r="G119" s="2341"/>
      <c r="H119" s="2341"/>
      <c r="I119" s="2341"/>
      <c r="J119" s="2341"/>
      <c r="K119" s="2341"/>
      <c r="L119" s="2341"/>
      <c r="M119" s="2341"/>
      <c r="N119" s="2341"/>
      <c r="O119" s="2341"/>
      <c r="P119" s="2341"/>
      <c r="Q119" s="2341"/>
      <c r="R119" s="2341"/>
      <c r="S119" s="2341"/>
      <c r="T119" s="2341"/>
      <c r="U119" s="2341"/>
      <c r="V119" s="2341"/>
      <c r="W119" s="2341"/>
      <c r="X119" s="2341"/>
      <c r="Y119" s="2341"/>
      <c r="Z119" s="2341"/>
      <c r="AA119" s="2341"/>
      <c r="AB119" s="2341"/>
      <c r="AC119" s="2341"/>
      <c r="AD119" s="2341"/>
      <c r="AE119" s="2341"/>
      <c r="AF119" s="2341"/>
      <c r="AG119" s="2341"/>
      <c r="AH119" s="2341"/>
      <c r="AI119" s="2341"/>
      <c r="AJ119" s="2342"/>
      <c r="AK119" s="440"/>
      <c r="AL119" s="440"/>
      <c r="AM119" s="440"/>
      <c r="AN119" s="435"/>
      <c r="AO119" s="436" t="str">
        <f>Application!B725</f>
        <v>2 Bedrooms</v>
      </c>
      <c r="AQ119" s="436">
        <f>Application!O725</f>
        <v>2104</v>
      </c>
      <c r="AU119" s="756" t="str">
        <f>T124</f>
        <v>3-bedroom</v>
      </c>
      <c r="AV119" s="436">
        <f t="array" ref="AV119">SUM(IF(Application!B718:F752="3 Bedrooms",Application!G718:J752))</f>
        <v>55</v>
      </c>
      <c r="AW119" s="905">
        <f>AV119/AV122</f>
        <v>0.28497409326424872</v>
      </c>
    </row>
    <row r="120" spans="1:52" s="436" customFormat="1" ht="12.75" customHeight="1">
      <c r="A120" s="440"/>
      <c r="B120" s="439"/>
      <c r="C120" s="439"/>
      <c r="D120" s="439"/>
      <c r="E120" s="2340"/>
      <c r="F120" s="2341"/>
      <c r="G120" s="2341"/>
      <c r="H120" s="2341"/>
      <c r="I120" s="2341"/>
      <c r="J120" s="2341"/>
      <c r="K120" s="2341"/>
      <c r="L120" s="2341"/>
      <c r="M120" s="2341"/>
      <c r="N120" s="2341"/>
      <c r="O120" s="2341"/>
      <c r="P120" s="2341"/>
      <c r="Q120" s="2341"/>
      <c r="R120" s="2341"/>
      <c r="S120" s="2341"/>
      <c r="T120" s="2341"/>
      <c r="U120" s="2341"/>
      <c r="V120" s="2341"/>
      <c r="W120" s="2341"/>
      <c r="X120" s="2341"/>
      <c r="Y120" s="2341"/>
      <c r="Z120" s="2341"/>
      <c r="AA120" s="2341"/>
      <c r="AB120" s="2341"/>
      <c r="AC120" s="2341"/>
      <c r="AD120" s="2341"/>
      <c r="AE120" s="2341"/>
      <c r="AF120" s="2341"/>
      <c r="AG120" s="2341"/>
      <c r="AH120" s="2341"/>
      <c r="AI120" s="2341"/>
      <c r="AJ120" s="2342"/>
      <c r="AK120" s="440"/>
      <c r="AL120" s="440"/>
      <c r="AM120" s="440"/>
      <c r="AN120" s="435"/>
      <c r="AO120" s="436" t="str">
        <f>Application!B726</f>
        <v>3 Bedrooms</v>
      </c>
      <c r="AQ120" s="436">
        <f>Application!O726</f>
        <v>2440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340"/>
      <c r="F121" s="2341"/>
      <c r="G121" s="2341"/>
      <c r="H121" s="2341"/>
      <c r="I121" s="2341"/>
      <c r="J121" s="2341"/>
      <c r="K121" s="2341"/>
      <c r="L121" s="2341"/>
      <c r="M121" s="2341"/>
      <c r="N121" s="2341"/>
      <c r="O121" s="2341"/>
      <c r="P121" s="2341"/>
      <c r="Q121" s="2341"/>
      <c r="R121" s="2341"/>
      <c r="S121" s="2341"/>
      <c r="T121" s="2341"/>
      <c r="U121" s="2341"/>
      <c r="V121" s="2341"/>
      <c r="W121" s="2341"/>
      <c r="X121" s="2341"/>
      <c r="Y121" s="2341"/>
      <c r="Z121" s="2341"/>
      <c r="AA121" s="2341"/>
      <c r="AB121" s="2341"/>
      <c r="AC121" s="2341"/>
      <c r="AD121" s="2341"/>
      <c r="AE121" s="2341"/>
      <c r="AF121" s="2341"/>
      <c r="AG121" s="2341"/>
      <c r="AH121" s="2341"/>
      <c r="AI121" s="2341"/>
      <c r="AJ121" s="2342"/>
      <c r="AK121" s="440"/>
      <c r="AL121" s="440"/>
      <c r="AM121" s="440"/>
      <c r="AN121" s="435"/>
      <c r="AO121" s="436" t="str">
        <f>Application!B727</f>
        <v>1 Bedroom</v>
      </c>
      <c r="AQ121" s="436">
        <f>Application!O727</f>
        <v>2050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40"/>
      <c r="F122" s="2341"/>
      <c r="G122" s="2341"/>
      <c r="H122" s="2341"/>
      <c r="I122" s="2341"/>
      <c r="J122" s="2341"/>
      <c r="K122" s="2341"/>
      <c r="L122" s="2341"/>
      <c r="M122" s="2341"/>
      <c r="N122" s="2341"/>
      <c r="O122" s="2341"/>
      <c r="P122" s="2341"/>
      <c r="Q122" s="2341"/>
      <c r="R122" s="2341"/>
      <c r="S122" s="2341"/>
      <c r="T122" s="2341"/>
      <c r="U122" s="2341"/>
      <c r="V122" s="2341"/>
      <c r="W122" s="2341"/>
      <c r="X122" s="2341"/>
      <c r="Y122" s="2341"/>
      <c r="Z122" s="2341"/>
      <c r="AA122" s="2341"/>
      <c r="AB122" s="2341"/>
      <c r="AC122" s="2341"/>
      <c r="AD122" s="2341"/>
      <c r="AE122" s="2341"/>
      <c r="AF122" s="2341"/>
      <c r="AG122" s="2341"/>
      <c r="AH122" s="2341"/>
      <c r="AI122" s="2341"/>
      <c r="AJ122" s="2342"/>
      <c r="AK122" s="440"/>
      <c r="AL122" s="440"/>
      <c r="AM122" s="440"/>
      <c r="AN122" s="435"/>
      <c r="AO122" s="436" t="str">
        <f>Application!B728</f>
        <v>2 Bedrooms</v>
      </c>
      <c r="AQ122" s="436">
        <f>Application!O728</f>
        <v>2464</v>
      </c>
      <c r="AV122" s="436">
        <f>SUM(AV116:AV121)</f>
        <v>193</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t="str">
        <f>Application!B729</f>
        <v>3 Bedrooms</v>
      </c>
      <c r="AQ123" s="436">
        <f>Application!O729</f>
        <v>2855</v>
      </c>
    </row>
    <row r="124" spans="1:52" s="436" customFormat="1" ht="12.75" customHeight="1">
      <c r="A124" s="440"/>
      <c r="B124" s="439"/>
      <c r="C124" s="440"/>
      <c r="D124" s="440"/>
      <c r="E124" s="2320" t="s">
        <v>2174</v>
      </c>
      <c r="F124" s="2321"/>
      <c r="G124" s="2321"/>
      <c r="H124" s="2321"/>
      <c r="I124" s="477"/>
      <c r="J124" s="2321" t="s">
        <v>2175</v>
      </c>
      <c r="K124" s="2321"/>
      <c r="L124" s="2321"/>
      <c r="M124" s="2321"/>
      <c r="N124" s="477"/>
      <c r="O124" s="2321" t="s">
        <v>2176</v>
      </c>
      <c r="P124" s="2321"/>
      <c r="Q124" s="2321"/>
      <c r="R124" s="2321"/>
      <c r="S124" s="477"/>
      <c r="T124" s="2321" t="s">
        <v>2177</v>
      </c>
      <c r="U124" s="2321"/>
      <c r="V124" s="2321"/>
      <c r="W124" s="2321"/>
      <c r="X124" s="477"/>
      <c r="Y124" s="2321" t="s">
        <v>2178</v>
      </c>
      <c r="Z124" s="2321"/>
      <c r="AA124" s="2321"/>
      <c r="AB124" s="2321"/>
      <c r="AC124" s="477"/>
      <c r="AD124" s="2321" t="s">
        <v>2179</v>
      </c>
      <c r="AE124" s="2321"/>
      <c r="AF124" s="2321"/>
      <c r="AG124" s="2321"/>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2180</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380"/>
      <c r="F127" s="2381"/>
      <c r="G127" s="2381"/>
      <c r="H127" s="2381"/>
      <c r="I127" s="763"/>
      <c r="J127" s="2381">
        <v>2391</v>
      </c>
      <c r="K127" s="2381"/>
      <c r="L127" s="2381"/>
      <c r="M127" s="2381"/>
      <c r="N127" s="763"/>
      <c r="O127" s="2381">
        <v>2739</v>
      </c>
      <c r="P127" s="2381"/>
      <c r="Q127" s="2381"/>
      <c r="R127" s="2381"/>
      <c r="S127" s="763"/>
      <c r="T127" s="2381">
        <v>3283</v>
      </c>
      <c r="U127" s="2381"/>
      <c r="V127" s="2381"/>
      <c r="W127" s="2381"/>
      <c r="X127" s="763"/>
      <c r="Y127" s="2381"/>
      <c r="Z127" s="2381"/>
      <c r="AA127" s="2381"/>
      <c r="AB127" s="2381"/>
      <c r="AC127" s="763"/>
      <c r="AD127" s="2381"/>
      <c r="AE127" s="2381"/>
      <c r="AF127" s="2381"/>
      <c r="AG127" s="2381"/>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2181</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373">
        <f>Application!DX670</f>
        <v>0</v>
      </c>
      <c r="F130" s="2374"/>
      <c r="G130" s="2374"/>
      <c r="H130" s="2374"/>
      <c r="I130" s="763"/>
      <c r="J130" s="2374">
        <f>Application!EC670</f>
        <v>1595.1685393258429</v>
      </c>
      <c r="K130" s="2374"/>
      <c r="L130" s="2374"/>
      <c r="M130" s="2374"/>
      <c r="N130" s="763"/>
      <c r="O130" s="2374">
        <f>Application!EH670</f>
        <v>2030.6734693877552</v>
      </c>
      <c r="P130" s="2374"/>
      <c r="Q130" s="2374"/>
      <c r="R130" s="2374"/>
      <c r="S130" s="767"/>
      <c r="T130" s="2374">
        <f>Application!EM670</f>
        <v>2364.1454545454544</v>
      </c>
      <c r="U130" s="2374"/>
      <c r="V130" s="2374"/>
      <c r="W130" s="2374"/>
      <c r="X130" s="767"/>
      <c r="Y130" s="2374">
        <f>Application!ER670</f>
        <v>0</v>
      </c>
      <c r="Z130" s="2374"/>
      <c r="AA130" s="2374"/>
      <c r="AB130" s="2374"/>
      <c r="AC130" s="767"/>
      <c r="AD130" s="2374">
        <f>Application!EW670</f>
        <v>0</v>
      </c>
      <c r="AE130" s="2374"/>
      <c r="AF130" s="2374"/>
      <c r="AG130" s="2374"/>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2182</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72" t="e">
        <f>(E127-E130)/E127</f>
        <v>#DIV/0!</v>
      </c>
      <c r="F133" s="2323"/>
      <c r="G133" s="2323"/>
      <c r="H133" s="2573"/>
      <c r="I133" s="477"/>
      <c r="J133" s="2572">
        <f>(J127-J130)/J127</f>
        <v>0.33284460923218617</v>
      </c>
      <c r="K133" s="2323"/>
      <c r="L133" s="2323"/>
      <c r="M133" s="2573"/>
      <c r="N133" s="477"/>
      <c r="O133" s="2572">
        <f>(O127-O130)/O127</f>
        <v>0.25860771471786959</v>
      </c>
      <c r="P133" s="2323"/>
      <c r="Q133" s="2323"/>
      <c r="R133" s="2573"/>
      <c r="S133" s="477"/>
      <c r="T133" s="2572">
        <f>(T127-T130)/T127</f>
        <v>0.27988259075679123</v>
      </c>
      <c r="U133" s="2323"/>
      <c r="V133" s="2323"/>
      <c r="W133" s="2573"/>
      <c r="X133" s="477"/>
      <c r="Y133" s="2572" t="e">
        <f>(Y127-Y130)/Y127</f>
        <v>#DIV/0!</v>
      </c>
      <c r="Z133" s="2323"/>
      <c r="AA133" s="2323"/>
      <c r="AB133" s="2573"/>
      <c r="AC133" s="477"/>
      <c r="AD133" s="2572" t="e">
        <f>(AD127-AD130)/AD127</f>
        <v>#DIV/0!</v>
      </c>
      <c r="AE133" s="2323"/>
      <c r="AF133" s="2323"/>
      <c r="AG133" s="2573"/>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2183</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75" t="e">
        <f>IF(((E133-0.1)*AW116)&gt;0,((E133-0.1)*AW116),0)</f>
        <v>#DIV/0!</v>
      </c>
      <c r="F136" s="2376"/>
      <c r="G136" s="2376"/>
      <c r="H136" s="2377"/>
      <c r="I136" s="477"/>
      <c r="J136" s="2375">
        <f>IF(((J133-0.1)*AW117)&gt;0,((J133-0.1)*AW117),0)</f>
        <v>0.10737393897235527</v>
      </c>
      <c r="K136" s="2376"/>
      <c r="L136" s="2376"/>
      <c r="M136" s="2377"/>
      <c r="N136" s="477"/>
      <c r="O136" s="2375">
        <f>IF(((O133-0.1)*AW118)&gt;0,((O133-0.1)*AW118),0)</f>
        <v>4.0268279902464302E-2</v>
      </c>
      <c r="P136" s="2376"/>
      <c r="Q136" s="2376"/>
      <c r="R136" s="2377"/>
      <c r="S136" s="477"/>
      <c r="T136" s="2375">
        <f>IF(((T133-0.1)*AW119)&gt;0,((T133-0.1)*AW119),0)</f>
        <v>5.1261878194940505E-2</v>
      </c>
      <c r="U136" s="2376"/>
      <c r="V136" s="2376"/>
      <c r="W136" s="2377"/>
      <c r="X136" s="477"/>
      <c r="Y136" s="2375" t="e">
        <f>IF(((Y133-0.1)*AW120)&gt;0,((Y133-0.1)*AW120),0)</f>
        <v>#DIV/0!</v>
      </c>
      <c r="Z136" s="2376"/>
      <c r="AA136" s="2376"/>
      <c r="AB136" s="2377"/>
      <c r="AC136" s="477"/>
      <c r="AD136" s="2375" t="e">
        <f>IF(((AD133-0.1)*AW121)&gt;0,((AD133-0.1)*AW121),0)</f>
        <v>#DIV/0!</v>
      </c>
      <c r="AE136" s="2376"/>
      <c r="AF136" s="2376"/>
      <c r="AG136" s="2377"/>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72">
        <f>ROUNDDOWN(SUMIF(E136:AG136,"&gt;0"),2)</f>
        <v>0.19</v>
      </c>
      <c r="F138" s="2323"/>
      <c r="G138" s="2323"/>
      <c r="H138" s="2573"/>
      <c r="I138" s="477"/>
      <c r="J138" s="480" t="s">
        <v>2184</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59">
        <f>IF((E138*100)&gt;10,10,E138*100)</f>
        <v>10</v>
      </c>
      <c r="F139" s="2360"/>
      <c r="G139" s="2360"/>
      <c r="H139" s="2361"/>
      <c r="I139" s="477"/>
      <c r="J139" s="480" t="s">
        <v>2164</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2185</v>
      </c>
      <c r="AK143" s="2359">
        <f>E139</f>
        <v>10</v>
      </c>
      <c r="AL143" s="2360"/>
      <c r="AM143" s="2361"/>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2186</v>
      </c>
      <c r="AE146" s="2336" t="s">
        <v>2144</v>
      </c>
      <c r="AF146" s="2336"/>
      <c r="AG146" s="2336"/>
      <c r="AH146" s="2336"/>
      <c r="AI146" s="2336"/>
      <c r="AJ146" s="2336"/>
      <c r="AK146" s="2336"/>
      <c r="AL146" s="491"/>
      <c r="AN146" s="492"/>
      <c r="AO146" s="436"/>
    </row>
    <row r="147" spans="1:42" s="439" customFormat="1" ht="13.15" customHeight="1">
      <c r="A147" s="438"/>
      <c r="AE147" s="491"/>
      <c r="AF147" s="491"/>
      <c r="AG147" s="491"/>
      <c r="AH147" s="491"/>
      <c r="AI147" s="491"/>
      <c r="AJ147" s="491"/>
      <c r="AK147" s="491"/>
      <c r="AL147" s="491"/>
      <c r="AN147" s="492"/>
    </row>
    <row r="148" spans="1:42" s="436" customFormat="1" ht="12.75" customHeight="1">
      <c r="A148" s="438"/>
      <c r="B148" s="438" t="s">
        <v>2187</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71" t="s">
        <v>2188</v>
      </c>
      <c r="AG148" s="2371"/>
      <c r="AH148" s="2371"/>
      <c r="AI148" s="2371"/>
      <c r="AJ148" s="2371"/>
      <c r="AK148" s="2371"/>
      <c r="AL148" s="2371"/>
      <c r="AM148" s="439"/>
      <c r="AN148" s="435"/>
    </row>
    <row r="149" spans="1:42" s="436" customFormat="1" ht="12.75" customHeight="1">
      <c r="A149" s="438"/>
      <c r="B149" s="438" t="s">
        <v>1081</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72" t="s">
        <v>1098</v>
      </c>
      <c r="C150" s="2372"/>
      <c r="D150" s="2372"/>
      <c r="E150" s="2372"/>
      <c r="F150" s="2372"/>
      <c r="G150" s="2372"/>
      <c r="H150" s="2372"/>
      <c r="I150" s="2372"/>
      <c r="J150" s="2372"/>
      <c r="K150" s="2372"/>
      <c r="L150" s="2372"/>
      <c r="M150" s="2372"/>
      <c r="N150" s="2372"/>
      <c r="O150" s="2372"/>
      <c r="P150" s="2372"/>
      <c r="Q150" s="2372"/>
      <c r="R150" s="2372"/>
      <c r="S150" s="2372"/>
      <c r="T150" s="2372"/>
      <c r="U150" s="2372"/>
      <c r="V150" s="2372"/>
      <c r="W150" s="2372"/>
      <c r="X150" s="2372"/>
      <c r="Y150" s="2372"/>
      <c r="Z150" s="2372"/>
      <c r="AA150" s="2372"/>
      <c r="AB150" s="2372"/>
      <c r="AC150" s="2372"/>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2189</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2190</v>
      </c>
      <c r="AP152" s="390">
        <v>5</v>
      </c>
    </row>
    <row r="153" spans="1:42" s="436" customFormat="1" ht="12.75" customHeight="1">
      <c r="A153" s="438"/>
      <c r="B153" s="2398" t="s">
        <v>2191</v>
      </c>
      <c r="C153" s="2398"/>
      <c r="D153" s="2398"/>
      <c r="E153" s="2398"/>
      <c r="F153" s="2398"/>
      <c r="G153" s="2398"/>
      <c r="H153" s="2398"/>
      <c r="I153" s="2398"/>
      <c r="J153" s="2398"/>
      <c r="K153" s="2398"/>
      <c r="L153" s="2398"/>
      <c r="M153" s="2398"/>
      <c r="N153" s="2398"/>
      <c r="O153" s="2398"/>
      <c r="P153" s="2398"/>
      <c r="Q153" s="2398"/>
      <c r="R153" s="2398"/>
      <c r="S153" s="2398"/>
      <c r="T153" s="2398"/>
      <c r="U153" s="2398"/>
      <c r="V153" s="2398"/>
      <c r="W153" s="2398"/>
      <c r="X153" s="2398"/>
      <c r="Y153" s="2398"/>
      <c r="Z153" s="2398"/>
      <c r="AA153" s="2398"/>
      <c r="AB153" s="2398"/>
      <c r="AC153" s="2398"/>
      <c r="AD153" s="2398"/>
      <c r="AE153" s="2398"/>
      <c r="AF153" s="2398"/>
      <c r="AG153" s="2398"/>
      <c r="AH153" s="2398"/>
      <c r="AI153" s="2398"/>
      <c r="AM153" s="439"/>
      <c r="AN153" s="435"/>
      <c r="AO153" s="377" t="s">
        <v>2191</v>
      </c>
      <c r="AP153" s="390">
        <v>7</v>
      </c>
    </row>
    <row r="154" spans="1:42" s="436" customFormat="1" ht="13.1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2192</v>
      </c>
      <c r="AP154" s="390">
        <v>7</v>
      </c>
    </row>
    <row r="155" spans="1:42" s="436" customFormat="1" ht="12.75" customHeight="1">
      <c r="A155" s="438"/>
      <c r="B155" s="439" t="s">
        <v>2193</v>
      </c>
      <c r="AB155" s="2399" t="s">
        <v>807</v>
      </c>
      <c r="AC155" s="2399"/>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2194</v>
      </c>
      <c r="AP156" s="390"/>
    </row>
    <row r="157" spans="1:42" s="436" customFormat="1" ht="12.75" customHeight="1">
      <c r="A157" s="438"/>
      <c r="B157" s="438" t="s">
        <v>2195</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2196</v>
      </c>
      <c r="AP157" s="390">
        <v>5</v>
      </c>
    </row>
    <row r="158" spans="1:42" s="436" customFormat="1" ht="12.75" customHeight="1">
      <c r="A158" s="438"/>
      <c r="B158" s="2398" t="s">
        <v>2194</v>
      </c>
      <c r="C158" s="2398"/>
      <c r="D158" s="2398"/>
      <c r="E158" s="2398"/>
      <c r="F158" s="2398"/>
      <c r="G158" s="2398"/>
      <c r="H158" s="2398"/>
      <c r="I158" s="2398"/>
      <c r="J158" s="2398"/>
      <c r="K158" s="2398"/>
      <c r="L158" s="2398"/>
      <c r="M158" s="2398"/>
      <c r="N158" s="2398"/>
      <c r="O158" s="2398"/>
      <c r="P158" s="2398"/>
      <c r="Q158" s="2398"/>
      <c r="R158" s="2398"/>
      <c r="S158" s="2398"/>
      <c r="T158" s="2398"/>
      <c r="U158" s="2398"/>
      <c r="V158" s="2398"/>
      <c r="W158" s="2398"/>
      <c r="X158" s="2398"/>
      <c r="Y158" s="2398"/>
      <c r="Z158" s="2398"/>
      <c r="AA158" s="2398"/>
      <c r="AB158" s="2398"/>
      <c r="AC158" s="2398"/>
      <c r="AD158" s="2398"/>
      <c r="AE158" s="2398"/>
      <c r="AF158" s="2398"/>
      <c r="AG158" s="2398"/>
      <c r="AH158" s="2398"/>
      <c r="AI158" s="2398"/>
      <c r="AJ158" s="2398"/>
      <c r="AN158" s="435"/>
      <c r="AO158" s="377" t="s">
        <v>2197</v>
      </c>
      <c r="AP158" s="390">
        <v>7</v>
      </c>
    </row>
    <row r="159" spans="1:42" s="436" customFormat="1" ht="12.75" customHeight="1">
      <c r="B159" s="439" t="s">
        <v>2198</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59" t="s">
        <v>2199</v>
      </c>
      <c r="C161" s="2559"/>
      <c r="D161" s="2559"/>
      <c r="E161" s="2559"/>
      <c r="F161" s="2559"/>
      <c r="G161" s="2559"/>
      <c r="H161" s="2559"/>
      <c r="I161" s="2559"/>
      <c r="J161" s="2559"/>
      <c r="K161" s="2559"/>
      <c r="L161" s="2559"/>
      <c r="M161" s="2559"/>
      <c r="N161" s="2559"/>
      <c r="O161" s="2559"/>
      <c r="P161" s="2559"/>
      <c r="Q161" s="2559"/>
      <c r="R161" s="2559"/>
      <c r="S161" s="2559"/>
      <c r="T161" s="2559"/>
      <c r="U161" s="2559"/>
      <c r="V161" s="2559"/>
      <c r="W161" s="2559"/>
      <c r="X161" s="2559"/>
      <c r="Y161" s="2559"/>
      <c r="Z161" s="2559"/>
      <c r="AA161" s="2559"/>
      <c r="AB161" s="2559"/>
      <c r="AC161" s="2559"/>
      <c r="AD161" s="2559"/>
      <c r="AE161" s="2559"/>
      <c r="AF161" s="2559"/>
      <c r="AG161" s="2559"/>
      <c r="AH161" s="2559"/>
      <c r="AI161" s="2559"/>
      <c r="AJ161" s="2559"/>
      <c r="AK161" s="1069"/>
      <c r="AM161" s="439"/>
      <c r="AN161" s="435"/>
      <c r="AO161" s="377"/>
      <c r="AP161" s="390"/>
    </row>
    <row r="162" spans="1:42" s="436" customFormat="1" ht="12.75" customHeight="1">
      <c r="B162" s="2559"/>
      <c r="C162" s="2559"/>
      <c r="D162" s="2559"/>
      <c r="E162" s="2559"/>
      <c r="F162" s="2559"/>
      <c r="G162" s="2559"/>
      <c r="H162" s="2559"/>
      <c r="I162" s="2559"/>
      <c r="J162" s="2559"/>
      <c r="K162" s="2559"/>
      <c r="L162" s="2559"/>
      <c r="M162" s="2559"/>
      <c r="N162" s="2559"/>
      <c r="O162" s="2559"/>
      <c r="P162" s="2559"/>
      <c r="Q162" s="2559"/>
      <c r="R162" s="2559"/>
      <c r="S162" s="2559"/>
      <c r="T162" s="2559"/>
      <c r="U162" s="2559"/>
      <c r="V162" s="2559"/>
      <c r="W162" s="2559"/>
      <c r="X162" s="2559"/>
      <c r="Y162" s="2559"/>
      <c r="Z162" s="2559"/>
      <c r="AA162" s="2559"/>
      <c r="AB162" s="2559"/>
      <c r="AC162" s="2559"/>
      <c r="AD162" s="2559"/>
      <c r="AE162" s="2559"/>
      <c r="AF162" s="2559"/>
      <c r="AG162" s="2559"/>
      <c r="AH162" s="2559"/>
      <c r="AI162" s="2559"/>
      <c r="AJ162" s="2559"/>
      <c r="AK162" s="1069"/>
      <c r="AM162" s="439"/>
      <c r="AN162" s="435"/>
      <c r="AO162" s="377"/>
      <c r="AP162" s="390"/>
    </row>
    <row r="163" spans="1:42" s="436" customFormat="1" ht="12.75" customHeight="1">
      <c r="C163" s="2462" t="s">
        <v>2200</v>
      </c>
      <c r="D163" s="2462"/>
      <c r="E163" s="2462"/>
      <c r="F163" s="2462"/>
      <c r="G163" s="2462"/>
      <c r="H163" s="2462"/>
      <c r="I163" s="2462"/>
      <c r="J163" s="2462"/>
      <c r="K163" s="2462"/>
      <c r="L163" s="2462"/>
      <c r="M163" s="2462"/>
      <c r="N163" s="2462"/>
      <c r="O163" s="2462"/>
      <c r="P163" s="2462"/>
      <c r="Q163" s="2462"/>
      <c r="R163" s="2462"/>
      <c r="S163" s="2462"/>
      <c r="T163" s="2462"/>
      <c r="U163" s="2462"/>
      <c r="V163" s="2462"/>
      <c r="W163" s="2462"/>
      <c r="X163" s="2462"/>
      <c r="Y163" s="2462"/>
      <c r="Z163" s="2462"/>
      <c r="AA163" s="2462"/>
      <c r="AB163" s="2462"/>
      <c r="AC163" s="2462"/>
      <c r="AD163" s="2462"/>
      <c r="AE163" s="2462"/>
      <c r="AF163" s="2462"/>
      <c r="AG163" s="2462"/>
      <c r="AH163" s="2462"/>
      <c r="AI163" s="2462"/>
      <c r="AJ163" s="2462"/>
      <c r="AK163" s="1069"/>
      <c r="AM163" s="439"/>
      <c r="AN163" s="435"/>
      <c r="AO163" s="377"/>
      <c r="AP163" s="390"/>
    </row>
    <row r="164" spans="1:42" s="436" customFormat="1" ht="12.75" customHeight="1">
      <c r="B164" s="1069"/>
      <c r="C164" s="2397" t="s">
        <v>2201</v>
      </c>
      <c r="D164" s="2397"/>
      <c r="E164" s="2397"/>
      <c r="F164" s="2397"/>
      <c r="G164" s="2397"/>
      <c r="H164" s="2397"/>
      <c r="I164" s="2397"/>
      <c r="J164" s="2397"/>
      <c r="K164" s="2397"/>
      <c r="L164" s="2397"/>
      <c r="M164" s="2397"/>
      <c r="N164" s="2397"/>
      <c r="O164" s="2397"/>
      <c r="P164" s="2397"/>
      <c r="Q164" s="2397"/>
      <c r="R164" s="2397"/>
      <c r="S164" s="2397"/>
      <c r="T164" s="2397"/>
      <c r="U164" s="2397"/>
      <c r="V164" s="2397"/>
      <c r="W164" s="2397"/>
      <c r="X164" s="2397"/>
      <c r="Y164" s="2397"/>
      <c r="Z164" s="2397"/>
      <c r="AA164" s="1059"/>
      <c r="AB164" s="1059"/>
      <c r="AC164" s="1059"/>
      <c r="AD164" s="1059"/>
      <c r="AE164" s="1059"/>
      <c r="AF164" s="1059"/>
      <c r="AG164" s="1059"/>
      <c r="AH164" s="1059"/>
      <c r="AJ164" s="2399" t="s">
        <v>807</v>
      </c>
      <c r="AK164" s="2399"/>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2202</v>
      </c>
      <c r="AJ166" s="2402">
        <f>IF($AB$155="N/A",VLOOKUP($B$153,$AO$151:$AP$154,2,FALSE),VLOOKUP($B$158,$AO$156:$AP$158,2,FALSE))</f>
        <v>7</v>
      </c>
      <c r="AK166" s="2402"/>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2203</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71" t="s">
        <v>2204</v>
      </c>
      <c r="AG168" s="2371"/>
      <c r="AH168" s="2371"/>
      <c r="AI168" s="2371"/>
      <c r="AJ168" s="2371"/>
      <c r="AK168" s="2371"/>
      <c r="AL168" s="2371"/>
      <c r="AM168" s="503"/>
      <c r="AN168" s="498"/>
    </row>
    <row r="169" spans="1:42" s="450" customFormat="1" ht="12.75" customHeight="1">
      <c r="A169" s="436"/>
      <c r="B169" s="439" t="s">
        <v>2205</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398" t="s">
        <v>2206</v>
      </c>
      <c r="D170" s="2398"/>
      <c r="E170" s="2398"/>
      <c r="F170" s="2398"/>
      <c r="G170" s="2398"/>
      <c r="H170" s="2398"/>
      <c r="I170" s="2398"/>
      <c r="J170" s="2398"/>
      <c r="K170" s="2398"/>
      <c r="L170" s="2398"/>
      <c r="M170" s="2398"/>
      <c r="N170" s="2398"/>
      <c r="O170" s="2398"/>
      <c r="P170" s="2398"/>
      <c r="Q170" s="2398"/>
      <c r="R170" s="2398"/>
      <c r="S170" s="2398"/>
      <c r="T170" s="2398"/>
      <c r="U170" s="2398"/>
      <c r="V170" s="2398"/>
      <c r="W170" s="2398"/>
      <c r="X170" s="2398"/>
      <c r="Y170" s="2398"/>
      <c r="Z170" s="2398"/>
      <c r="AA170" s="2398"/>
      <c r="AB170" s="2398"/>
      <c r="AC170" s="2398"/>
      <c r="AD170" s="2398"/>
      <c r="AE170" s="2398"/>
      <c r="AF170" s="2398"/>
      <c r="AG170" s="2398"/>
      <c r="AH170" s="2398"/>
      <c r="AI170" s="2398"/>
      <c r="AJ170" s="436"/>
      <c r="AK170" s="436"/>
      <c r="AL170" s="436"/>
      <c r="AM170" s="503"/>
      <c r="AN170" s="497"/>
      <c r="AO170" s="377" t="s">
        <v>309</v>
      </c>
      <c r="AP170" s="377"/>
    </row>
    <row r="171" spans="1:42" s="450" customFormat="1" ht="13.1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2207</v>
      </c>
      <c r="AP171" s="499">
        <v>2</v>
      </c>
    </row>
    <row r="172" spans="1:42" s="450" customFormat="1" ht="12.75" customHeight="1">
      <c r="A172" s="436"/>
      <c r="B172" s="436"/>
      <c r="C172" s="439" t="s">
        <v>2208</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99" t="s">
        <v>807</v>
      </c>
      <c r="AG172" s="2399"/>
      <c r="AH172" s="436"/>
      <c r="AI172" s="436"/>
      <c r="AJ172" s="436"/>
      <c r="AK172" s="436"/>
      <c r="AL172" s="436"/>
      <c r="AM172" s="503"/>
      <c r="AN172" s="497"/>
      <c r="AO172" s="377" t="s">
        <v>2206</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2209</v>
      </c>
      <c r="AP173" s="499">
        <v>3</v>
      </c>
    </row>
    <row r="174" spans="1:42" s="450" customFormat="1" ht="12.75" customHeight="1">
      <c r="A174" s="436"/>
      <c r="B174" s="436"/>
      <c r="C174" s="2398" t="s">
        <v>2194</v>
      </c>
      <c r="D174" s="2398"/>
      <c r="E174" s="2398"/>
      <c r="F174" s="2398"/>
      <c r="G174" s="2398"/>
      <c r="H174" s="2398"/>
      <c r="I174" s="2398"/>
      <c r="J174" s="2398"/>
      <c r="K174" s="2398"/>
      <c r="L174" s="2398"/>
      <c r="M174" s="2398"/>
      <c r="N174" s="2398"/>
      <c r="O174" s="2398"/>
      <c r="P174" s="2398"/>
      <c r="Q174" s="2398"/>
      <c r="R174" s="2398"/>
      <c r="S174" s="2398"/>
      <c r="T174" s="2398"/>
      <c r="U174" s="2398"/>
      <c r="V174" s="2398"/>
      <c r="W174" s="2398"/>
      <c r="X174" s="2398"/>
      <c r="Y174" s="2398"/>
      <c r="Z174" s="2398"/>
      <c r="AA174" s="2398"/>
      <c r="AB174" s="2398"/>
      <c r="AC174" s="2398"/>
      <c r="AD174" s="2398"/>
      <c r="AE174" s="436"/>
      <c r="AF174" s="436"/>
      <c r="AG174" s="436"/>
      <c r="AH174" s="436"/>
      <c r="AI174" s="436"/>
      <c r="AJ174" s="436"/>
      <c r="AK174" s="436"/>
      <c r="AL174" s="436"/>
      <c r="AM174" s="503"/>
      <c r="AN174" s="497"/>
      <c r="AO174" s="502"/>
      <c r="AP174" s="499"/>
    </row>
    <row r="175" spans="1:42" s="450" customFormat="1" ht="12.75" customHeight="1">
      <c r="A175" s="436"/>
      <c r="B175" s="436"/>
      <c r="C175" s="439" t="s">
        <v>2198</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2210</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2194</v>
      </c>
      <c r="AP177" s="377"/>
    </row>
    <row r="178" spans="1:73" s="450" customFormat="1" ht="12.75" customHeight="1">
      <c r="A178" s="436"/>
      <c r="B178" s="436"/>
      <c r="C178" s="2400" t="str">
        <f>Application!AA335</f>
        <v>Apartment Management Company</v>
      </c>
      <c r="D178" s="2400"/>
      <c r="E178" s="2400"/>
      <c r="F178" s="2400"/>
      <c r="G178" s="2400"/>
      <c r="H178" s="2400"/>
      <c r="I178" s="2400"/>
      <c r="J178" s="2400"/>
      <c r="K178" s="2400"/>
      <c r="L178" s="2400"/>
      <c r="M178" s="2400"/>
      <c r="N178" s="2400"/>
      <c r="O178" s="2400"/>
      <c r="P178" s="2400"/>
      <c r="Q178" s="2400"/>
      <c r="R178" s="2400"/>
      <c r="S178" s="2400"/>
      <c r="T178" s="2400"/>
      <c r="U178" s="2400"/>
      <c r="V178" s="2400"/>
      <c r="W178" s="2400"/>
      <c r="X178" s="2400"/>
      <c r="Y178" s="2400"/>
      <c r="Z178" s="2400"/>
      <c r="AA178" s="2400"/>
      <c r="AB178" s="2400"/>
      <c r="AC178" s="2400"/>
      <c r="AD178" s="2400"/>
      <c r="AE178" s="436"/>
      <c r="AF178" s="436"/>
      <c r="AG178" s="436"/>
      <c r="AH178" s="436"/>
      <c r="AI178" s="436"/>
      <c r="AJ178" s="436"/>
      <c r="AK178" s="436"/>
      <c r="AL178" s="436"/>
      <c r="AM178" s="503"/>
      <c r="AN178" s="497"/>
      <c r="AO178" s="377" t="s">
        <v>2211</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2212</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2213</v>
      </c>
      <c r="AJ180" s="2401">
        <f>IF($AF$172="N/A",VLOOKUP($C$170,$AO$170:$AP$173,2,FALSE),VLOOKUP($C$174,$AO$177:$AP$179,2,FALSE))</f>
        <v>3</v>
      </c>
      <c r="AK180" s="2401"/>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2214</v>
      </c>
      <c r="AK183" s="2359">
        <f>$AJ$166+$AJ$180</f>
        <v>10</v>
      </c>
      <c r="AL183" s="2360"/>
      <c r="AM183" s="2361"/>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2215</v>
      </c>
      <c r="AQ185" s="512">
        <v>0</v>
      </c>
    </row>
    <row r="186" spans="1:73" s="450" customFormat="1" ht="12.75" customHeight="1">
      <c r="A186" s="438" t="s">
        <v>2216</v>
      </c>
      <c r="B186" s="438" t="s">
        <v>2217</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36" t="s">
        <v>2144</v>
      </c>
      <c r="AF186" s="2336"/>
      <c r="AG186" s="2336"/>
      <c r="AH186" s="2336"/>
      <c r="AI186" s="2336"/>
      <c r="AJ186" s="2336"/>
      <c r="AK186" s="2336"/>
      <c r="AL186" s="491"/>
      <c r="AN186" s="497"/>
      <c r="AP186" s="450" t="s">
        <v>934</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2218</v>
      </c>
      <c r="AQ187" s="450">
        <v>10</v>
      </c>
    </row>
    <row r="188" spans="1:73" s="450" customFormat="1" ht="12.75" customHeight="1">
      <c r="A188" s="436"/>
      <c r="B188" s="2396" t="s">
        <v>934</v>
      </c>
      <c r="C188" s="2396"/>
      <c r="D188" s="2396"/>
      <c r="E188" s="2396"/>
      <c r="F188" s="2396"/>
      <c r="G188" s="2396"/>
      <c r="H188" s="2396"/>
      <c r="I188" s="2396"/>
      <c r="J188" s="2396"/>
      <c r="K188" s="2396"/>
      <c r="L188" s="2396"/>
      <c r="M188" s="2396"/>
      <c r="N188" s="2396"/>
      <c r="O188" s="2396"/>
      <c r="P188" s="2396"/>
      <c r="Q188" s="2396"/>
      <c r="R188" s="2396"/>
      <c r="S188" s="2396"/>
      <c r="T188" s="2396"/>
      <c r="U188" s="2396"/>
      <c r="V188" s="2396"/>
      <c r="W188" s="2396"/>
      <c r="X188" s="2396"/>
      <c r="Y188" s="2396"/>
      <c r="Z188" s="2396"/>
      <c r="AA188" s="2396"/>
      <c r="AB188" s="2396"/>
      <c r="AC188" s="2396"/>
      <c r="AD188" s="436"/>
      <c r="AE188" s="436"/>
      <c r="AF188" s="2371" t="s">
        <v>2219</v>
      </c>
      <c r="AG188" s="2371"/>
      <c r="AH188" s="2371"/>
      <c r="AI188" s="2371"/>
      <c r="AJ188" s="2371"/>
      <c r="AK188" s="2371"/>
      <c r="AL188" s="2371"/>
      <c r="AN188" s="497"/>
      <c r="AP188" s="450" t="s">
        <v>942</v>
      </c>
      <c r="AQ188" s="450">
        <v>10</v>
      </c>
    </row>
    <row r="189" spans="1:73" s="450" customFormat="1" ht="12.75" customHeight="1">
      <c r="A189" s="436"/>
      <c r="B189" s="2397" t="s">
        <v>2220</v>
      </c>
      <c r="C189" s="2397"/>
      <c r="D189" s="2397"/>
      <c r="E189" s="2397"/>
      <c r="F189" s="2397"/>
      <c r="G189" s="2397"/>
      <c r="H189" s="2397"/>
      <c r="I189" s="2397"/>
      <c r="J189" s="2397"/>
      <c r="K189" s="2397"/>
      <c r="L189" s="2397"/>
      <c r="M189" s="2397"/>
      <c r="N189" s="2397"/>
      <c r="O189" s="2397"/>
      <c r="P189" s="2397"/>
      <c r="Q189" s="2397"/>
      <c r="R189" s="2397"/>
      <c r="S189" s="2397"/>
      <c r="T189" s="2372" t="s">
        <v>807</v>
      </c>
      <c r="U189" s="2372"/>
      <c r="V189" s="2372"/>
      <c r="W189" s="2372"/>
      <c r="X189" s="2372"/>
      <c r="Y189" s="2372"/>
      <c r="Z189" s="2372"/>
      <c r="AA189" s="2372"/>
      <c r="AB189" s="2372"/>
      <c r="AC189" s="2372"/>
      <c r="AD189" s="436"/>
      <c r="AE189" s="436"/>
      <c r="AF189" s="436"/>
      <c r="AG189" s="436"/>
      <c r="AH189" s="436"/>
      <c r="AI189" s="436"/>
      <c r="AJ189" s="443"/>
      <c r="AK189" s="495"/>
      <c r="AL189" s="495"/>
      <c r="AM189" s="495"/>
      <c r="AN189" s="497"/>
      <c r="AP189" s="450" t="s">
        <v>943</v>
      </c>
      <c r="AQ189" s="450">
        <v>10</v>
      </c>
      <c r="AS189" s="450" t="s">
        <v>807</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2221</v>
      </c>
      <c r="AQ190" s="450">
        <v>10</v>
      </c>
      <c r="AS190" s="450" t="s">
        <v>2222</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2223</v>
      </c>
      <c r="AK191" s="2406">
        <f>IF(AK84&gt;0,VLOOKUP($B$188,AP185:AQ191,2,FALSE),0)</f>
        <v>10</v>
      </c>
      <c r="AL191" s="2407"/>
      <c r="AM191" s="2408"/>
      <c r="AN191" s="435"/>
      <c r="AP191" s="450" t="s">
        <v>2224</v>
      </c>
      <c r="AQ191" s="450">
        <v>10</v>
      </c>
      <c r="AS191" s="450" t="s">
        <v>2225</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2226</v>
      </c>
      <c r="B194" s="438" t="s">
        <v>2227</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36" t="s">
        <v>2228</v>
      </c>
      <c r="AF194" s="2336"/>
      <c r="AG194" s="2336"/>
      <c r="AH194" s="2336"/>
      <c r="AI194" s="2336"/>
      <c r="AJ194" s="2336"/>
      <c r="AK194" s="2336"/>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2229</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2230</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83" t="s">
        <v>2231</v>
      </c>
      <c r="C199" s="2383"/>
      <c r="D199" s="2383"/>
      <c r="E199" s="2383"/>
      <c r="F199" s="2383"/>
      <c r="G199" s="2383"/>
      <c r="H199" s="2383"/>
      <c r="I199" s="2383"/>
      <c r="J199" s="2383"/>
      <c r="K199" s="2383"/>
      <c r="L199" s="2383"/>
      <c r="M199" s="2383"/>
      <c r="N199" s="2383"/>
      <c r="O199" s="2383"/>
      <c r="P199" s="2383"/>
      <c r="Q199" s="2383"/>
      <c r="R199" s="2383"/>
      <c r="S199" s="2383"/>
      <c r="T199" s="2383"/>
      <c r="U199" s="2383"/>
      <c r="V199" s="2383"/>
      <c r="W199" s="2383"/>
      <c r="X199" s="2383"/>
      <c r="Y199" s="2383"/>
      <c r="Z199" s="2383"/>
      <c r="AA199" s="2383"/>
      <c r="AB199" s="2383"/>
      <c r="AC199" s="746"/>
      <c r="AD199" s="2384">
        <v>7300000</v>
      </c>
      <c r="AE199" s="2384"/>
      <c r="AF199" s="2384"/>
      <c r="AG199" s="2384"/>
      <c r="AH199" s="2384"/>
      <c r="AI199" s="2384"/>
      <c r="AJ199" s="2384"/>
      <c r="AK199" s="510"/>
    </row>
    <row r="200" spans="1:40">
      <c r="A200" s="505"/>
      <c r="B200" s="2383"/>
      <c r="C200" s="2383"/>
      <c r="D200" s="2383"/>
      <c r="E200" s="2383"/>
      <c r="F200" s="2383"/>
      <c r="G200" s="2383"/>
      <c r="H200" s="2383"/>
      <c r="I200" s="2383"/>
      <c r="J200" s="2383"/>
      <c r="K200" s="2383"/>
      <c r="L200" s="2383"/>
      <c r="M200" s="2383"/>
      <c r="N200" s="2383"/>
      <c r="O200" s="2383"/>
      <c r="P200" s="2383"/>
      <c r="Q200" s="2383"/>
      <c r="R200" s="2383"/>
      <c r="S200" s="2383"/>
      <c r="T200" s="2383"/>
      <c r="U200" s="2383"/>
      <c r="V200" s="2383"/>
      <c r="W200" s="2383"/>
      <c r="X200" s="2383"/>
      <c r="Y200" s="2383"/>
      <c r="Z200" s="2383"/>
      <c r="AA200" s="2383"/>
      <c r="AB200" s="2383"/>
      <c r="AC200" s="746"/>
      <c r="AD200" s="2384"/>
      <c r="AE200" s="2384"/>
      <c r="AF200" s="2384"/>
      <c r="AG200" s="2384"/>
      <c r="AH200" s="2384"/>
      <c r="AI200" s="2384"/>
      <c r="AJ200" s="2384"/>
      <c r="AK200" s="510"/>
    </row>
    <row r="201" spans="1:40">
      <c r="A201" s="505"/>
      <c r="B201" s="2383"/>
      <c r="C201" s="2383"/>
      <c r="D201" s="2383"/>
      <c r="E201" s="2383"/>
      <c r="F201" s="2383"/>
      <c r="G201" s="2383"/>
      <c r="H201" s="2383"/>
      <c r="I201" s="2383"/>
      <c r="J201" s="2383"/>
      <c r="K201" s="2383"/>
      <c r="L201" s="2383"/>
      <c r="M201" s="2383"/>
      <c r="N201" s="2383"/>
      <c r="O201" s="2383"/>
      <c r="P201" s="2383"/>
      <c r="Q201" s="2383"/>
      <c r="R201" s="2383"/>
      <c r="S201" s="2383"/>
      <c r="T201" s="2383"/>
      <c r="U201" s="2383"/>
      <c r="V201" s="2383"/>
      <c r="W201" s="2383"/>
      <c r="X201" s="2383"/>
      <c r="Y201" s="2383"/>
      <c r="Z201" s="2383"/>
      <c r="AA201" s="2383"/>
      <c r="AB201" s="2383"/>
      <c r="AC201" s="746"/>
      <c r="AD201" s="2384"/>
      <c r="AE201" s="2384"/>
      <c r="AF201" s="2384"/>
      <c r="AG201" s="2384"/>
      <c r="AH201" s="2384"/>
      <c r="AI201" s="2384"/>
      <c r="AJ201" s="2384"/>
      <c r="AK201" s="510"/>
    </row>
    <row r="202" spans="1:40">
      <c r="A202" s="505"/>
      <c r="B202" s="2383"/>
      <c r="C202" s="2383"/>
      <c r="D202" s="2383"/>
      <c r="E202" s="2383"/>
      <c r="F202" s="2383"/>
      <c r="G202" s="2383"/>
      <c r="H202" s="2383"/>
      <c r="I202" s="2383"/>
      <c r="J202" s="2383"/>
      <c r="K202" s="2383"/>
      <c r="L202" s="2383"/>
      <c r="M202" s="2383"/>
      <c r="N202" s="2383"/>
      <c r="O202" s="2383"/>
      <c r="P202" s="2383"/>
      <c r="Q202" s="2383"/>
      <c r="R202" s="2383"/>
      <c r="S202" s="2383"/>
      <c r="T202" s="2383"/>
      <c r="U202" s="2383"/>
      <c r="V202" s="2383"/>
      <c r="W202" s="2383"/>
      <c r="X202" s="2383"/>
      <c r="Y202" s="2383"/>
      <c r="Z202" s="2383"/>
      <c r="AA202" s="2383"/>
      <c r="AB202" s="2383"/>
      <c r="AC202" s="746"/>
      <c r="AD202" s="2384"/>
      <c r="AE202" s="2384"/>
      <c r="AF202" s="2384"/>
      <c r="AG202" s="2384"/>
      <c r="AH202" s="2384"/>
      <c r="AI202" s="2384"/>
      <c r="AJ202" s="2384"/>
      <c r="AK202" s="510"/>
    </row>
    <row r="203" spans="1:40">
      <c r="A203" s="505"/>
      <c r="B203" s="2383"/>
      <c r="C203" s="2383"/>
      <c r="D203" s="2383"/>
      <c r="E203" s="2383"/>
      <c r="F203" s="2383"/>
      <c r="G203" s="2383"/>
      <c r="H203" s="2383"/>
      <c r="I203" s="2383"/>
      <c r="J203" s="2383"/>
      <c r="K203" s="2383"/>
      <c r="L203" s="2383"/>
      <c r="M203" s="2383"/>
      <c r="N203" s="2383"/>
      <c r="O203" s="2383"/>
      <c r="P203" s="2383"/>
      <c r="Q203" s="2383"/>
      <c r="R203" s="2383"/>
      <c r="S203" s="2383"/>
      <c r="T203" s="2383"/>
      <c r="U203" s="2383"/>
      <c r="V203" s="2383"/>
      <c r="W203" s="2383"/>
      <c r="X203" s="2383"/>
      <c r="Y203" s="2383"/>
      <c r="Z203" s="2383"/>
      <c r="AA203" s="2383"/>
      <c r="AB203" s="2383"/>
      <c r="AC203" s="746"/>
      <c r="AD203" s="2384"/>
      <c r="AE203" s="2384"/>
      <c r="AF203" s="2384"/>
      <c r="AG203" s="2384"/>
      <c r="AH203" s="2384"/>
      <c r="AI203" s="2384"/>
      <c r="AJ203" s="2384"/>
      <c r="AK203" s="510"/>
    </row>
    <row r="204" spans="1:40">
      <c r="A204" s="505"/>
      <c r="B204" s="2383"/>
      <c r="C204" s="2383"/>
      <c r="D204" s="2383"/>
      <c r="E204" s="2383"/>
      <c r="F204" s="2383"/>
      <c r="G204" s="2383"/>
      <c r="H204" s="2383"/>
      <c r="I204" s="2383"/>
      <c r="J204" s="2383"/>
      <c r="K204" s="2383"/>
      <c r="L204" s="2383"/>
      <c r="M204" s="2383"/>
      <c r="N204" s="2383"/>
      <c r="O204" s="2383"/>
      <c r="P204" s="2383"/>
      <c r="Q204" s="2383"/>
      <c r="R204" s="2383"/>
      <c r="S204" s="2383"/>
      <c r="T204" s="2383"/>
      <c r="U204" s="2383"/>
      <c r="V204" s="2383"/>
      <c r="W204" s="2383"/>
      <c r="X204" s="2383"/>
      <c r="Y204" s="2383"/>
      <c r="Z204" s="2383"/>
      <c r="AA204" s="2383"/>
      <c r="AB204" s="2383"/>
      <c r="AC204" s="746"/>
      <c r="AD204" s="2384"/>
      <c r="AE204" s="2384"/>
      <c r="AF204" s="2384"/>
      <c r="AG204" s="2384"/>
      <c r="AH204" s="2384"/>
      <c r="AI204" s="2384"/>
      <c r="AJ204" s="2384"/>
      <c r="AK204" s="510"/>
    </row>
    <row r="205" spans="1:40">
      <c r="A205" s="505"/>
      <c r="B205" s="2383"/>
      <c r="C205" s="2383"/>
      <c r="D205" s="2383"/>
      <c r="E205" s="2383"/>
      <c r="F205" s="2383"/>
      <c r="G205" s="2383"/>
      <c r="H205" s="2383"/>
      <c r="I205" s="2383"/>
      <c r="J205" s="2383"/>
      <c r="K205" s="2383"/>
      <c r="L205" s="2383"/>
      <c r="M205" s="2383"/>
      <c r="N205" s="2383"/>
      <c r="O205" s="2383"/>
      <c r="P205" s="2383"/>
      <c r="Q205" s="2383"/>
      <c r="R205" s="2383"/>
      <c r="S205" s="2383"/>
      <c r="T205" s="2383"/>
      <c r="U205" s="2383"/>
      <c r="V205" s="2383"/>
      <c r="W205" s="2383"/>
      <c r="X205" s="2383"/>
      <c r="Y205" s="2383"/>
      <c r="Z205" s="2383"/>
      <c r="AA205" s="2383"/>
      <c r="AB205" s="2383"/>
      <c r="AC205" s="746"/>
      <c r="AD205" s="2384"/>
      <c r="AE205" s="2384"/>
      <c r="AF205" s="2384"/>
      <c r="AG205" s="2384"/>
      <c r="AH205" s="2384"/>
      <c r="AI205" s="2384"/>
      <c r="AJ205" s="2384"/>
      <c r="AK205" s="510"/>
    </row>
    <row r="206" spans="1:40">
      <c r="A206" s="505"/>
      <c r="B206" s="2383"/>
      <c r="C206" s="2383"/>
      <c r="D206" s="2383"/>
      <c r="E206" s="2383"/>
      <c r="F206" s="2383"/>
      <c r="G206" s="2383"/>
      <c r="H206" s="2383"/>
      <c r="I206" s="2383"/>
      <c r="J206" s="2383"/>
      <c r="K206" s="2383"/>
      <c r="L206" s="2383"/>
      <c r="M206" s="2383"/>
      <c r="N206" s="2383"/>
      <c r="O206" s="2383"/>
      <c r="P206" s="2383"/>
      <c r="Q206" s="2383"/>
      <c r="R206" s="2383"/>
      <c r="S206" s="2383"/>
      <c r="T206" s="2383"/>
      <c r="U206" s="2383"/>
      <c r="V206" s="2383"/>
      <c r="W206" s="2383"/>
      <c r="X206" s="2383"/>
      <c r="Y206" s="2383"/>
      <c r="Z206" s="2383"/>
      <c r="AA206" s="2383"/>
      <c r="AB206" s="2383"/>
      <c r="AC206" s="746"/>
      <c r="AD206" s="2384"/>
      <c r="AE206" s="2384"/>
      <c r="AF206" s="2384"/>
      <c r="AG206" s="2384"/>
      <c r="AH206" s="2384"/>
      <c r="AI206" s="2384"/>
      <c r="AJ206" s="2384"/>
      <c r="AK206" s="510"/>
    </row>
    <row r="207" spans="1:40">
      <c r="A207" s="505"/>
      <c r="B207" s="2383"/>
      <c r="C207" s="2383"/>
      <c r="D207" s="2383"/>
      <c r="E207" s="2383"/>
      <c r="F207" s="2383"/>
      <c r="G207" s="2383"/>
      <c r="H207" s="2383"/>
      <c r="I207" s="2383"/>
      <c r="J207" s="2383"/>
      <c r="K207" s="2383"/>
      <c r="L207" s="2383"/>
      <c r="M207" s="2383"/>
      <c r="N207" s="2383"/>
      <c r="O207" s="2383"/>
      <c r="P207" s="2383"/>
      <c r="Q207" s="2383"/>
      <c r="R207" s="2383"/>
      <c r="S207" s="2383"/>
      <c r="T207" s="2383"/>
      <c r="U207" s="2383"/>
      <c r="V207" s="2383"/>
      <c r="W207" s="2383"/>
      <c r="X207" s="2383"/>
      <c r="Y207" s="2383"/>
      <c r="Z207" s="2383"/>
      <c r="AA207" s="2383"/>
      <c r="AB207" s="2383"/>
      <c r="AC207" s="746"/>
      <c r="AD207" s="2384"/>
      <c r="AE207" s="2384"/>
      <c r="AF207" s="2384"/>
      <c r="AG207" s="2384"/>
      <c r="AH207" s="2384"/>
      <c r="AI207" s="2384"/>
      <c r="AJ207" s="2384"/>
      <c r="AK207" s="510"/>
    </row>
    <row r="208" spans="1:40">
      <c r="A208" s="505"/>
      <c r="B208" s="2383"/>
      <c r="C208" s="2383"/>
      <c r="D208" s="2383"/>
      <c r="E208" s="2383"/>
      <c r="F208" s="2383"/>
      <c r="G208" s="2383"/>
      <c r="H208" s="2383"/>
      <c r="I208" s="2383"/>
      <c r="J208" s="2383"/>
      <c r="K208" s="2383"/>
      <c r="L208" s="2383"/>
      <c r="M208" s="2383"/>
      <c r="N208" s="2383"/>
      <c r="O208" s="2383"/>
      <c r="P208" s="2383"/>
      <c r="Q208" s="2383"/>
      <c r="R208" s="2383"/>
      <c r="S208" s="2383"/>
      <c r="T208" s="2383"/>
      <c r="U208" s="2383"/>
      <c r="V208" s="2383"/>
      <c r="W208" s="2383"/>
      <c r="X208" s="2383"/>
      <c r="Y208" s="2383"/>
      <c r="Z208" s="2383"/>
      <c r="AA208" s="2383"/>
      <c r="AB208" s="2383"/>
      <c r="AC208" s="746"/>
      <c r="AD208" s="2384"/>
      <c r="AE208" s="2384"/>
      <c r="AF208" s="2384"/>
      <c r="AG208" s="2384"/>
      <c r="AH208" s="2384"/>
      <c r="AI208" s="2384"/>
      <c r="AJ208" s="2384"/>
      <c r="AK208" s="510"/>
    </row>
    <row r="209" spans="1:37">
      <c r="A209" s="505"/>
      <c r="B209" s="2394" t="s">
        <v>2232</v>
      </c>
      <c r="C209" s="2394"/>
      <c r="D209" s="2394"/>
      <c r="E209" s="2394"/>
      <c r="F209" s="2394"/>
      <c r="G209" s="2394"/>
      <c r="H209" s="2394"/>
      <c r="I209" s="2394"/>
      <c r="J209" s="2394"/>
      <c r="K209" s="2394"/>
      <c r="L209" s="2394"/>
      <c r="M209" s="2394"/>
      <c r="N209" s="2394"/>
      <c r="O209" s="2394"/>
      <c r="P209" s="2394"/>
      <c r="Q209" s="2394"/>
      <c r="R209" s="2394"/>
      <c r="S209" s="2394"/>
      <c r="T209" s="2394"/>
      <c r="U209" s="2394"/>
      <c r="V209" s="2394"/>
      <c r="W209" s="2394"/>
      <c r="X209" s="2394"/>
      <c r="Y209" s="2394"/>
      <c r="Z209" s="2394"/>
      <c r="AA209" s="2394"/>
      <c r="AB209" s="2394"/>
      <c r="AC209" s="436"/>
      <c r="AD209" s="2413">
        <f>AB260</f>
        <v>0</v>
      </c>
      <c r="AE209" s="2413"/>
      <c r="AF209" s="2413"/>
      <c r="AG209" s="2413"/>
      <c r="AH209" s="2413"/>
      <c r="AI209" s="2413"/>
      <c r="AJ209" s="2413"/>
      <c r="AK209" s="510"/>
    </row>
    <row r="210" spans="1:37">
      <c r="A210" s="505"/>
      <c r="B210" s="2540" t="s">
        <v>2233</v>
      </c>
      <c r="C210" s="2540"/>
      <c r="D210" s="2540"/>
      <c r="E210" s="2540"/>
      <c r="F210" s="2540"/>
      <c r="G210" s="2540"/>
      <c r="H210" s="2540"/>
      <c r="I210" s="2540"/>
      <c r="J210" s="2540"/>
      <c r="K210" s="2540"/>
      <c r="L210" s="2540"/>
      <c r="M210" s="2540"/>
      <c r="N210" s="2540"/>
      <c r="O210" s="2540"/>
      <c r="P210" s="2540"/>
      <c r="Q210" s="2540"/>
      <c r="R210" s="2540"/>
      <c r="S210" s="2540"/>
      <c r="T210" s="2540"/>
      <c r="U210" s="2540"/>
      <c r="V210" s="2540"/>
      <c r="W210" s="2540"/>
      <c r="X210" s="2540"/>
      <c r="Y210" s="2540"/>
      <c r="Z210" s="2540"/>
      <c r="AA210" s="2540"/>
      <c r="AB210" s="2540"/>
      <c r="AC210" s="746"/>
      <c r="AD210" s="2414">
        <f>'Sources and Uses Budget'!B15</f>
        <v>0</v>
      </c>
      <c r="AE210" s="2414"/>
      <c r="AF210" s="2414"/>
      <c r="AG210" s="2414"/>
      <c r="AH210" s="2414"/>
      <c r="AI210" s="2414"/>
      <c r="AJ210" s="2414"/>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1480</v>
      </c>
      <c r="AC211" s="436"/>
      <c r="AD211" s="2418">
        <f>SUM(AD199:AJ209)-AD210</f>
        <v>7300000</v>
      </c>
      <c r="AE211" s="2418"/>
      <c r="AF211" s="2418"/>
      <c r="AG211" s="2418"/>
      <c r="AH211" s="2418"/>
      <c r="AI211" s="2418"/>
      <c r="AJ211" s="2418"/>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2234</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2235</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2236</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2237</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2238</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2239</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2240</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2241</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387" t="s">
        <v>2242</v>
      </c>
      <c r="J222" s="2387"/>
      <c r="K222" s="2387"/>
      <c r="L222" s="436"/>
      <c r="M222" s="436"/>
      <c r="N222" s="436"/>
      <c r="O222" s="436"/>
      <c r="P222" s="436"/>
      <c r="Q222" s="436"/>
      <c r="R222" s="436"/>
      <c r="S222" s="436"/>
      <c r="T222" s="2575" t="s">
        <v>2243</v>
      </c>
      <c r="U222" s="2575"/>
      <c r="V222" s="2575"/>
      <c r="W222" s="2575"/>
      <c r="X222" s="2575"/>
      <c r="Y222" s="2575"/>
      <c r="Z222" s="749"/>
      <c r="AA222" s="390"/>
      <c r="AB222" s="2382" t="s">
        <v>2244</v>
      </c>
      <c r="AC222" s="2382"/>
      <c r="AD222" s="2382"/>
      <c r="AE222" s="2382"/>
      <c r="AF222" s="2382"/>
      <c r="AG222" s="2382"/>
      <c r="AH222" s="727"/>
      <c r="AI222" s="727"/>
      <c r="AJ222" s="727"/>
      <c r="AK222" s="510"/>
    </row>
    <row r="223" spans="1:37">
      <c r="A223" s="505"/>
      <c r="B223" s="2385" t="s">
        <v>2245</v>
      </c>
      <c r="C223" s="2385"/>
      <c r="D223" s="2385"/>
      <c r="E223" s="2385"/>
      <c r="F223" s="2385"/>
      <c r="G223" s="2385"/>
      <c r="I223" s="2386" t="s">
        <v>2246</v>
      </c>
      <c r="J223" s="2386"/>
      <c r="K223" s="2386"/>
      <c r="L223" s="902"/>
      <c r="N223" s="2392" t="s">
        <v>2247</v>
      </c>
      <c r="O223" s="2392"/>
      <c r="P223" s="2392"/>
      <c r="Q223" s="2392"/>
      <c r="R223" s="2392"/>
      <c r="T223" s="2392" t="s">
        <v>2248</v>
      </c>
      <c r="U223" s="2392"/>
      <c r="V223" s="2392"/>
      <c r="W223" s="2392"/>
      <c r="X223" s="2392"/>
      <c r="Y223" s="2392"/>
      <c r="Z223" s="750"/>
      <c r="AA223" s="390"/>
      <c r="AB223" s="2529" t="s">
        <v>2249</v>
      </c>
      <c r="AC223" s="2529"/>
      <c r="AD223" s="2529"/>
      <c r="AE223" s="2529"/>
      <c r="AF223" s="2529"/>
      <c r="AG223" s="2529"/>
      <c r="AH223" s="727"/>
      <c r="AI223" s="727"/>
      <c r="AJ223" s="727"/>
      <c r="AK223" s="510"/>
    </row>
    <row r="224" spans="1:37">
      <c r="A224" s="505"/>
      <c r="B224" s="2389" t="s">
        <v>998</v>
      </c>
      <c r="C224" s="2389"/>
      <c r="D224" s="2389"/>
      <c r="E224" s="2389"/>
      <c r="F224" s="2389"/>
      <c r="G224" s="2389"/>
      <c r="H224" s="752"/>
      <c r="I224" s="2388"/>
      <c r="J224" s="2388"/>
      <c r="K224" s="2388"/>
      <c r="L224" s="902"/>
      <c r="N224" s="2393"/>
      <c r="O224" s="2393"/>
      <c r="P224" s="2393"/>
      <c r="Q224" s="2393"/>
      <c r="R224" s="2393"/>
      <c r="T224" s="2541"/>
      <c r="U224" s="2541"/>
      <c r="V224" s="2541"/>
      <c r="W224" s="2541"/>
      <c r="X224" s="2541"/>
      <c r="Y224" s="2541"/>
      <c r="Z224" s="751"/>
      <c r="AA224" s="751"/>
      <c r="AB224" s="2390">
        <f t="shared" ref="AB224:AB233" si="0">MAX(($T224-$N224)*$I224*12,0)</f>
        <v>0</v>
      </c>
      <c r="AC224" s="2390"/>
      <c r="AD224" s="2390"/>
      <c r="AE224" s="2390"/>
      <c r="AF224" s="2390"/>
      <c r="AG224" s="2390"/>
      <c r="AH224" s="727"/>
      <c r="AI224" s="727"/>
      <c r="AJ224" s="727"/>
      <c r="AK224" s="510"/>
    </row>
    <row r="225" spans="1:37">
      <c r="A225" s="505"/>
      <c r="B225" s="2389" t="s">
        <v>998</v>
      </c>
      <c r="C225" s="2389"/>
      <c r="D225" s="2389"/>
      <c r="E225" s="2389"/>
      <c r="F225" s="2389"/>
      <c r="G225" s="2389"/>
      <c r="I225" s="2388"/>
      <c r="J225" s="2388"/>
      <c r="K225" s="2388"/>
      <c r="L225" s="902"/>
      <c r="N225" s="2393"/>
      <c r="O225" s="2393"/>
      <c r="P225" s="2393"/>
      <c r="Q225" s="2393"/>
      <c r="R225" s="2393"/>
      <c r="T225" s="2541"/>
      <c r="U225" s="2541"/>
      <c r="V225" s="2541"/>
      <c r="W225" s="2541"/>
      <c r="X225" s="2541"/>
      <c r="Y225" s="2541"/>
      <c r="Z225" s="751"/>
      <c r="AA225" s="751"/>
      <c r="AB225" s="2390">
        <f t="shared" si="0"/>
        <v>0</v>
      </c>
      <c r="AC225" s="2390"/>
      <c r="AD225" s="2390"/>
      <c r="AE225" s="2390"/>
      <c r="AF225" s="2390"/>
      <c r="AG225" s="2390"/>
      <c r="AH225" s="727"/>
      <c r="AI225" s="727"/>
      <c r="AJ225" s="727"/>
      <c r="AK225" s="510"/>
    </row>
    <row r="226" spans="1:37">
      <c r="A226" s="505"/>
      <c r="B226" s="2389" t="s">
        <v>998</v>
      </c>
      <c r="C226" s="2389"/>
      <c r="D226" s="2389"/>
      <c r="E226" s="2389"/>
      <c r="F226" s="2389"/>
      <c r="G226" s="2389"/>
      <c r="I226" s="2388"/>
      <c r="J226" s="2388"/>
      <c r="K226" s="2388"/>
      <c r="L226" s="902"/>
      <c r="N226" s="2393"/>
      <c r="O226" s="2393"/>
      <c r="P226" s="2393"/>
      <c r="Q226" s="2393"/>
      <c r="R226" s="2393"/>
      <c r="T226" s="2541"/>
      <c r="U226" s="2541"/>
      <c r="V226" s="2541"/>
      <c r="W226" s="2541"/>
      <c r="X226" s="2541"/>
      <c r="Y226" s="2541"/>
      <c r="Z226" s="751"/>
      <c r="AA226" s="751"/>
      <c r="AB226" s="2390">
        <f t="shared" si="0"/>
        <v>0</v>
      </c>
      <c r="AC226" s="2390"/>
      <c r="AD226" s="2390"/>
      <c r="AE226" s="2390"/>
      <c r="AF226" s="2390"/>
      <c r="AG226" s="2390"/>
      <c r="AH226" s="727"/>
      <c r="AI226" s="727"/>
      <c r="AJ226" s="727"/>
      <c r="AK226" s="510"/>
    </row>
    <row r="227" spans="1:37">
      <c r="A227" s="505"/>
      <c r="B227" s="2389" t="s">
        <v>998</v>
      </c>
      <c r="C227" s="2389"/>
      <c r="D227" s="2389"/>
      <c r="E227" s="2389"/>
      <c r="F227" s="2389"/>
      <c r="G227" s="2389"/>
      <c r="I227" s="2388"/>
      <c r="J227" s="2388"/>
      <c r="K227" s="2388"/>
      <c r="L227" s="902"/>
      <c r="N227" s="2393"/>
      <c r="O227" s="2393"/>
      <c r="P227" s="2393"/>
      <c r="Q227" s="2393"/>
      <c r="R227" s="2393"/>
      <c r="T227" s="2541"/>
      <c r="U227" s="2541"/>
      <c r="V227" s="2541"/>
      <c r="W227" s="2541"/>
      <c r="X227" s="2541"/>
      <c r="Y227" s="2541"/>
      <c r="Z227" s="751"/>
      <c r="AA227" s="751"/>
      <c r="AB227" s="2390">
        <f t="shared" si="0"/>
        <v>0</v>
      </c>
      <c r="AC227" s="2390"/>
      <c r="AD227" s="2390"/>
      <c r="AE227" s="2390"/>
      <c r="AF227" s="2390"/>
      <c r="AG227" s="2390"/>
      <c r="AH227" s="727"/>
      <c r="AI227" s="727"/>
      <c r="AJ227" s="727"/>
      <c r="AK227" s="510"/>
    </row>
    <row r="228" spans="1:37">
      <c r="A228" s="505"/>
      <c r="B228" s="2389" t="s">
        <v>998</v>
      </c>
      <c r="C228" s="2389"/>
      <c r="D228" s="2389"/>
      <c r="E228" s="2389"/>
      <c r="F228" s="2389"/>
      <c r="G228" s="2389"/>
      <c r="I228" s="2388"/>
      <c r="J228" s="2388"/>
      <c r="K228" s="2388"/>
      <c r="L228" s="907"/>
      <c r="N228" s="2393"/>
      <c r="O228" s="2393"/>
      <c r="P228" s="2393"/>
      <c r="Q228" s="2393"/>
      <c r="R228" s="2393"/>
      <c r="T228" s="2541"/>
      <c r="U228" s="2541"/>
      <c r="V228" s="2541"/>
      <c r="W228" s="2541"/>
      <c r="X228" s="2541"/>
      <c r="Y228" s="2541"/>
      <c r="Z228" s="751"/>
      <c r="AA228" s="751"/>
      <c r="AB228" s="2390">
        <f t="shared" si="0"/>
        <v>0</v>
      </c>
      <c r="AC228" s="2390"/>
      <c r="AD228" s="2390"/>
      <c r="AE228" s="2390"/>
      <c r="AF228" s="2390"/>
      <c r="AG228" s="2390"/>
      <c r="AH228" s="727"/>
      <c r="AI228" s="727"/>
      <c r="AJ228" s="727"/>
      <c r="AK228" s="510"/>
    </row>
    <row r="229" spans="1:37">
      <c r="A229" s="505"/>
      <c r="B229" s="2389" t="s">
        <v>998</v>
      </c>
      <c r="C229" s="2389"/>
      <c r="D229" s="2389"/>
      <c r="E229" s="2389"/>
      <c r="F229" s="2389"/>
      <c r="G229" s="2389"/>
      <c r="I229" s="2388"/>
      <c r="J229" s="2388"/>
      <c r="K229" s="2388"/>
      <c r="L229" s="907"/>
      <c r="N229" s="2393"/>
      <c r="O229" s="2393"/>
      <c r="P229" s="2393"/>
      <c r="Q229" s="2393"/>
      <c r="R229" s="2393"/>
      <c r="T229" s="2541"/>
      <c r="U229" s="2541"/>
      <c r="V229" s="2541"/>
      <c r="W229" s="2541"/>
      <c r="X229" s="2541"/>
      <c r="Y229" s="2541"/>
      <c r="Z229" s="751"/>
      <c r="AA229" s="751"/>
      <c r="AB229" s="2390">
        <f t="shared" si="0"/>
        <v>0</v>
      </c>
      <c r="AC229" s="2390"/>
      <c r="AD229" s="2390"/>
      <c r="AE229" s="2390"/>
      <c r="AF229" s="2390"/>
      <c r="AG229" s="2390"/>
      <c r="AH229" s="727"/>
      <c r="AI229" s="727"/>
      <c r="AJ229" s="727"/>
      <c r="AK229" s="510"/>
    </row>
    <row r="230" spans="1:37">
      <c r="A230" s="505"/>
      <c r="B230" s="2389" t="s">
        <v>998</v>
      </c>
      <c r="C230" s="2389"/>
      <c r="D230" s="2389"/>
      <c r="E230" s="2389"/>
      <c r="F230" s="2389"/>
      <c r="G230" s="2389"/>
      <c r="I230" s="2388"/>
      <c r="J230" s="2388"/>
      <c r="K230" s="2388"/>
      <c r="L230" s="907"/>
      <c r="N230" s="2393"/>
      <c r="O230" s="2393"/>
      <c r="P230" s="2393"/>
      <c r="Q230" s="2393"/>
      <c r="R230" s="2393"/>
      <c r="T230" s="2541"/>
      <c r="U230" s="2541"/>
      <c r="V230" s="2541"/>
      <c r="W230" s="2541"/>
      <c r="X230" s="2541"/>
      <c r="Y230" s="2541"/>
      <c r="Z230" s="751"/>
      <c r="AA230" s="751"/>
      <c r="AB230" s="2390">
        <f t="shared" si="0"/>
        <v>0</v>
      </c>
      <c r="AC230" s="2390"/>
      <c r="AD230" s="2390"/>
      <c r="AE230" s="2390"/>
      <c r="AF230" s="2390"/>
      <c r="AG230" s="2390"/>
      <c r="AH230" s="727"/>
      <c r="AI230" s="727"/>
      <c r="AJ230" s="727"/>
      <c r="AK230" s="510"/>
    </row>
    <row r="231" spans="1:37">
      <c r="A231" s="505"/>
      <c r="B231" s="2389" t="s">
        <v>998</v>
      </c>
      <c r="C231" s="2389"/>
      <c r="D231" s="2389"/>
      <c r="E231" s="2389"/>
      <c r="F231" s="2389"/>
      <c r="G231" s="2389"/>
      <c r="I231" s="2388"/>
      <c r="J231" s="2388"/>
      <c r="K231" s="2388"/>
      <c r="L231" s="907"/>
      <c r="N231" s="2393"/>
      <c r="O231" s="2393"/>
      <c r="P231" s="2393"/>
      <c r="Q231" s="2393"/>
      <c r="R231" s="2393"/>
      <c r="T231" s="2541"/>
      <c r="U231" s="2541"/>
      <c r="V231" s="2541"/>
      <c r="W231" s="2541"/>
      <c r="X231" s="2541"/>
      <c r="Y231" s="2541"/>
      <c r="Z231" s="751"/>
      <c r="AA231" s="751"/>
      <c r="AB231" s="2390">
        <f t="shared" si="0"/>
        <v>0</v>
      </c>
      <c r="AC231" s="2390"/>
      <c r="AD231" s="2390"/>
      <c r="AE231" s="2390"/>
      <c r="AF231" s="2390"/>
      <c r="AG231" s="2390"/>
      <c r="AH231" s="727"/>
      <c r="AI231" s="727"/>
      <c r="AJ231" s="727"/>
      <c r="AK231" s="510"/>
    </row>
    <row r="232" spans="1:37">
      <c r="A232" s="505"/>
      <c r="B232" s="2389" t="s">
        <v>998</v>
      </c>
      <c r="C232" s="2389"/>
      <c r="D232" s="2389"/>
      <c r="E232" s="2389"/>
      <c r="F232" s="2389"/>
      <c r="G232" s="2389"/>
      <c r="I232" s="2388"/>
      <c r="J232" s="2388"/>
      <c r="K232" s="2388"/>
      <c r="L232" s="907"/>
      <c r="N232" s="2393"/>
      <c r="O232" s="2393"/>
      <c r="P232" s="2393"/>
      <c r="Q232" s="2393"/>
      <c r="R232" s="2393"/>
      <c r="T232" s="2541"/>
      <c r="U232" s="2541"/>
      <c r="V232" s="2541"/>
      <c r="W232" s="2541"/>
      <c r="X232" s="2541"/>
      <c r="Y232" s="2541"/>
      <c r="Z232" s="751"/>
      <c r="AA232" s="751"/>
      <c r="AB232" s="2390">
        <f t="shared" si="0"/>
        <v>0</v>
      </c>
      <c r="AC232" s="2390"/>
      <c r="AD232" s="2390"/>
      <c r="AE232" s="2390"/>
      <c r="AF232" s="2390"/>
      <c r="AG232" s="2390"/>
      <c r="AH232" s="727"/>
      <c r="AI232" s="727"/>
      <c r="AJ232" s="727"/>
      <c r="AK232" s="510"/>
    </row>
    <row r="233" spans="1:37">
      <c r="A233" s="505"/>
      <c r="B233" s="2389" t="s">
        <v>998</v>
      </c>
      <c r="C233" s="2389"/>
      <c r="D233" s="2389"/>
      <c r="E233" s="2389"/>
      <c r="F233" s="2389"/>
      <c r="G233" s="2389"/>
      <c r="I233" s="2391"/>
      <c r="J233" s="2391"/>
      <c r="K233" s="2391"/>
      <c r="L233" s="907"/>
      <c r="N233" s="2393"/>
      <c r="O233" s="2393"/>
      <c r="P233" s="2393"/>
      <c r="Q233" s="2393"/>
      <c r="R233" s="2393"/>
      <c r="T233" s="2541"/>
      <c r="U233" s="2541"/>
      <c r="V233" s="2541"/>
      <c r="W233" s="2541"/>
      <c r="X233" s="2541"/>
      <c r="Y233" s="2541"/>
      <c r="Z233" s="751"/>
      <c r="AA233" s="751"/>
      <c r="AB233" s="2539">
        <f t="shared" si="0"/>
        <v>0</v>
      </c>
      <c r="AC233" s="2539"/>
      <c r="AD233" s="2539"/>
      <c r="AE233" s="2539"/>
      <c r="AF233" s="2539"/>
      <c r="AG233" s="2539"/>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2250</v>
      </c>
      <c r="AA234" s="753"/>
      <c r="AB234" s="2390">
        <f>SUM(AB224:AB233)</f>
        <v>0</v>
      </c>
      <c r="AC234" s="2390"/>
      <c r="AD234" s="2390"/>
      <c r="AE234" s="2390"/>
      <c r="AF234" s="2390"/>
      <c r="AG234" s="2390"/>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2251</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2252</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2253</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2254</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42"/>
      <c r="AC240" s="2542"/>
      <c r="AD240" s="2542"/>
      <c r="AE240" s="2542"/>
      <c r="AF240" s="2542"/>
      <c r="AG240" s="2542"/>
      <c r="AH240" s="510"/>
      <c r="AI240" s="510"/>
      <c r="AJ240" s="510"/>
      <c r="AK240" s="510"/>
    </row>
    <row r="241" spans="1:37">
      <c r="A241" s="505"/>
      <c r="B241" s="737" t="s">
        <v>2255</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2256</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2257</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42"/>
      <c r="AC243" s="2542"/>
      <c r="AD243" s="2542"/>
      <c r="AE243" s="2542"/>
      <c r="AF243" s="2542"/>
      <c r="AG243" s="2542"/>
      <c r="AH243" s="510"/>
      <c r="AI243" s="510"/>
      <c r="AJ243" s="510"/>
      <c r="AK243" s="510"/>
    </row>
    <row r="244" spans="1:37">
      <c r="A244" s="505"/>
      <c r="B244" s="738" t="s">
        <v>2258</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74"/>
      <c r="AC244" s="2574"/>
      <c r="AD244" s="2574"/>
      <c r="AE244" s="2574"/>
      <c r="AF244" s="2574"/>
      <c r="AG244" s="2574"/>
      <c r="AH244" s="510"/>
      <c r="AI244" s="510"/>
      <c r="AJ244" s="510"/>
      <c r="AK244" s="510"/>
    </row>
    <row r="245" spans="1:37">
      <c r="A245" s="505"/>
      <c r="B245" s="738" t="s">
        <v>2259</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56">
        <f>IFERROR(AB243/AB244,0)</f>
        <v>0</v>
      </c>
      <c r="AC245" s="2556"/>
      <c r="AD245" s="2556"/>
      <c r="AE245" s="2556"/>
      <c r="AF245" s="2556"/>
      <c r="AG245" s="2556"/>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2260</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39">
        <f>MAX(AB240,AB245)</f>
        <v>0</v>
      </c>
      <c r="AC247" s="2539"/>
      <c r="AD247" s="2539"/>
      <c r="AE247" s="2539"/>
      <c r="AF247" s="2539"/>
      <c r="AG247" s="2539"/>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2261</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90">
        <f>AB234+AB247</f>
        <v>0</v>
      </c>
      <c r="AC250" s="2390"/>
      <c r="AD250" s="2390"/>
      <c r="AE250" s="2390"/>
      <c r="AF250" s="2390"/>
      <c r="AG250" s="2390"/>
      <c r="AH250" s="510"/>
      <c r="AI250" s="510"/>
      <c r="AJ250" s="510"/>
      <c r="AK250" s="510"/>
    </row>
    <row r="251" spans="1:37">
      <c r="A251" s="505"/>
      <c r="B251" s="377" t="s">
        <v>2262</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22">
        <v>0.05</v>
      </c>
      <c r="AC251" s="2422"/>
      <c r="AD251" s="2422"/>
      <c r="AE251" s="2422"/>
      <c r="AF251" s="2422"/>
      <c r="AG251" s="2422"/>
      <c r="AH251" s="510"/>
      <c r="AI251" s="510"/>
      <c r="AJ251" s="510"/>
      <c r="AK251" s="510"/>
    </row>
    <row r="252" spans="1:37">
      <c r="A252" s="505"/>
      <c r="B252" s="377" t="s">
        <v>2263</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23">
        <f>AB250-(AB250*AB251)</f>
        <v>0</v>
      </c>
      <c r="AC252" s="2423"/>
      <c r="AD252" s="2423"/>
      <c r="AE252" s="2423"/>
      <c r="AF252" s="2423"/>
      <c r="AG252" s="2423"/>
      <c r="AH252" s="510"/>
      <c r="AI252" s="510"/>
      <c r="AJ252" s="510"/>
      <c r="AK252" s="510"/>
    </row>
    <row r="253" spans="1:37">
      <c r="A253" s="505"/>
      <c r="B253" s="377" t="s">
        <v>2264</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2265</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90">
        <f>AB252/AB258</f>
        <v>0</v>
      </c>
      <c r="AC254" s="2390"/>
      <c r="AD254" s="2390"/>
      <c r="AE254" s="2390"/>
      <c r="AF254" s="2390"/>
      <c r="AG254" s="2390"/>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2266</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82">
        <v>15</v>
      </c>
      <c r="AC256" s="2382"/>
      <c r="AD256" s="2382"/>
      <c r="AE256" s="2382"/>
      <c r="AF256" s="2382"/>
      <c r="AG256" s="2382"/>
      <c r="AH256" s="510"/>
      <c r="AI256" s="510"/>
      <c r="AJ256" s="510"/>
      <c r="AK256" s="510"/>
    </row>
    <row r="257" spans="1:37">
      <c r="A257" s="505"/>
      <c r="B257" s="377" t="s">
        <v>2267</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24">
        <v>0.04</v>
      </c>
      <c r="AC257" s="2424"/>
      <c r="AD257" s="2424"/>
      <c r="AE257" s="2424"/>
      <c r="AF257" s="2424"/>
      <c r="AG257" s="2424"/>
      <c r="AH257" s="510"/>
      <c r="AI257" s="510"/>
      <c r="AJ257" s="510"/>
      <c r="AK257" s="510"/>
    </row>
    <row r="258" spans="1:37">
      <c r="A258" s="505"/>
      <c r="B258" s="377" t="s">
        <v>2268</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395">
        <v>1.1499999999999999</v>
      </c>
      <c r="AC258" s="2395"/>
      <c r="AD258" s="2395"/>
      <c r="AE258" s="2395"/>
      <c r="AF258" s="2395"/>
      <c r="AG258" s="2395"/>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2269</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15">
        <f>PV(AB257/12,AB256*12,-AB254/12, ,0)</f>
        <v>0</v>
      </c>
      <c r="AC260" s="2416"/>
      <c r="AD260" s="2416"/>
      <c r="AE260" s="2416"/>
      <c r="AF260" s="2416"/>
      <c r="AG260" s="2417"/>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2270</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2271</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2272</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2273</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19">
        <f>IFERROR(('Sources and Uses Budget'!D105/'Sources and Uses Budget'!B105),0)</f>
        <v>0</v>
      </c>
      <c r="AC266" s="2420"/>
      <c r="AD266" s="2420"/>
      <c r="AE266" s="2420"/>
      <c r="AF266" s="2420"/>
      <c r="AG266" s="2421"/>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2274</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09">
        <f>AD211*(1-AB266)</f>
        <v>7300000</v>
      </c>
      <c r="AH268" s="2409"/>
      <c r="AI268" s="2409"/>
      <c r="AJ268" s="2409"/>
      <c r="AK268" s="2409"/>
    </row>
    <row r="269" spans="1:37">
      <c r="A269" s="522"/>
      <c r="B269" s="525" t="s">
        <v>2275</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09">
        <f>'Sources and Uses Budget'!C105</f>
        <v>88827994</v>
      </c>
      <c r="AH269" s="2409"/>
      <c r="AI269" s="2409"/>
      <c r="AJ269" s="2409"/>
      <c r="AK269" s="2409"/>
    </row>
    <row r="270" spans="1:37">
      <c r="A270" s="522"/>
      <c r="B270" s="524" t="s">
        <v>1633</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10">
        <f>ROUNDDOWN(IF(AND(C292="Yes",AK84=10),((AG268*2)/AG269),AG268/AG269),2)</f>
        <v>0.08</v>
      </c>
      <c r="AH270" s="2410"/>
      <c r="AI270" s="2410"/>
      <c r="AJ270" s="2410"/>
      <c r="AK270" s="2410"/>
    </row>
    <row r="271" spans="1:37">
      <c r="A271" s="522"/>
      <c r="B271" s="872" t="s">
        <v>2276</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2277</v>
      </c>
      <c r="AK273" s="2411">
        <f>IFERROR(IF(AG270=0,0,IF((AG270*100)&gt;8,8,(AG270*100))),0)</f>
        <v>8</v>
      </c>
      <c r="AL273" s="2411"/>
      <c r="AM273" s="2412"/>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2278</v>
      </c>
      <c r="B276" s="438" t="s">
        <v>2279</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2144</v>
      </c>
      <c r="AI276" s="450"/>
      <c r="AJ276" s="450"/>
      <c r="AK276" s="450"/>
      <c r="AL276" s="450"/>
      <c r="AM276" s="450"/>
      <c r="AO276" s="450"/>
    </row>
    <row r="277" spans="1:52" ht="14.25" customHeight="1">
      <c r="A277" s="491"/>
      <c r="AI277" s="451"/>
      <c r="AJ277" s="450"/>
      <c r="AK277" s="450"/>
      <c r="AL277" s="450"/>
      <c r="AM277" s="450"/>
      <c r="AO277" s="450"/>
    </row>
    <row r="278" spans="1:52" ht="13.9" customHeight="1">
      <c r="A278" s="450"/>
      <c r="B278" s="496"/>
      <c r="C278" s="2403" t="s">
        <v>843</v>
      </c>
      <c r="D278" s="2403"/>
      <c r="E278" s="447"/>
      <c r="F278" s="2560" t="s">
        <v>2280</v>
      </c>
      <c r="G278" s="2561"/>
      <c r="H278" s="2561"/>
      <c r="I278" s="2561"/>
      <c r="J278" s="2561"/>
      <c r="K278" s="2561"/>
      <c r="L278" s="2561"/>
      <c r="M278" s="2561"/>
      <c r="N278" s="2561"/>
      <c r="O278" s="2561"/>
      <c r="P278" s="2561"/>
      <c r="Q278" s="2561"/>
      <c r="R278" s="2561"/>
      <c r="S278" s="2561"/>
      <c r="T278" s="2561"/>
      <c r="U278" s="2561"/>
      <c r="V278" s="2561"/>
      <c r="W278" s="2561"/>
      <c r="X278" s="2561"/>
      <c r="Y278" s="2561"/>
      <c r="Z278" s="2561"/>
      <c r="AA278" s="2561"/>
      <c r="AB278" s="2561"/>
      <c r="AC278" s="2561"/>
      <c r="AD278" s="2562"/>
      <c r="AE278" s="450"/>
      <c r="AF278" s="535"/>
      <c r="AG278" s="2404" t="s">
        <v>2219</v>
      </c>
      <c r="AH278" s="2404"/>
      <c r="AI278" s="2404"/>
      <c r="AJ278" s="2404"/>
      <c r="AK278" s="450"/>
      <c r="AL278" s="450"/>
      <c r="AM278" s="450"/>
      <c r="AO278" s="450"/>
    </row>
    <row r="279" spans="1:52" ht="13.9" customHeight="1">
      <c r="A279" s="450"/>
      <c r="B279" s="496"/>
      <c r="C279" s="536"/>
      <c r="D279" s="450"/>
      <c r="E279" s="447"/>
      <c r="F279" s="2563"/>
      <c r="G279" s="2564"/>
      <c r="H279" s="2564"/>
      <c r="I279" s="2564"/>
      <c r="J279" s="2564"/>
      <c r="K279" s="2564"/>
      <c r="L279" s="2564"/>
      <c r="M279" s="2564"/>
      <c r="N279" s="2564"/>
      <c r="O279" s="2564"/>
      <c r="P279" s="2564"/>
      <c r="Q279" s="2564"/>
      <c r="R279" s="2564"/>
      <c r="S279" s="2564"/>
      <c r="T279" s="2564"/>
      <c r="U279" s="2564"/>
      <c r="V279" s="2564"/>
      <c r="W279" s="2564"/>
      <c r="X279" s="2564"/>
      <c r="Y279" s="2564"/>
      <c r="Z279" s="2564"/>
      <c r="AA279" s="2564"/>
      <c r="AB279" s="2564"/>
      <c r="AC279" s="2564"/>
      <c r="AD279" s="2565"/>
      <c r="AE279" s="450"/>
      <c r="AF279" s="535"/>
      <c r="AG279" s="535"/>
      <c r="AH279" s="535"/>
      <c r="AI279" s="535"/>
      <c r="AJ279" s="450"/>
      <c r="AK279" s="450"/>
      <c r="AL279" s="450"/>
      <c r="AM279" s="450"/>
      <c r="AO279" s="450"/>
    </row>
    <row r="280" spans="1:52">
      <c r="A280" s="450"/>
      <c r="B280" s="496"/>
      <c r="C280" s="536"/>
      <c r="D280" s="450"/>
      <c r="E280" s="447"/>
      <c r="F280" s="2563"/>
      <c r="G280" s="2564"/>
      <c r="H280" s="2564"/>
      <c r="I280" s="2564"/>
      <c r="J280" s="2564"/>
      <c r="K280" s="2564"/>
      <c r="L280" s="2564"/>
      <c r="M280" s="2564"/>
      <c r="N280" s="2564"/>
      <c r="O280" s="2564"/>
      <c r="P280" s="2564"/>
      <c r="Q280" s="2564"/>
      <c r="R280" s="2564"/>
      <c r="S280" s="2564"/>
      <c r="T280" s="2564"/>
      <c r="U280" s="2564"/>
      <c r="V280" s="2564"/>
      <c r="W280" s="2564"/>
      <c r="X280" s="2564"/>
      <c r="Y280" s="2564"/>
      <c r="Z280" s="2564"/>
      <c r="AA280" s="2564"/>
      <c r="AB280" s="2564"/>
      <c r="AC280" s="2564"/>
      <c r="AD280" s="2565"/>
      <c r="AE280" s="450"/>
      <c r="AF280" s="535"/>
      <c r="AG280" s="535"/>
      <c r="AH280" s="535"/>
      <c r="AI280" s="535"/>
      <c r="AJ280" s="450"/>
      <c r="AK280" s="450"/>
      <c r="AL280" s="450"/>
      <c r="AM280" s="450"/>
      <c r="AO280" s="450"/>
      <c r="AP280" s="537"/>
    </row>
    <row r="281" spans="1:52">
      <c r="A281" s="450"/>
      <c r="B281" s="496"/>
      <c r="C281" s="536"/>
      <c r="D281" s="450"/>
      <c r="E281" s="447"/>
      <c r="F281" s="2563"/>
      <c r="G281" s="2564"/>
      <c r="H281" s="2564"/>
      <c r="I281" s="2564"/>
      <c r="J281" s="2564"/>
      <c r="K281" s="2564"/>
      <c r="L281" s="2564"/>
      <c r="M281" s="2564"/>
      <c r="N281" s="2564"/>
      <c r="O281" s="2564"/>
      <c r="P281" s="2564"/>
      <c r="Q281" s="2564"/>
      <c r="R281" s="2564"/>
      <c r="S281" s="2564"/>
      <c r="T281" s="2564"/>
      <c r="U281" s="2564"/>
      <c r="V281" s="2564"/>
      <c r="W281" s="2564"/>
      <c r="X281" s="2564"/>
      <c r="Y281" s="2564"/>
      <c r="Z281" s="2564"/>
      <c r="AA281" s="2564"/>
      <c r="AB281" s="2564"/>
      <c r="AC281" s="2564"/>
      <c r="AD281" s="2565"/>
      <c r="AE281" s="450"/>
      <c r="AF281" s="535"/>
      <c r="AG281" s="535"/>
      <c r="AH281" s="535"/>
      <c r="AI281" s="535"/>
      <c r="AJ281" s="450"/>
      <c r="AK281" s="450"/>
      <c r="AL281" s="450"/>
      <c r="AM281" s="450"/>
      <c r="AO281" s="450"/>
      <c r="AP281" s="537"/>
    </row>
    <row r="282" spans="1:52" ht="13.9" customHeight="1">
      <c r="A282" s="450"/>
      <c r="B282" s="496"/>
      <c r="C282" s="2405"/>
      <c r="D282" s="2405"/>
      <c r="E282" s="447"/>
      <c r="F282" s="2566"/>
      <c r="G282" s="2567"/>
      <c r="H282" s="2567"/>
      <c r="I282" s="2567"/>
      <c r="J282" s="2567"/>
      <c r="K282" s="2567"/>
      <c r="L282" s="2567"/>
      <c r="M282" s="2567"/>
      <c r="N282" s="2567"/>
      <c r="O282" s="2567"/>
      <c r="P282" s="2567"/>
      <c r="Q282" s="2567"/>
      <c r="R282" s="2567"/>
      <c r="S282" s="2567"/>
      <c r="T282" s="2567"/>
      <c r="U282" s="2567"/>
      <c r="V282" s="2567"/>
      <c r="W282" s="2567"/>
      <c r="X282" s="2567"/>
      <c r="Y282" s="2567"/>
      <c r="Z282" s="2567"/>
      <c r="AA282" s="2567"/>
      <c r="AB282" s="2567"/>
      <c r="AC282" s="2567"/>
      <c r="AD282" s="2568"/>
      <c r="AE282" s="450"/>
      <c r="AF282" s="535"/>
      <c r="AG282" s="2404"/>
      <c r="AH282" s="2404"/>
      <c r="AI282" s="2404"/>
      <c r="AJ282" s="2404"/>
      <c r="AK282" s="450"/>
      <c r="AL282" s="450"/>
      <c r="AM282" s="450"/>
    </row>
    <row r="283" spans="1:52" ht="13.9"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2281</v>
      </c>
      <c r="AK285" s="2411">
        <f>IF($C$278="yes",10,0)</f>
        <v>10</v>
      </c>
      <c r="AL285" s="2411"/>
      <c r="AM285" s="2412"/>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2282</v>
      </c>
      <c r="B288" s="438" t="s">
        <v>2283</v>
      </c>
      <c r="AH288" s="491" t="s">
        <v>2144</v>
      </c>
    </row>
    <row r="289" spans="1:49" ht="15" customHeight="1">
      <c r="B289" s="439"/>
    </row>
    <row r="290" spans="1:49" ht="15" customHeight="1">
      <c r="B290" s="439" t="s">
        <v>2145</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5" t="s">
        <v>2284</v>
      </c>
      <c r="B292" s="1295"/>
      <c r="C292" s="2399" t="s">
        <v>807</v>
      </c>
      <c r="D292" s="2403"/>
      <c r="E292" s="447"/>
      <c r="F292" s="2431" t="s">
        <v>2285</v>
      </c>
      <c r="G292" s="2432"/>
      <c r="H292" s="2432"/>
      <c r="I292" s="2432"/>
      <c r="J292" s="2432"/>
      <c r="K292" s="2432"/>
      <c r="L292" s="2432"/>
      <c r="M292" s="2432"/>
      <c r="N292" s="2432"/>
      <c r="O292" s="2432"/>
      <c r="P292" s="2432"/>
      <c r="Q292" s="2432"/>
      <c r="R292" s="2432"/>
      <c r="S292" s="2432"/>
      <c r="T292" s="2432"/>
      <c r="U292" s="2432"/>
      <c r="V292" s="2432"/>
      <c r="W292" s="2432"/>
      <c r="X292" s="2432"/>
      <c r="Y292" s="2432"/>
      <c r="Z292" s="2432"/>
      <c r="AA292" s="2432"/>
      <c r="AB292" s="2432"/>
      <c r="AC292" s="2432"/>
      <c r="AD292" s="2433"/>
      <c r="AE292" s="542"/>
      <c r="AF292" s="450"/>
      <c r="AG292" s="2434" t="s">
        <v>2286</v>
      </c>
      <c r="AH292" s="2434"/>
      <c r="AI292" s="2434"/>
      <c r="AJ292" s="2434"/>
      <c r="AK292" s="2434"/>
      <c r="AL292" s="450"/>
      <c r="AM292" s="450"/>
      <c r="AN292" s="58"/>
      <c r="AO292" s="13"/>
      <c r="AP292" s="25"/>
      <c r="AS292" s="470"/>
      <c r="AT292" s="470"/>
      <c r="AU292" s="470"/>
      <c r="AV292" s="27"/>
      <c r="AW292" s="27"/>
    </row>
    <row r="293" spans="1:49">
      <c r="A293" s="540"/>
      <c r="B293" s="496"/>
      <c r="F293" s="2425"/>
      <c r="G293" s="2426"/>
      <c r="H293" s="2426"/>
      <c r="I293" s="2426"/>
      <c r="J293" s="2426"/>
      <c r="K293" s="2426"/>
      <c r="L293" s="2426"/>
      <c r="M293" s="2426"/>
      <c r="N293" s="2426"/>
      <c r="O293" s="2426"/>
      <c r="P293" s="2426"/>
      <c r="Q293" s="2426"/>
      <c r="R293" s="2426"/>
      <c r="S293" s="2426"/>
      <c r="T293" s="2426"/>
      <c r="U293" s="2426"/>
      <c r="V293" s="2426"/>
      <c r="W293" s="2426"/>
      <c r="X293" s="2426"/>
      <c r="Y293" s="2426"/>
      <c r="Z293" s="2426"/>
      <c r="AA293" s="2426"/>
      <c r="AB293" s="2426"/>
      <c r="AC293" s="2426"/>
      <c r="AD293" s="2427"/>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425"/>
      <c r="G294" s="2426"/>
      <c r="H294" s="2426"/>
      <c r="I294" s="2426"/>
      <c r="J294" s="2426"/>
      <c r="K294" s="2426"/>
      <c r="L294" s="2426"/>
      <c r="M294" s="2426"/>
      <c r="N294" s="2426"/>
      <c r="O294" s="2426"/>
      <c r="P294" s="2426"/>
      <c r="Q294" s="2426"/>
      <c r="R294" s="2426"/>
      <c r="S294" s="2426"/>
      <c r="T294" s="2426"/>
      <c r="U294" s="2426"/>
      <c r="V294" s="2426"/>
      <c r="W294" s="2426"/>
      <c r="X294" s="2426"/>
      <c r="Y294" s="2426"/>
      <c r="Z294" s="2426"/>
      <c r="AA294" s="2426"/>
      <c r="AB294" s="2426"/>
      <c r="AC294" s="2426"/>
      <c r="AD294" s="2427"/>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425" t="s">
        <v>2287</v>
      </c>
      <c r="G295" s="2426"/>
      <c r="H295" s="2426"/>
      <c r="I295" s="2426"/>
      <c r="J295" s="2426"/>
      <c r="K295" s="2426"/>
      <c r="L295" s="2426"/>
      <c r="M295" s="2426"/>
      <c r="N295" s="2426"/>
      <c r="O295" s="2426"/>
      <c r="P295" s="2426"/>
      <c r="Q295" s="2426"/>
      <c r="R295" s="2426"/>
      <c r="S295" s="2426"/>
      <c r="T295" s="2426"/>
      <c r="U295" s="2426"/>
      <c r="V295" s="2426"/>
      <c r="W295" s="2426"/>
      <c r="X295" s="2426"/>
      <c r="Y295" s="2426"/>
      <c r="Z295" s="2426"/>
      <c r="AA295" s="2426"/>
      <c r="AB295" s="2426"/>
      <c r="AC295" s="2426"/>
      <c r="AD295" s="2427"/>
      <c r="AE295" s="542"/>
      <c r="AF295" s="451"/>
      <c r="AH295" s="451"/>
      <c r="AI295" s="451"/>
      <c r="AJ295" s="450"/>
      <c r="AK295" s="450"/>
      <c r="AL295" s="450"/>
      <c r="AM295" s="450"/>
      <c r="AN295" s="58"/>
      <c r="AO295" s="13"/>
      <c r="AP295" s="511">
        <f>MAX(AP293,AP294)</f>
        <v>9</v>
      </c>
      <c r="AQ295" s="474" t="s">
        <v>2148</v>
      </c>
      <c r="AS295" s="470"/>
      <c r="AT295" s="470"/>
      <c r="AU295" s="470"/>
      <c r="AV295" s="27"/>
      <c r="AW295" s="27"/>
    </row>
    <row r="296" spans="1:49">
      <c r="A296" s="540"/>
      <c r="B296" s="496"/>
      <c r="F296" s="2425"/>
      <c r="G296" s="2426"/>
      <c r="H296" s="2426"/>
      <c r="I296" s="2426"/>
      <c r="J296" s="2426"/>
      <c r="K296" s="2426"/>
      <c r="L296" s="2426"/>
      <c r="M296" s="2426"/>
      <c r="N296" s="2426"/>
      <c r="O296" s="2426"/>
      <c r="P296" s="2426"/>
      <c r="Q296" s="2426"/>
      <c r="R296" s="2426"/>
      <c r="S296" s="2426"/>
      <c r="T296" s="2426"/>
      <c r="U296" s="2426"/>
      <c r="V296" s="2426"/>
      <c r="W296" s="2426"/>
      <c r="X296" s="2426"/>
      <c r="Y296" s="2426"/>
      <c r="Z296" s="2426"/>
      <c r="AA296" s="2426"/>
      <c r="AB296" s="2426"/>
      <c r="AC296" s="2426"/>
      <c r="AD296" s="2427"/>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25" t="s">
        <v>2288</v>
      </c>
      <c r="G297" s="2426"/>
      <c r="H297" s="2426"/>
      <c r="I297" s="2426"/>
      <c r="J297" s="2426"/>
      <c r="K297" s="2426"/>
      <c r="L297" s="2426"/>
      <c r="M297" s="2426"/>
      <c r="N297" s="2426"/>
      <c r="O297" s="2426"/>
      <c r="P297" s="2426"/>
      <c r="Q297" s="2426"/>
      <c r="R297" s="2426"/>
      <c r="S297" s="2426"/>
      <c r="T297" s="2426"/>
      <c r="U297" s="2426"/>
      <c r="V297" s="2426"/>
      <c r="W297" s="2426"/>
      <c r="X297" s="2426"/>
      <c r="Y297" s="2426"/>
      <c r="Z297" s="2426"/>
      <c r="AA297" s="2426"/>
      <c r="AB297" s="2426"/>
      <c r="AC297" s="2426"/>
      <c r="AD297" s="2427"/>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25"/>
      <c r="G298" s="2426"/>
      <c r="H298" s="2426"/>
      <c r="I298" s="2426"/>
      <c r="J298" s="2426"/>
      <c r="K298" s="2426"/>
      <c r="L298" s="2426"/>
      <c r="M298" s="2426"/>
      <c r="N298" s="2426"/>
      <c r="O298" s="2426"/>
      <c r="P298" s="2426"/>
      <c r="Q298" s="2426"/>
      <c r="R298" s="2426"/>
      <c r="S298" s="2426"/>
      <c r="T298" s="2426"/>
      <c r="U298" s="2426"/>
      <c r="V298" s="2426"/>
      <c r="W298" s="2426"/>
      <c r="X298" s="2426"/>
      <c r="Y298" s="2426"/>
      <c r="Z298" s="2426"/>
      <c r="AA298" s="2426"/>
      <c r="AB298" s="2426"/>
      <c r="AC298" s="2426"/>
      <c r="AD298" s="2427"/>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25" t="s">
        <v>2289</v>
      </c>
      <c r="G299" s="2426"/>
      <c r="H299" s="2426"/>
      <c r="I299" s="2426"/>
      <c r="J299" s="2426"/>
      <c r="K299" s="2426"/>
      <c r="L299" s="2426"/>
      <c r="M299" s="2426"/>
      <c r="N299" s="2426"/>
      <c r="O299" s="2426"/>
      <c r="P299" s="2426"/>
      <c r="Q299" s="2426"/>
      <c r="R299" s="2426"/>
      <c r="S299" s="2426"/>
      <c r="T299" s="2426"/>
      <c r="U299" s="2426"/>
      <c r="V299" s="2426"/>
      <c r="W299" s="2426"/>
      <c r="X299" s="2426"/>
      <c r="Y299" s="2426"/>
      <c r="Z299" s="2426"/>
      <c r="AA299" s="2426"/>
      <c r="AB299" s="2426"/>
      <c r="AC299" s="2426"/>
      <c r="AD299" s="2427"/>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28"/>
      <c r="G300" s="2429"/>
      <c r="H300" s="2429"/>
      <c r="I300" s="2429"/>
      <c r="J300" s="2429"/>
      <c r="K300" s="2429"/>
      <c r="L300" s="2429"/>
      <c r="M300" s="2429"/>
      <c r="N300" s="2429"/>
      <c r="O300" s="2429"/>
      <c r="P300" s="2429"/>
      <c r="Q300" s="2429"/>
      <c r="R300" s="2429"/>
      <c r="S300" s="2429"/>
      <c r="T300" s="2429"/>
      <c r="U300" s="2429"/>
      <c r="V300" s="2429"/>
      <c r="W300" s="2429"/>
      <c r="X300" s="2429"/>
      <c r="Y300" s="2429"/>
      <c r="Z300" s="2429"/>
      <c r="AA300" s="2429"/>
      <c r="AB300" s="2429"/>
      <c r="AC300" s="2429"/>
      <c r="AD300" s="2430"/>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5" t="s">
        <v>2290</v>
      </c>
      <c r="B302" s="1295"/>
      <c r="C302" s="2403" t="s">
        <v>843</v>
      </c>
      <c r="D302" s="2403"/>
      <c r="E302" s="447"/>
      <c r="F302" s="544" t="s">
        <v>2291</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2292</v>
      </c>
      <c r="AH302" s="451"/>
      <c r="AI302" s="451"/>
      <c r="AJ302" s="450"/>
      <c r="AK302" s="450"/>
      <c r="AL302" s="450"/>
      <c r="AM302" s="450"/>
      <c r="AN302" s="547"/>
      <c r="AO302" s="13"/>
    </row>
    <row r="303" spans="1:49">
      <c r="A303" s="450"/>
      <c r="B303" s="451"/>
      <c r="C303" s="450"/>
      <c r="D303" s="451"/>
      <c r="E303" s="450"/>
      <c r="F303" s="2333" t="s">
        <v>2293</v>
      </c>
      <c r="G303" s="2334"/>
      <c r="H303" s="2334"/>
      <c r="I303" s="2334"/>
      <c r="J303" s="2334"/>
      <c r="K303" s="2334"/>
      <c r="L303" s="2334"/>
      <c r="M303" s="2334"/>
      <c r="N303" s="2334"/>
      <c r="O303" s="2334"/>
      <c r="P303" s="2334"/>
      <c r="Q303" s="2334"/>
      <c r="R303" s="2334"/>
      <c r="S303" s="2334"/>
      <c r="T303" s="2334"/>
      <c r="U303" s="2334"/>
      <c r="V303" s="2334"/>
      <c r="W303" s="2334"/>
      <c r="X303" s="2334"/>
      <c r="Y303" s="2334"/>
      <c r="Z303" s="2334"/>
      <c r="AA303" s="2334"/>
      <c r="AB303" s="2334"/>
      <c r="AC303" s="2334"/>
      <c r="AD303" s="2335"/>
      <c r="AE303" s="451"/>
      <c r="AF303" s="451"/>
      <c r="AG303" s="451"/>
      <c r="AH303" s="451"/>
      <c r="AI303" s="451"/>
      <c r="AJ303" s="450"/>
      <c r="AK303" s="450"/>
      <c r="AL303" s="450"/>
      <c r="AM303" s="450"/>
      <c r="AR303" s="548"/>
    </row>
    <row r="304" spans="1:49" ht="15" customHeight="1">
      <c r="A304" s="450"/>
      <c r="B304" s="451"/>
      <c r="C304" s="450"/>
      <c r="D304" s="451"/>
      <c r="E304" s="450"/>
      <c r="F304" s="2333"/>
      <c r="G304" s="2334"/>
      <c r="H304" s="2334"/>
      <c r="I304" s="2334"/>
      <c r="J304" s="2334"/>
      <c r="K304" s="2334"/>
      <c r="L304" s="2334"/>
      <c r="M304" s="2334"/>
      <c r="N304" s="2334"/>
      <c r="O304" s="2334"/>
      <c r="P304" s="2334"/>
      <c r="Q304" s="2334"/>
      <c r="R304" s="2334"/>
      <c r="S304" s="2334"/>
      <c r="T304" s="2334"/>
      <c r="U304" s="2334"/>
      <c r="V304" s="2334"/>
      <c r="W304" s="2334"/>
      <c r="X304" s="2334"/>
      <c r="Y304" s="2334"/>
      <c r="Z304" s="2334"/>
      <c r="AA304" s="2334"/>
      <c r="AB304" s="2334"/>
      <c r="AC304" s="2334"/>
      <c r="AD304" s="2335"/>
      <c r="AE304" s="451"/>
      <c r="AF304" s="451"/>
      <c r="AG304" s="451"/>
      <c r="AH304" s="451"/>
      <c r="AI304" s="451"/>
      <c r="AJ304" s="450"/>
      <c r="AK304" s="450"/>
      <c r="AL304" s="450"/>
      <c r="AM304" s="450"/>
      <c r="AR304" s="548"/>
    </row>
    <row r="305" spans="1:44">
      <c r="A305" s="450"/>
      <c r="B305" s="451"/>
      <c r="C305" s="450"/>
      <c r="D305" s="451"/>
      <c r="E305" s="450"/>
      <c r="F305" s="2333"/>
      <c r="G305" s="2334"/>
      <c r="H305" s="2334"/>
      <c r="I305" s="2334"/>
      <c r="J305" s="2334"/>
      <c r="K305" s="2334"/>
      <c r="L305" s="2334"/>
      <c r="M305" s="2334"/>
      <c r="N305" s="2334"/>
      <c r="O305" s="2334"/>
      <c r="P305" s="2334"/>
      <c r="Q305" s="2334"/>
      <c r="R305" s="2334"/>
      <c r="S305" s="2334"/>
      <c r="T305" s="2334"/>
      <c r="U305" s="2334"/>
      <c r="V305" s="2334"/>
      <c r="W305" s="2334"/>
      <c r="X305" s="2334"/>
      <c r="Y305" s="2334"/>
      <c r="Z305" s="2334"/>
      <c r="AA305" s="2334"/>
      <c r="AB305" s="2334"/>
      <c r="AC305" s="2334"/>
      <c r="AD305" s="2335"/>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30"/>
      <c r="G306" s="2331"/>
      <c r="H306" s="2331"/>
      <c r="I306" s="2331"/>
      <c r="J306" s="2331"/>
      <c r="K306" s="2331"/>
      <c r="L306" s="2331"/>
      <c r="M306" s="2331"/>
      <c r="N306" s="2331"/>
      <c r="O306" s="2331"/>
      <c r="P306" s="2331"/>
      <c r="Q306" s="2331"/>
      <c r="R306" s="2331"/>
      <c r="S306" s="2331"/>
      <c r="T306" s="2331"/>
      <c r="U306" s="2331"/>
      <c r="V306" s="2331"/>
      <c r="W306" s="2331"/>
      <c r="X306" s="2331"/>
      <c r="Y306" s="2331"/>
      <c r="Z306" s="2331"/>
      <c r="AA306" s="2331"/>
      <c r="AB306" s="2331"/>
      <c r="AC306" s="2331"/>
      <c r="AD306" s="2332"/>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295" t="s">
        <v>2294</v>
      </c>
      <c r="B310" s="1295"/>
      <c r="C310" s="2403" t="s">
        <v>807</v>
      </c>
      <c r="D310" s="2403"/>
      <c r="E310" s="447"/>
      <c r="F310" s="544" t="s">
        <v>2295</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2292</v>
      </c>
      <c r="AH310" s="451"/>
      <c r="AI310" s="451"/>
      <c r="AJ310" s="450"/>
      <c r="AK310" s="450"/>
      <c r="AL310" s="450"/>
      <c r="AM310" s="450"/>
      <c r="AN310" s="58"/>
      <c r="AO310" s="13"/>
    </row>
    <row r="311" spans="1:44" hidden="1">
      <c r="A311" s="65"/>
      <c r="B311" s="65"/>
      <c r="C311" s="630"/>
      <c r="D311" s="630"/>
      <c r="E311" s="447"/>
      <c r="F311" s="2425" t="s">
        <v>2296</v>
      </c>
      <c r="G311" s="2426"/>
      <c r="H311" s="2426"/>
      <c r="I311" s="2426"/>
      <c r="J311" s="2426"/>
      <c r="K311" s="2426"/>
      <c r="L311" s="2426"/>
      <c r="M311" s="2426"/>
      <c r="N311" s="2426"/>
      <c r="O311" s="2426"/>
      <c r="P311" s="2426"/>
      <c r="Q311" s="2426"/>
      <c r="R311" s="2426"/>
      <c r="S311" s="2426"/>
      <c r="T311" s="2426"/>
      <c r="U311" s="2426"/>
      <c r="V311" s="2426"/>
      <c r="W311" s="2426"/>
      <c r="X311" s="2426"/>
      <c r="Y311" s="2426"/>
      <c r="Z311" s="2426"/>
      <c r="AA311" s="2426"/>
      <c r="AB311" s="2426"/>
      <c r="AC311" s="2426"/>
      <c r="AD311" s="2427"/>
      <c r="AE311" s="451"/>
      <c r="AF311" s="451"/>
      <c r="AG311" s="439"/>
      <c r="AH311" s="451"/>
      <c r="AI311" s="451"/>
      <c r="AJ311" s="450"/>
      <c r="AK311" s="450"/>
      <c r="AL311" s="450"/>
      <c r="AM311" s="450"/>
      <c r="AN311" s="58"/>
      <c r="AO311" s="13"/>
      <c r="AP311" s="457" t="s">
        <v>998</v>
      </c>
    </row>
    <row r="312" spans="1:44" hidden="1">
      <c r="F312" s="2425"/>
      <c r="G312" s="2426"/>
      <c r="H312" s="2426"/>
      <c r="I312" s="2426"/>
      <c r="J312" s="2426"/>
      <c r="K312" s="2426"/>
      <c r="L312" s="2426"/>
      <c r="M312" s="2426"/>
      <c r="N312" s="2426"/>
      <c r="O312" s="2426"/>
      <c r="P312" s="2426"/>
      <c r="Q312" s="2426"/>
      <c r="R312" s="2426"/>
      <c r="S312" s="2426"/>
      <c r="T312" s="2426"/>
      <c r="U312" s="2426"/>
      <c r="V312" s="2426"/>
      <c r="W312" s="2426"/>
      <c r="X312" s="2426"/>
      <c r="Y312" s="2426"/>
      <c r="Z312" s="2426"/>
      <c r="AA312" s="2426"/>
      <c r="AB312" s="2426"/>
      <c r="AC312" s="2426"/>
      <c r="AD312" s="2427"/>
      <c r="AE312" s="451"/>
      <c r="AF312" s="451"/>
      <c r="AH312" s="451"/>
      <c r="AI312" s="451"/>
      <c r="AJ312" s="450"/>
      <c r="AK312" s="450"/>
      <c r="AL312" s="450"/>
      <c r="AM312" s="450"/>
      <c r="AN312" s="58"/>
      <c r="AO312" s="13"/>
      <c r="AP312" s="457" t="s">
        <v>2297</v>
      </c>
    </row>
    <row r="313" spans="1:44" hidden="1">
      <c r="A313" s="450"/>
      <c r="B313" s="451"/>
      <c r="C313" s="630"/>
      <c r="D313" s="630"/>
      <c r="E313" s="447"/>
      <c r="F313" s="552" t="s">
        <v>2298</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2299</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2300</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35" t="s">
        <v>998</v>
      </c>
      <c r="G316" s="2436"/>
      <c r="H316" s="2436"/>
      <c r="I316" s="2436"/>
      <c r="J316" s="2436"/>
      <c r="K316" s="2436"/>
      <c r="L316" s="2436"/>
      <c r="M316" s="2436"/>
      <c r="N316" s="2436"/>
      <c r="O316" s="2436"/>
      <c r="P316" s="2436"/>
      <c r="Q316" s="2436"/>
      <c r="R316" s="2436"/>
      <c r="S316" s="2436"/>
      <c r="T316" s="2436"/>
      <c r="U316" s="2436"/>
      <c r="V316" s="2436"/>
      <c r="W316" s="2436"/>
      <c r="X316" s="2436"/>
      <c r="Y316" s="2436"/>
      <c r="Z316" s="2436"/>
      <c r="AA316" s="2436"/>
      <c r="AB316" s="2436"/>
      <c r="AC316" s="2436"/>
      <c r="AD316" s="2437"/>
      <c r="AE316" s="542"/>
      <c r="AF316" s="542"/>
      <c r="AG316" s="542"/>
      <c r="AH316" s="542"/>
      <c r="AI316" s="542"/>
      <c r="AJ316" s="542"/>
      <c r="AK316" s="542"/>
      <c r="AL316" s="450"/>
      <c r="AM316" s="450"/>
      <c r="AN316" s="58"/>
      <c r="AO316" s="13"/>
      <c r="AP316" s="25"/>
    </row>
    <row r="317" spans="1:44" hidden="1">
      <c r="A317" s="450"/>
      <c r="B317" s="451"/>
      <c r="C317" s="630"/>
      <c r="D317" s="630"/>
      <c r="E317" s="447"/>
      <c r="F317" s="2435"/>
      <c r="G317" s="2436"/>
      <c r="H317" s="2436"/>
      <c r="I317" s="2436"/>
      <c r="J317" s="2436"/>
      <c r="K317" s="2436"/>
      <c r="L317" s="2436"/>
      <c r="M317" s="2436"/>
      <c r="N317" s="2436"/>
      <c r="O317" s="2436"/>
      <c r="P317" s="2436"/>
      <c r="Q317" s="2436"/>
      <c r="R317" s="2436"/>
      <c r="S317" s="2436"/>
      <c r="T317" s="2436"/>
      <c r="U317" s="2436"/>
      <c r="V317" s="2436"/>
      <c r="W317" s="2436"/>
      <c r="X317" s="2436"/>
      <c r="Y317" s="2436"/>
      <c r="Z317" s="2436"/>
      <c r="AA317" s="2436"/>
      <c r="AB317" s="2436"/>
      <c r="AC317" s="2436"/>
      <c r="AD317" s="2437"/>
      <c r="AE317" s="451"/>
      <c r="AF317" s="451"/>
      <c r="AG317" s="439"/>
      <c r="AH317" s="451"/>
      <c r="AI317" s="451"/>
      <c r="AJ317" s="450"/>
      <c r="AK317" s="450"/>
      <c r="AL317" s="450"/>
      <c r="AM317" s="450"/>
      <c r="AN317" s="58"/>
      <c r="AO317" s="13"/>
      <c r="AP317" s="25"/>
    </row>
    <row r="318" spans="1:44" hidden="1">
      <c r="A318" s="450"/>
      <c r="B318" s="451"/>
      <c r="C318" s="630"/>
      <c r="D318" s="630"/>
      <c r="E318" s="447"/>
      <c r="F318" s="2435"/>
      <c r="G318" s="2436"/>
      <c r="H318" s="2436"/>
      <c r="I318" s="2436"/>
      <c r="J318" s="2436"/>
      <c r="K318" s="2436"/>
      <c r="L318" s="2436"/>
      <c r="M318" s="2436"/>
      <c r="N318" s="2436"/>
      <c r="O318" s="2436"/>
      <c r="P318" s="2436"/>
      <c r="Q318" s="2436"/>
      <c r="R318" s="2436"/>
      <c r="S318" s="2436"/>
      <c r="T318" s="2436"/>
      <c r="U318" s="2436"/>
      <c r="V318" s="2436"/>
      <c r="W318" s="2436"/>
      <c r="X318" s="2436"/>
      <c r="Y318" s="2436"/>
      <c r="Z318" s="2436"/>
      <c r="AA318" s="2436"/>
      <c r="AB318" s="2436"/>
      <c r="AC318" s="2436"/>
      <c r="AD318" s="2437"/>
      <c r="AE318" s="451"/>
      <c r="AF318" s="451"/>
      <c r="AG318" s="439"/>
      <c r="AH318" s="451"/>
      <c r="AI318" s="451"/>
      <c r="AJ318" s="450"/>
      <c r="AK318" s="450"/>
      <c r="AL318" s="450"/>
      <c r="AM318" s="450"/>
      <c r="AN318" s="58"/>
      <c r="AO318" s="13"/>
      <c r="AP318" s="25"/>
    </row>
    <row r="319" spans="1:44" hidden="1">
      <c r="A319" s="450"/>
      <c r="B319" s="451"/>
      <c r="C319" s="630"/>
      <c r="D319" s="630"/>
      <c r="E319" s="447"/>
      <c r="F319" s="2435"/>
      <c r="G319" s="2436"/>
      <c r="H319" s="2436"/>
      <c r="I319" s="2436"/>
      <c r="J319" s="2436"/>
      <c r="K319" s="2436"/>
      <c r="L319" s="2436"/>
      <c r="M319" s="2436"/>
      <c r="N319" s="2436"/>
      <c r="O319" s="2436"/>
      <c r="P319" s="2436"/>
      <c r="Q319" s="2436"/>
      <c r="R319" s="2436"/>
      <c r="S319" s="2436"/>
      <c r="T319" s="2436"/>
      <c r="U319" s="2436"/>
      <c r="V319" s="2436"/>
      <c r="W319" s="2436"/>
      <c r="X319" s="2436"/>
      <c r="Y319" s="2436"/>
      <c r="Z319" s="2436"/>
      <c r="AA319" s="2436"/>
      <c r="AB319" s="2436"/>
      <c r="AC319" s="2436"/>
      <c r="AD319" s="2437"/>
      <c r="AE319" s="451"/>
      <c r="AF319" s="451"/>
      <c r="AG319" s="439"/>
      <c r="AH319" s="451"/>
      <c r="AI319" s="451"/>
      <c r="AJ319" s="450"/>
      <c r="AK319" s="450"/>
      <c r="AL319" s="450"/>
      <c r="AM319" s="450"/>
      <c r="AN319" s="58"/>
      <c r="AO319" s="13"/>
      <c r="AP319" s="25"/>
    </row>
    <row r="320" spans="1:44" hidden="1">
      <c r="A320" s="450"/>
      <c r="B320" s="451"/>
      <c r="C320" s="630"/>
      <c r="D320" s="630"/>
      <c r="E320" s="447"/>
      <c r="F320" s="2438"/>
      <c r="G320" s="2439"/>
      <c r="H320" s="2439"/>
      <c r="I320" s="2439"/>
      <c r="J320" s="2439"/>
      <c r="K320" s="2439"/>
      <c r="L320" s="2439"/>
      <c r="M320" s="2439"/>
      <c r="N320" s="2439"/>
      <c r="O320" s="2439"/>
      <c r="P320" s="2439"/>
      <c r="Q320" s="2439"/>
      <c r="R320" s="2439"/>
      <c r="S320" s="2439"/>
      <c r="T320" s="2439"/>
      <c r="U320" s="2439"/>
      <c r="V320" s="2439"/>
      <c r="W320" s="2439"/>
      <c r="X320" s="2439"/>
      <c r="Y320" s="2439"/>
      <c r="Z320" s="2439"/>
      <c r="AA320" s="2439"/>
      <c r="AB320" s="2439"/>
      <c r="AC320" s="2439"/>
      <c r="AD320" s="2440"/>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2301</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998</v>
      </c>
    </row>
    <row r="324" spans="1:42" ht="12.75" hidden="1" customHeight="1">
      <c r="A324" s="450"/>
      <c r="B324" s="451"/>
      <c r="C324" s="630"/>
      <c r="D324" s="630"/>
      <c r="E324" s="447"/>
      <c r="F324" s="556"/>
      <c r="G324" s="475" t="s">
        <v>22</v>
      </c>
      <c r="H324" s="475"/>
      <c r="I324" s="2441" t="s">
        <v>998</v>
      </c>
      <c r="J324" s="2441"/>
      <c r="K324" s="2441"/>
      <c r="L324" s="2441"/>
      <c r="M324" s="2441"/>
      <c r="N324" s="2441"/>
      <c r="O324" s="2441"/>
      <c r="P324" s="2441"/>
      <c r="Q324" s="2441"/>
      <c r="R324" s="2441"/>
      <c r="S324" s="2441"/>
      <c r="T324" s="2441"/>
      <c r="U324" s="2441"/>
      <c r="V324" s="2441"/>
      <c r="W324" s="2441"/>
      <c r="X324" s="2441"/>
      <c r="Y324" s="2441"/>
      <c r="Z324" s="2441"/>
      <c r="AA324" s="2441"/>
      <c r="AB324" s="2441"/>
      <c r="AC324" s="2441"/>
      <c r="AD324" s="2442"/>
      <c r="AE324" s="451"/>
      <c r="AF324" s="451"/>
      <c r="AG324" s="439"/>
      <c r="AH324" s="451"/>
      <c r="AI324" s="451"/>
      <c r="AJ324" s="450"/>
      <c r="AK324" s="450"/>
      <c r="AL324" s="450"/>
      <c r="AM324" s="450"/>
      <c r="AN324" s="58"/>
      <c r="AO324" s="13"/>
      <c r="AP324" s="457" t="s">
        <v>2302</v>
      </c>
    </row>
    <row r="325" spans="1:42" hidden="1">
      <c r="A325" s="450"/>
      <c r="B325" s="451"/>
      <c r="C325" s="630"/>
      <c r="D325" s="630"/>
      <c r="E325" s="447"/>
      <c r="F325" s="556"/>
      <c r="G325" s="475"/>
      <c r="H325" s="475"/>
      <c r="I325" s="2441"/>
      <c r="J325" s="2441"/>
      <c r="K325" s="2441"/>
      <c r="L325" s="2441"/>
      <c r="M325" s="2441"/>
      <c r="N325" s="2441"/>
      <c r="O325" s="2441"/>
      <c r="P325" s="2441"/>
      <c r="Q325" s="2441"/>
      <c r="R325" s="2441"/>
      <c r="S325" s="2441"/>
      <c r="T325" s="2441"/>
      <c r="U325" s="2441"/>
      <c r="V325" s="2441"/>
      <c r="W325" s="2441"/>
      <c r="X325" s="2441"/>
      <c r="Y325" s="2441"/>
      <c r="Z325" s="2441"/>
      <c r="AA325" s="2441"/>
      <c r="AB325" s="2441"/>
      <c r="AC325" s="2441"/>
      <c r="AD325" s="2442"/>
      <c r="AE325" s="451"/>
      <c r="AF325" s="451"/>
      <c r="AG325" s="439"/>
      <c r="AH325" s="451"/>
      <c r="AI325" s="451"/>
      <c r="AJ325" s="450"/>
      <c r="AK325" s="450"/>
      <c r="AL325" s="450"/>
      <c r="AM325" s="450"/>
      <c r="AN325" s="58"/>
      <c r="AO325" s="13"/>
      <c r="AP325" s="457" t="s">
        <v>2303</v>
      </c>
    </row>
    <row r="326" spans="1:42" hidden="1">
      <c r="A326" s="450"/>
      <c r="B326" s="451"/>
      <c r="C326" s="551"/>
      <c r="D326" s="551"/>
      <c r="E326" s="447"/>
      <c r="F326" s="556"/>
      <c r="G326" s="475"/>
      <c r="H326" s="475"/>
      <c r="I326" s="2441"/>
      <c r="J326" s="2441"/>
      <c r="K326" s="2441"/>
      <c r="L326" s="2441"/>
      <c r="M326" s="2441"/>
      <c r="N326" s="2441"/>
      <c r="O326" s="2441"/>
      <c r="P326" s="2441"/>
      <c r="Q326" s="2441"/>
      <c r="R326" s="2441"/>
      <c r="S326" s="2441"/>
      <c r="T326" s="2441"/>
      <c r="U326" s="2441"/>
      <c r="V326" s="2441"/>
      <c r="W326" s="2441"/>
      <c r="X326" s="2441"/>
      <c r="Y326" s="2441"/>
      <c r="Z326" s="2441"/>
      <c r="AA326" s="2441"/>
      <c r="AB326" s="2441"/>
      <c r="AC326" s="2441"/>
      <c r="AD326" s="2442"/>
      <c r="AE326" s="451"/>
      <c r="AF326" s="451"/>
      <c r="AG326" s="439"/>
      <c r="AH326" s="451"/>
      <c r="AI326" s="451"/>
      <c r="AJ326" s="450"/>
      <c r="AK326" s="450"/>
      <c r="AL326" s="450"/>
      <c r="AM326" s="450"/>
      <c r="AN326" s="58"/>
      <c r="AO326" s="13"/>
      <c r="AP326" s="457" t="s">
        <v>2304</v>
      </c>
    </row>
    <row r="327" spans="1:42" hidden="1">
      <c r="A327" s="450"/>
      <c r="B327" s="451"/>
      <c r="C327" s="551"/>
      <c r="D327" s="551"/>
      <c r="E327" s="447"/>
      <c r="F327" s="554"/>
      <c r="G327" s="451"/>
      <c r="H327" s="451"/>
      <c r="I327" s="2443"/>
      <c r="J327" s="2443"/>
      <c r="K327" s="2443"/>
      <c r="L327" s="2443"/>
      <c r="M327" s="2443"/>
      <c r="N327" s="2443"/>
      <c r="O327" s="2443"/>
      <c r="P327" s="2443"/>
      <c r="Q327" s="2443"/>
      <c r="R327" s="2443"/>
      <c r="S327" s="2443"/>
      <c r="T327" s="2443"/>
      <c r="U327" s="2443"/>
      <c r="V327" s="2443"/>
      <c r="W327" s="2443"/>
      <c r="X327" s="2443"/>
      <c r="Y327" s="2443"/>
      <c r="Z327" s="2443"/>
      <c r="AA327" s="2443"/>
      <c r="AB327" s="2443"/>
      <c r="AC327" s="2443"/>
      <c r="AD327" s="2444"/>
      <c r="AE327" s="451"/>
      <c r="AF327" s="451"/>
      <c r="AG327" s="439"/>
      <c r="AH327" s="451"/>
      <c r="AI327" s="451"/>
      <c r="AJ327" s="450"/>
      <c r="AK327" s="450"/>
      <c r="AL327" s="450"/>
      <c r="AM327" s="450"/>
      <c r="AN327" s="58"/>
      <c r="AO327" s="13"/>
      <c r="AP327" s="457" t="s">
        <v>2305</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41" t="s">
        <v>998</v>
      </c>
      <c r="J329" s="2441"/>
      <c r="K329" s="2441"/>
      <c r="L329" s="2441"/>
      <c r="M329" s="2441"/>
      <c r="N329" s="2441"/>
      <c r="O329" s="2441"/>
      <c r="P329" s="2441"/>
      <c r="Q329" s="2441"/>
      <c r="R329" s="2441"/>
      <c r="S329" s="2441"/>
      <c r="T329" s="2441"/>
      <c r="U329" s="2441"/>
      <c r="V329" s="2441"/>
      <c r="W329" s="2441"/>
      <c r="X329" s="2441"/>
      <c r="Y329" s="2441"/>
      <c r="Z329" s="2441"/>
      <c r="AA329" s="2441"/>
      <c r="AB329" s="2441"/>
      <c r="AC329" s="2441"/>
      <c r="AD329" s="2442"/>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41"/>
      <c r="J330" s="2441"/>
      <c r="K330" s="2441"/>
      <c r="L330" s="2441"/>
      <c r="M330" s="2441"/>
      <c r="N330" s="2441"/>
      <c r="O330" s="2441"/>
      <c r="P330" s="2441"/>
      <c r="Q330" s="2441"/>
      <c r="R330" s="2441"/>
      <c r="S330" s="2441"/>
      <c r="T330" s="2441"/>
      <c r="U330" s="2441"/>
      <c r="V330" s="2441"/>
      <c r="W330" s="2441"/>
      <c r="X330" s="2441"/>
      <c r="Y330" s="2441"/>
      <c r="Z330" s="2441"/>
      <c r="AA330" s="2441"/>
      <c r="AB330" s="2441"/>
      <c r="AC330" s="2441"/>
      <c r="AD330" s="2442"/>
      <c r="AE330" s="451"/>
      <c r="AF330" s="451"/>
      <c r="AG330" s="439"/>
      <c r="AH330" s="451"/>
      <c r="AI330" s="451"/>
      <c r="AJ330" s="450"/>
      <c r="AK330" s="450"/>
      <c r="AL330" s="450"/>
      <c r="AM330" s="450"/>
      <c r="AN330" s="58"/>
      <c r="AO330" s="13"/>
      <c r="AP330" s="457" t="s">
        <v>998</v>
      </c>
    </row>
    <row r="331" spans="1:42" hidden="1">
      <c r="A331" s="450"/>
      <c r="B331" s="451"/>
      <c r="C331" s="551"/>
      <c r="D331" s="551"/>
      <c r="E331" s="447"/>
      <c r="F331" s="557"/>
      <c r="G331" s="558"/>
      <c r="H331" s="558"/>
      <c r="I331" s="2443"/>
      <c r="J331" s="2443"/>
      <c r="K331" s="2443"/>
      <c r="L331" s="2443"/>
      <c r="M331" s="2443"/>
      <c r="N331" s="2443"/>
      <c r="O331" s="2443"/>
      <c r="P331" s="2443"/>
      <c r="Q331" s="2443"/>
      <c r="R331" s="2443"/>
      <c r="S331" s="2443"/>
      <c r="T331" s="2443"/>
      <c r="U331" s="2443"/>
      <c r="V331" s="2443"/>
      <c r="W331" s="2443"/>
      <c r="X331" s="2443"/>
      <c r="Y331" s="2443"/>
      <c r="Z331" s="2443"/>
      <c r="AA331" s="2443"/>
      <c r="AB331" s="2443"/>
      <c r="AC331" s="2443"/>
      <c r="AD331" s="2444"/>
      <c r="AE331" s="451"/>
      <c r="AF331" s="451"/>
      <c r="AG331" s="439"/>
      <c r="AH331" s="451"/>
      <c r="AI331" s="451"/>
      <c r="AJ331" s="450"/>
      <c r="AK331" s="450"/>
      <c r="AL331" s="450"/>
      <c r="AM331" s="450"/>
      <c r="AN331" s="58"/>
      <c r="AO331" s="13"/>
      <c r="AP331" s="457" t="s">
        <v>2306</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2307</v>
      </c>
    </row>
    <row r="333" spans="1:42" ht="12.75" hidden="1" customHeight="1">
      <c r="A333" s="1295" t="s">
        <v>2308</v>
      </c>
      <c r="B333" s="1295"/>
      <c r="C333" s="2403" t="s">
        <v>807</v>
      </c>
      <c r="D333" s="2403"/>
      <c r="E333" s="447"/>
      <c r="F333" s="2327" t="s">
        <v>2309</v>
      </c>
      <c r="G333" s="2328"/>
      <c r="H333" s="2328"/>
      <c r="I333" s="2328"/>
      <c r="J333" s="2328"/>
      <c r="K333" s="2328"/>
      <c r="L333" s="2328"/>
      <c r="M333" s="2328"/>
      <c r="N333" s="2328"/>
      <c r="O333" s="2328"/>
      <c r="P333" s="2328"/>
      <c r="Q333" s="2328"/>
      <c r="R333" s="2328"/>
      <c r="S333" s="2328"/>
      <c r="T333" s="2328"/>
      <c r="U333" s="2328"/>
      <c r="V333" s="2328"/>
      <c r="W333" s="2328"/>
      <c r="X333" s="2328"/>
      <c r="Y333" s="2328"/>
      <c r="Z333" s="2328"/>
      <c r="AA333" s="2328"/>
      <c r="AB333" s="2328"/>
      <c r="AC333" s="2328"/>
      <c r="AD333" s="2329"/>
      <c r="AE333" s="451"/>
      <c r="AF333" s="451"/>
      <c r="AG333" s="439" t="s">
        <v>2292</v>
      </c>
      <c r="AH333" s="451"/>
      <c r="AI333" s="451"/>
      <c r="AJ333" s="450"/>
      <c r="AK333" s="450"/>
      <c r="AL333" s="450"/>
      <c r="AM333" s="450"/>
      <c r="AN333" s="58"/>
      <c r="AO333" s="13"/>
    </row>
    <row r="334" spans="1:42" ht="15" hidden="1" customHeight="1">
      <c r="A334" s="450"/>
      <c r="B334" s="451"/>
      <c r="C334" s="451"/>
      <c r="D334" s="451"/>
      <c r="E334" s="451"/>
      <c r="F334" s="2333"/>
      <c r="G334" s="2334"/>
      <c r="H334" s="2334"/>
      <c r="I334" s="2334"/>
      <c r="J334" s="2334"/>
      <c r="K334" s="2334"/>
      <c r="L334" s="2334"/>
      <c r="M334" s="2334"/>
      <c r="N334" s="2334"/>
      <c r="O334" s="2334"/>
      <c r="P334" s="2334"/>
      <c r="Q334" s="2334"/>
      <c r="R334" s="2334"/>
      <c r="S334" s="2334"/>
      <c r="T334" s="2334"/>
      <c r="U334" s="2334"/>
      <c r="V334" s="2334"/>
      <c r="W334" s="2334"/>
      <c r="X334" s="2334"/>
      <c r="Y334" s="2334"/>
      <c r="Z334" s="2334"/>
      <c r="AA334" s="2334"/>
      <c r="AB334" s="2334"/>
      <c r="AC334" s="2334"/>
      <c r="AD334" s="2335"/>
      <c r="AE334" s="451"/>
      <c r="AF334" s="451"/>
      <c r="AG334" s="451"/>
      <c r="AH334" s="451"/>
      <c r="AI334" s="451"/>
      <c r="AJ334" s="450"/>
      <c r="AK334" s="450"/>
      <c r="AL334" s="450"/>
      <c r="AM334" s="450"/>
      <c r="AN334" s="58"/>
      <c r="AO334" s="13"/>
    </row>
    <row r="335" spans="1:42" ht="15" hidden="1" customHeight="1">
      <c r="A335" s="450"/>
      <c r="B335" s="451"/>
      <c r="C335" s="451"/>
      <c r="D335" s="451"/>
      <c r="E335" s="451"/>
      <c r="F335" s="2333"/>
      <c r="G335" s="2334"/>
      <c r="H335" s="2334"/>
      <c r="I335" s="2334"/>
      <c r="J335" s="2334"/>
      <c r="K335" s="2334"/>
      <c r="L335" s="2334"/>
      <c r="M335" s="2334"/>
      <c r="N335" s="2334"/>
      <c r="O335" s="2334"/>
      <c r="P335" s="2334"/>
      <c r="Q335" s="2334"/>
      <c r="R335" s="2334"/>
      <c r="S335" s="2334"/>
      <c r="T335" s="2334"/>
      <c r="U335" s="2334"/>
      <c r="V335" s="2334"/>
      <c r="W335" s="2334"/>
      <c r="X335" s="2334"/>
      <c r="Y335" s="2334"/>
      <c r="Z335" s="2334"/>
      <c r="AA335" s="2334"/>
      <c r="AB335" s="2334"/>
      <c r="AC335" s="2334"/>
      <c r="AD335" s="2335"/>
      <c r="AE335" s="451"/>
      <c r="AF335" s="451"/>
      <c r="AG335" s="451"/>
      <c r="AH335" s="451"/>
      <c r="AI335" s="451"/>
      <c r="AJ335" s="450"/>
      <c r="AK335" s="450"/>
      <c r="AL335" s="450"/>
      <c r="AM335" s="559"/>
      <c r="AN335" s="13"/>
      <c r="AO335" s="13"/>
    </row>
    <row r="336" spans="1:42" hidden="1">
      <c r="A336" s="450"/>
      <c r="B336" s="451"/>
      <c r="C336" s="450"/>
      <c r="D336" s="451"/>
      <c r="E336" s="450"/>
      <c r="F336" s="560" t="s">
        <v>2310</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2311</v>
      </c>
      <c r="AK338" s="2406">
        <f>IF(NOT(OR(Application!M355="Yes",Application!M356="Yes")),0,AP295)</f>
        <v>9</v>
      </c>
      <c r="AL338" s="2407"/>
      <c r="AM338" s="2408"/>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2312</v>
      </c>
      <c r="B341" s="439" t="s">
        <v>2313</v>
      </c>
      <c r="C341" s="436"/>
      <c r="AC341" s="439"/>
      <c r="AE341" s="2336" t="s">
        <v>2144</v>
      </c>
      <c r="AF341" s="2336"/>
      <c r="AG341" s="2336"/>
      <c r="AH341" s="2336"/>
      <c r="AI341" s="2336"/>
      <c r="AJ341" s="2336"/>
      <c r="AK341" s="2336"/>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45" t="s">
        <v>2314</v>
      </c>
      <c r="D343" s="2445"/>
      <c r="E343" s="2445"/>
      <c r="F343" s="2445"/>
      <c r="G343" s="2445"/>
      <c r="H343" s="2445"/>
      <c r="I343" s="2445"/>
      <c r="J343" s="2445"/>
      <c r="K343" s="2445"/>
      <c r="L343" s="2445"/>
      <c r="M343" s="2445"/>
      <c r="N343" s="2445"/>
      <c r="O343" s="2445"/>
      <c r="P343" s="2445"/>
      <c r="Q343" s="2445"/>
      <c r="R343" s="2445"/>
      <c r="S343" s="2445"/>
      <c r="T343" s="2445"/>
      <c r="U343" s="2445"/>
      <c r="V343" s="2445"/>
      <c r="W343" s="2445"/>
      <c r="X343" s="2445"/>
      <c r="Y343" s="2445"/>
      <c r="Z343" s="2445"/>
      <c r="AA343" s="2445"/>
      <c r="AB343" s="2445"/>
      <c r="AC343" s="2445"/>
      <c r="AD343" s="2445"/>
      <c r="AE343" s="2445"/>
      <c r="AF343" s="2445"/>
      <c r="AG343" s="2445"/>
      <c r="AH343" s="2445"/>
      <c r="AI343" s="2445"/>
      <c r="AJ343" s="2445"/>
      <c r="AK343" s="503"/>
      <c r="AL343" s="503"/>
      <c r="AM343" s="503"/>
      <c r="AN343" s="497"/>
    </row>
    <row r="344" spans="1:44" s="450" customFormat="1" ht="12.75" customHeight="1">
      <c r="A344" s="503"/>
      <c r="B344" s="511"/>
      <c r="C344" s="2445"/>
      <c r="D344" s="2445"/>
      <c r="E344" s="2445"/>
      <c r="F344" s="2445"/>
      <c r="G344" s="2445"/>
      <c r="H344" s="2445"/>
      <c r="I344" s="2445"/>
      <c r="J344" s="2445"/>
      <c r="K344" s="2445"/>
      <c r="L344" s="2445"/>
      <c r="M344" s="2445"/>
      <c r="N344" s="2445"/>
      <c r="O344" s="2445"/>
      <c r="P344" s="2445"/>
      <c r="Q344" s="2445"/>
      <c r="R344" s="2445"/>
      <c r="S344" s="2445"/>
      <c r="T344" s="2445"/>
      <c r="U344" s="2445"/>
      <c r="V344" s="2445"/>
      <c r="W344" s="2445"/>
      <c r="X344" s="2445"/>
      <c r="Y344" s="2445"/>
      <c r="Z344" s="2445"/>
      <c r="AA344" s="2445"/>
      <c r="AB344" s="2445"/>
      <c r="AC344" s="2445"/>
      <c r="AD344" s="2445"/>
      <c r="AE344" s="2445"/>
      <c r="AF344" s="2445"/>
      <c r="AG344" s="2445"/>
      <c r="AH344" s="2445"/>
      <c r="AI344" s="2445"/>
      <c r="AJ344" s="2445"/>
      <c r="AK344" s="503"/>
      <c r="AL344" s="503"/>
      <c r="AM344" s="503"/>
      <c r="AN344" s="497"/>
    </row>
    <row r="345" spans="1:44" s="450" customFormat="1" ht="12.75" customHeight="1">
      <c r="A345" s="503"/>
      <c r="B345" s="511"/>
      <c r="C345" s="2445"/>
      <c r="D345" s="2445"/>
      <c r="E345" s="2445"/>
      <c r="F345" s="2445"/>
      <c r="G345" s="2445"/>
      <c r="H345" s="2445"/>
      <c r="I345" s="2445"/>
      <c r="J345" s="2445"/>
      <c r="K345" s="2445"/>
      <c r="L345" s="2445"/>
      <c r="M345" s="2445"/>
      <c r="N345" s="2445"/>
      <c r="O345" s="2445"/>
      <c r="P345" s="2445"/>
      <c r="Q345" s="2445"/>
      <c r="R345" s="2445"/>
      <c r="S345" s="2445"/>
      <c r="T345" s="2445"/>
      <c r="U345" s="2445"/>
      <c r="V345" s="2445"/>
      <c r="W345" s="2445"/>
      <c r="X345" s="2445"/>
      <c r="Y345" s="2445"/>
      <c r="Z345" s="2445"/>
      <c r="AA345" s="2445"/>
      <c r="AB345" s="2445"/>
      <c r="AC345" s="2445"/>
      <c r="AD345" s="2445"/>
      <c r="AE345" s="2445"/>
      <c r="AF345" s="2445"/>
      <c r="AG345" s="2445"/>
      <c r="AH345" s="2445"/>
      <c r="AI345" s="2445"/>
      <c r="AJ345" s="2445"/>
      <c r="AK345" s="503"/>
      <c r="AL345" s="503"/>
      <c r="AM345" s="503"/>
      <c r="AN345" s="497"/>
      <c r="AQ345" s="470"/>
    </row>
    <row r="346" spans="1:44" s="450" customFormat="1" ht="12.75" customHeight="1">
      <c r="A346" s="503"/>
      <c r="B346" s="511"/>
      <c r="C346" s="2445"/>
      <c r="D346" s="2445"/>
      <c r="E346" s="2445"/>
      <c r="F346" s="2445"/>
      <c r="G346" s="2445"/>
      <c r="H346" s="2445"/>
      <c r="I346" s="2445"/>
      <c r="J346" s="2445"/>
      <c r="K346" s="2445"/>
      <c r="L346" s="2445"/>
      <c r="M346" s="2445"/>
      <c r="N346" s="2445"/>
      <c r="O346" s="2445"/>
      <c r="P346" s="2445"/>
      <c r="Q346" s="2445"/>
      <c r="R346" s="2445"/>
      <c r="S346" s="2445"/>
      <c r="T346" s="2445"/>
      <c r="U346" s="2445"/>
      <c r="V346" s="2445"/>
      <c r="W346" s="2445"/>
      <c r="X346" s="2445"/>
      <c r="Y346" s="2445"/>
      <c r="Z346" s="2445"/>
      <c r="AA346" s="2445"/>
      <c r="AB346" s="2445"/>
      <c r="AC346" s="2445"/>
      <c r="AD346" s="2445"/>
      <c r="AE346" s="2445"/>
      <c r="AF346" s="2445"/>
      <c r="AG346" s="2445"/>
      <c r="AH346" s="2445"/>
      <c r="AI346" s="2445"/>
      <c r="AJ346" s="2445"/>
      <c r="AK346" s="503"/>
      <c r="AL346" s="503"/>
      <c r="AM346" s="503"/>
      <c r="AN346" s="497"/>
      <c r="AQ346" s="470"/>
    </row>
    <row r="347" spans="1:44" s="450" customFormat="1" ht="12.4" customHeight="1">
      <c r="A347" s="503"/>
      <c r="B347" s="511"/>
      <c r="C347" s="2445"/>
      <c r="D347" s="2445"/>
      <c r="E347" s="2445"/>
      <c r="F347" s="2445"/>
      <c r="G347" s="2445"/>
      <c r="H347" s="2445"/>
      <c r="I347" s="2445"/>
      <c r="J347" s="2445"/>
      <c r="K347" s="2445"/>
      <c r="L347" s="2445"/>
      <c r="M347" s="2445"/>
      <c r="N347" s="2445"/>
      <c r="O347" s="2445"/>
      <c r="P347" s="2445"/>
      <c r="Q347" s="2445"/>
      <c r="R347" s="2445"/>
      <c r="S347" s="2445"/>
      <c r="T347" s="2445"/>
      <c r="U347" s="2445"/>
      <c r="V347" s="2445"/>
      <c r="W347" s="2445"/>
      <c r="X347" s="2445"/>
      <c r="Y347" s="2445"/>
      <c r="Z347" s="2445"/>
      <c r="AA347" s="2445"/>
      <c r="AB347" s="2445"/>
      <c r="AC347" s="2445"/>
      <c r="AD347" s="2445"/>
      <c r="AE347" s="2445"/>
      <c r="AF347" s="2445"/>
      <c r="AG347" s="2445"/>
      <c r="AH347" s="2445"/>
      <c r="AI347" s="2445"/>
      <c r="AJ347" s="2445"/>
      <c r="AK347" s="503"/>
      <c r="AL347" s="503"/>
      <c r="AM347" s="503"/>
      <c r="AN347" s="497"/>
      <c r="AQ347" s="470"/>
      <c r="AR347" s="470"/>
    </row>
    <row r="348" spans="1:44" s="450" customFormat="1" ht="45.75" customHeight="1">
      <c r="A348" s="503"/>
      <c r="B348" s="511"/>
      <c r="C348" s="2445" t="s">
        <v>2315</v>
      </c>
      <c r="D348" s="2445"/>
      <c r="E348" s="2445"/>
      <c r="F348" s="2445"/>
      <c r="G348" s="2445"/>
      <c r="H348" s="2445"/>
      <c r="I348" s="2445"/>
      <c r="J348" s="2445"/>
      <c r="K348" s="2445"/>
      <c r="L348" s="2445"/>
      <c r="M348" s="2445"/>
      <c r="N348" s="2445"/>
      <c r="O348" s="2445"/>
      <c r="P348" s="2445"/>
      <c r="Q348" s="2445"/>
      <c r="R348" s="2445"/>
      <c r="S348" s="2445"/>
      <c r="T348" s="2445"/>
      <c r="U348" s="2445"/>
      <c r="V348" s="2445"/>
      <c r="W348" s="2445"/>
      <c r="X348" s="2445"/>
      <c r="Y348" s="2445"/>
      <c r="Z348" s="2445"/>
      <c r="AA348" s="2445"/>
      <c r="AB348" s="2445"/>
      <c r="AC348" s="2445"/>
      <c r="AD348" s="2445"/>
      <c r="AE348" s="2445"/>
      <c r="AF348" s="2445"/>
      <c r="AG348" s="2445"/>
      <c r="AH348" s="2445"/>
      <c r="AI348" s="2445"/>
      <c r="AJ348" s="2445"/>
      <c r="AK348" s="503"/>
      <c r="AL348" s="503"/>
      <c r="AM348" s="503"/>
      <c r="AN348" s="497"/>
      <c r="AQ348" s="470"/>
      <c r="AR348" s="470"/>
    </row>
    <row r="349" spans="1:44" s="450" customFormat="1" ht="12.4"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45" t="s">
        <v>2316</v>
      </c>
      <c r="D350" s="2445"/>
      <c r="E350" s="2445"/>
      <c r="F350" s="2445"/>
      <c r="G350" s="2445"/>
      <c r="H350" s="2445"/>
      <c r="I350" s="2445"/>
      <c r="J350" s="2445"/>
      <c r="K350" s="2445"/>
      <c r="L350" s="2445"/>
      <c r="M350" s="2445"/>
      <c r="N350" s="2445"/>
      <c r="O350" s="2445"/>
      <c r="P350" s="2445"/>
      <c r="Q350" s="2445"/>
      <c r="R350" s="2445"/>
      <c r="S350" s="2445"/>
      <c r="T350" s="2445"/>
      <c r="U350" s="2445"/>
      <c r="V350" s="2445"/>
      <c r="W350" s="2445"/>
      <c r="X350" s="2445"/>
      <c r="Y350" s="2445"/>
      <c r="Z350" s="2445"/>
      <c r="AA350" s="2445"/>
      <c r="AB350" s="2445"/>
      <c r="AC350" s="2445"/>
      <c r="AD350" s="2445"/>
      <c r="AE350" s="2445"/>
      <c r="AF350" s="2445"/>
      <c r="AG350" s="2445"/>
      <c r="AH350" s="2445"/>
      <c r="AI350" s="2445"/>
      <c r="AJ350" s="2445"/>
      <c r="AK350" s="503"/>
      <c r="AL350" s="503"/>
      <c r="AM350" s="503"/>
      <c r="AN350" s="497"/>
      <c r="AQ350" s="470"/>
      <c r="AR350" s="470"/>
    </row>
    <row r="351" spans="1:44" s="450" customFormat="1" ht="30" customHeight="1">
      <c r="A351" s="503"/>
      <c r="B351" s="511"/>
      <c r="C351" s="2445"/>
      <c r="D351" s="2445"/>
      <c r="E351" s="2445"/>
      <c r="F351" s="2445"/>
      <c r="G351" s="2445"/>
      <c r="H351" s="2445"/>
      <c r="I351" s="2445"/>
      <c r="J351" s="2445"/>
      <c r="K351" s="2445"/>
      <c r="L351" s="2445"/>
      <c r="M351" s="2445"/>
      <c r="N351" s="2445"/>
      <c r="O351" s="2445"/>
      <c r="P351" s="2445"/>
      <c r="Q351" s="2445"/>
      <c r="R351" s="2445"/>
      <c r="S351" s="2445"/>
      <c r="T351" s="2445"/>
      <c r="U351" s="2445"/>
      <c r="V351" s="2445"/>
      <c r="W351" s="2445"/>
      <c r="X351" s="2445"/>
      <c r="Y351" s="2445"/>
      <c r="Z351" s="2445"/>
      <c r="AA351" s="2445"/>
      <c r="AB351" s="2445"/>
      <c r="AC351" s="2445"/>
      <c r="AD351" s="2445"/>
      <c r="AE351" s="2445"/>
      <c r="AF351" s="2445"/>
      <c r="AG351" s="2445"/>
      <c r="AH351" s="2445"/>
      <c r="AI351" s="2445"/>
      <c r="AJ351" s="2445"/>
      <c r="AK351" s="503"/>
      <c r="AL351" s="503"/>
      <c r="AM351" s="503"/>
      <c r="AN351" s="497"/>
      <c r="AR351" s="470"/>
    </row>
    <row r="352" spans="1:44" s="450" customFormat="1" ht="12.75" customHeight="1">
      <c r="A352" s="503"/>
      <c r="B352" s="511"/>
      <c r="C352" s="2445"/>
      <c r="D352" s="2445"/>
      <c r="E352" s="2445"/>
      <c r="F352" s="2445"/>
      <c r="G352" s="2445"/>
      <c r="H352" s="2445"/>
      <c r="I352" s="2445"/>
      <c r="J352" s="2445"/>
      <c r="K352" s="2445"/>
      <c r="L352" s="2445"/>
      <c r="M352" s="2445"/>
      <c r="N352" s="2445"/>
      <c r="O352" s="2445"/>
      <c r="P352" s="2445"/>
      <c r="Q352" s="2445"/>
      <c r="R352" s="2445"/>
      <c r="S352" s="2445"/>
      <c r="T352" s="2445"/>
      <c r="U352" s="2445"/>
      <c r="V352" s="2445"/>
      <c r="W352" s="2445"/>
      <c r="X352" s="2445"/>
      <c r="Y352" s="2445"/>
      <c r="Z352" s="2445"/>
      <c r="AA352" s="2445"/>
      <c r="AB352" s="2445"/>
      <c r="AC352" s="2445"/>
      <c r="AD352" s="2445"/>
      <c r="AE352" s="2445"/>
      <c r="AF352" s="2445"/>
      <c r="AG352" s="2445"/>
      <c r="AH352" s="2445"/>
      <c r="AI352" s="2445"/>
      <c r="AJ352" s="2445"/>
      <c r="AK352" s="503"/>
      <c r="AL352" s="503"/>
      <c r="AM352" s="503"/>
      <c r="AN352" s="497"/>
      <c r="AR352" s="470"/>
    </row>
    <row r="353" spans="1:46" s="450" customFormat="1" ht="12.75" customHeight="1">
      <c r="A353" s="503"/>
      <c r="B353" s="511"/>
      <c r="C353" s="2445" t="s">
        <v>2317</v>
      </c>
      <c r="D353" s="2445"/>
      <c r="E353" s="2445"/>
      <c r="F353" s="2445"/>
      <c r="G353" s="2445"/>
      <c r="H353" s="2445"/>
      <c r="I353" s="2445"/>
      <c r="J353" s="2445"/>
      <c r="K353" s="2445"/>
      <c r="L353" s="2445"/>
      <c r="M353" s="2445"/>
      <c r="N353" s="2445"/>
      <c r="O353" s="2445"/>
      <c r="P353" s="2445"/>
      <c r="Q353" s="2445"/>
      <c r="R353" s="2445"/>
      <c r="S353" s="2445"/>
      <c r="T353" s="2445"/>
      <c r="U353" s="2445"/>
      <c r="V353" s="2445"/>
      <c r="W353" s="2445"/>
      <c r="X353" s="2445"/>
      <c r="Y353" s="2445"/>
      <c r="Z353" s="2445"/>
      <c r="AA353" s="2445"/>
      <c r="AB353" s="2445"/>
      <c r="AC353" s="2445"/>
      <c r="AD353" s="2445"/>
      <c r="AE353" s="2445"/>
      <c r="AF353" s="2445"/>
      <c r="AG353" s="2445"/>
      <c r="AH353" s="2445"/>
      <c r="AI353" s="2445"/>
      <c r="AJ353" s="2445"/>
      <c r="AK353" s="503"/>
      <c r="AL353" s="503"/>
      <c r="AM353" s="503"/>
      <c r="AN353" s="497"/>
      <c r="AQ353" s="470"/>
      <c r="AR353" s="470"/>
    </row>
    <row r="354" spans="1:46" s="450" customFormat="1" ht="12.75" customHeight="1">
      <c r="A354" s="503"/>
      <c r="B354" s="511"/>
      <c r="C354" s="2445"/>
      <c r="D354" s="2445"/>
      <c r="E354" s="2445"/>
      <c r="F354" s="2445"/>
      <c r="G354" s="2445"/>
      <c r="H354" s="2445"/>
      <c r="I354" s="2445"/>
      <c r="J354" s="2445"/>
      <c r="K354" s="2445"/>
      <c r="L354" s="2445"/>
      <c r="M354" s="2445"/>
      <c r="N354" s="2445"/>
      <c r="O354" s="2445"/>
      <c r="P354" s="2445"/>
      <c r="Q354" s="2445"/>
      <c r="R354" s="2445"/>
      <c r="S354" s="2445"/>
      <c r="T354" s="2445"/>
      <c r="U354" s="2445"/>
      <c r="V354" s="2445"/>
      <c r="W354" s="2445"/>
      <c r="X354" s="2445"/>
      <c r="Y354" s="2445"/>
      <c r="Z354" s="2445"/>
      <c r="AA354" s="2445"/>
      <c r="AB354" s="2445"/>
      <c r="AC354" s="2445"/>
      <c r="AD354" s="2445"/>
      <c r="AE354" s="2445"/>
      <c r="AF354" s="2445"/>
      <c r="AG354" s="2445"/>
      <c r="AH354" s="2445"/>
      <c r="AI354" s="2445"/>
      <c r="AJ354" s="2445"/>
      <c r="AK354" s="503"/>
      <c r="AL354" s="503"/>
      <c r="AM354" s="503"/>
      <c r="AN354" s="497"/>
      <c r="AQ354" s="470"/>
      <c r="AR354" s="470"/>
    </row>
    <row r="355" spans="1:46" s="450" customFormat="1" ht="13.15" customHeight="1">
      <c r="A355" s="503"/>
      <c r="B355" s="511"/>
      <c r="C355" s="2445"/>
      <c r="D355" s="2445"/>
      <c r="E355" s="2445"/>
      <c r="F355" s="2445"/>
      <c r="G355" s="2445"/>
      <c r="H355" s="2445"/>
      <c r="I355" s="2445"/>
      <c r="J355" s="2445"/>
      <c r="K355" s="2445"/>
      <c r="L355" s="2445"/>
      <c r="M355" s="2445"/>
      <c r="N355" s="2445"/>
      <c r="O355" s="2445"/>
      <c r="P355" s="2445"/>
      <c r="Q355" s="2445"/>
      <c r="R355" s="2445"/>
      <c r="S355" s="2445"/>
      <c r="T355" s="2445"/>
      <c r="U355" s="2445"/>
      <c r="V355" s="2445"/>
      <c r="W355" s="2445"/>
      <c r="X355" s="2445"/>
      <c r="Y355" s="2445"/>
      <c r="Z355" s="2445"/>
      <c r="AA355" s="2445"/>
      <c r="AB355" s="2445"/>
      <c r="AC355" s="2445"/>
      <c r="AD355" s="2445"/>
      <c r="AE355" s="2445"/>
      <c r="AF355" s="2445"/>
      <c r="AG355" s="2445"/>
      <c r="AH355" s="2445"/>
      <c r="AI355" s="2445"/>
      <c r="AJ355" s="2445"/>
      <c r="AK355" s="503"/>
      <c r="AL355" s="503"/>
      <c r="AM355" s="503"/>
      <c r="AN355" s="497"/>
      <c r="AQ355" s="470"/>
      <c r="AR355" s="470"/>
    </row>
    <row r="356" spans="1:46" s="450" customFormat="1" ht="12.75" customHeight="1">
      <c r="A356" s="503"/>
      <c r="B356" s="511"/>
      <c r="C356" s="2445"/>
      <c r="D356" s="2445"/>
      <c r="E356" s="2445"/>
      <c r="F356" s="2445"/>
      <c r="G356" s="2445"/>
      <c r="H356" s="2445"/>
      <c r="I356" s="2445"/>
      <c r="J356" s="2445"/>
      <c r="K356" s="2445"/>
      <c r="L356" s="2445"/>
      <c r="M356" s="2445"/>
      <c r="N356" s="2445"/>
      <c r="O356" s="2445"/>
      <c r="P356" s="2445"/>
      <c r="Q356" s="2445"/>
      <c r="R356" s="2445"/>
      <c r="S356" s="2445"/>
      <c r="T356" s="2445"/>
      <c r="U356" s="2445"/>
      <c r="V356" s="2445"/>
      <c r="W356" s="2445"/>
      <c r="X356" s="2445"/>
      <c r="Y356" s="2445"/>
      <c r="Z356" s="2445"/>
      <c r="AA356" s="2445"/>
      <c r="AB356" s="2445"/>
      <c r="AC356" s="2445"/>
      <c r="AD356" s="2445"/>
      <c r="AE356" s="2445"/>
      <c r="AF356" s="2445"/>
      <c r="AG356" s="2445"/>
      <c r="AH356" s="2445"/>
      <c r="AI356" s="2445"/>
      <c r="AJ356" s="2445"/>
      <c r="AK356" s="503"/>
      <c r="AL356" s="503"/>
      <c r="AM356" s="503"/>
      <c r="AN356" s="497"/>
      <c r="AO356" s="594"/>
      <c r="AP356" s="594"/>
      <c r="AQ356" s="470"/>
    </row>
    <row r="357" spans="1:46" s="450" customFormat="1" ht="12" customHeight="1">
      <c r="A357" s="503"/>
      <c r="B357" s="511"/>
      <c r="C357" s="2445"/>
      <c r="D357" s="2445"/>
      <c r="E357" s="2445"/>
      <c r="F357" s="2445"/>
      <c r="G357" s="2445"/>
      <c r="H357" s="2445"/>
      <c r="I357" s="2445"/>
      <c r="J357" s="2445"/>
      <c r="K357" s="2445"/>
      <c r="L357" s="2445"/>
      <c r="M357" s="2445"/>
      <c r="N357" s="2445"/>
      <c r="O357" s="2445"/>
      <c r="P357" s="2445"/>
      <c r="Q357" s="2445"/>
      <c r="R357" s="2445"/>
      <c r="S357" s="2445"/>
      <c r="T357" s="2445"/>
      <c r="U357" s="2445"/>
      <c r="V357" s="2445"/>
      <c r="W357" s="2445"/>
      <c r="X357" s="2445"/>
      <c r="Y357" s="2445"/>
      <c r="Z357" s="2445"/>
      <c r="AA357" s="2445"/>
      <c r="AB357" s="2445"/>
      <c r="AC357" s="2445"/>
      <c r="AD357" s="2445"/>
      <c r="AE357" s="2445"/>
      <c r="AF357" s="2445"/>
      <c r="AG357" s="2445"/>
      <c r="AH357" s="2445"/>
      <c r="AI357" s="2445"/>
      <c r="AJ357" s="2445"/>
      <c r="AK357" s="503"/>
      <c r="AL357" s="503"/>
      <c r="AM357" s="503"/>
      <c r="AN357" s="497"/>
      <c r="AO357" s="595" t="s">
        <v>18</v>
      </c>
      <c r="AP357" s="596">
        <f>IF(C381="Yes",5,0)</f>
        <v>5</v>
      </c>
      <c r="AS357" s="439" t="s">
        <v>2318</v>
      </c>
    </row>
    <row r="358" spans="1:46" s="450" customFormat="1" ht="12.75" customHeight="1">
      <c r="A358" s="503"/>
      <c r="B358" s="511"/>
      <c r="C358" s="2445"/>
      <c r="D358" s="2445"/>
      <c r="E358" s="2445"/>
      <c r="F358" s="2445"/>
      <c r="G358" s="2445"/>
      <c r="H358" s="2445"/>
      <c r="I358" s="2445"/>
      <c r="J358" s="2445"/>
      <c r="K358" s="2445"/>
      <c r="L358" s="2445"/>
      <c r="M358" s="2445"/>
      <c r="N358" s="2445"/>
      <c r="O358" s="2445"/>
      <c r="P358" s="2445"/>
      <c r="Q358" s="2445"/>
      <c r="R358" s="2445"/>
      <c r="S358" s="2445"/>
      <c r="T358" s="2445"/>
      <c r="U358" s="2445"/>
      <c r="V358" s="2445"/>
      <c r="W358" s="2445"/>
      <c r="X358" s="2445"/>
      <c r="Y358" s="2445"/>
      <c r="Z358" s="2445"/>
      <c r="AA358" s="2445"/>
      <c r="AB358" s="2445"/>
      <c r="AC358" s="2445"/>
      <c r="AD358" s="2445"/>
      <c r="AE358" s="2445"/>
      <c r="AF358" s="2445"/>
      <c r="AG358" s="2445"/>
      <c r="AH358" s="2445"/>
      <c r="AI358" s="2445"/>
      <c r="AJ358" s="2445"/>
      <c r="AK358" s="503"/>
      <c r="AL358" s="503"/>
      <c r="AM358" s="503"/>
      <c r="AN358" s="497"/>
      <c r="AO358" s="595" t="s">
        <v>31</v>
      </c>
      <c r="AP358" s="596">
        <f>IF(C389="Yes",5,0)</f>
        <v>0</v>
      </c>
      <c r="AS358" s="2466">
        <f>IF(Application!D211="Non-Targeted",(SUM(AQ366+AQ375)),AS362)</f>
        <v>10</v>
      </c>
      <c r="AT358" s="2466"/>
    </row>
    <row r="359" spans="1:46" s="450" customFormat="1" ht="12.75" customHeight="1">
      <c r="A359" s="503"/>
      <c r="B359" s="511"/>
      <c r="C359" s="2445"/>
      <c r="D359" s="2445"/>
      <c r="E359" s="2445"/>
      <c r="F359" s="2445"/>
      <c r="G359" s="2445"/>
      <c r="H359" s="2445"/>
      <c r="I359" s="2445"/>
      <c r="J359" s="2445"/>
      <c r="K359" s="2445"/>
      <c r="L359" s="2445"/>
      <c r="M359" s="2445"/>
      <c r="N359" s="2445"/>
      <c r="O359" s="2445"/>
      <c r="P359" s="2445"/>
      <c r="Q359" s="2445"/>
      <c r="R359" s="2445"/>
      <c r="S359" s="2445"/>
      <c r="T359" s="2445"/>
      <c r="U359" s="2445"/>
      <c r="V359" s="2445"/>
      <c r="W359" s="2445"/>
      <c r="X359" s="2445"/>
      <c r="Y359" s="2445"/>
      <c r="Z359" s="2445"/>
      <c r="AA359" s="2445"/>
      <c r="AB359" s="2445"/>
      <c r="AC359" s="2445"/>
      <c r="AD359" s="2445"/>
      <c r="AE359" s="2445"/>
      <c r="AF359" s="2445"/>
      <c r="AG359" s="2445"/>
      <c r="AH359" s="2445"/>
      <c r="AI359" s="2445"/>
      <c r="AJ359" s="2445"/>
      <c r="AK359" s="503"/>
      <c r="AL359" s="503"/>
      <c r="AM359" s="503"/>
      <c r="AN359" s="497"/>
      <c r="AO359" s="595" t="s">
        <v>39</v>
      </c>
      <c r="AP359" s="596">
        <f>IF(C397="Yes",7,0)</f>
        <v>0</v>
      </c>
      <c r="AS359" s="439" t="s">
        <v>2319</v>
      </c>
    </row>
    <row r="360" spans="1:46" s="450" customFormat="1" ht="12.75" customHeight="1">
      <c r="A360" s="503"/>
      <c r="B360" s="511"/>
      <c r="C360" s="2445"/>
      <c r="D360" s="2445"/>
      <c r="E360" s="2445"/>
      <c r="F360" s="2445"/>
      <c r="G360" s="2445"/>
      <c r="H360" s="2445"/>
      <c r="I360" s="2445"/>
      <c r="J360" s="2445"/>
      <c r="K360" s="2445"/>
      <c r="L360" s="2445"/>
      <c r="M360" s="2445"/>
      <c r="N360" s="2445"/>
      <c r="O360" s="2445"/>
      <c r="P360" s="2445"/>
      <c r="Q360" s="2445"/>
      <c r="R360" s="2445"/>
      <c r="S360" s="2445"/>
      <c r="T360" s="2445"/>
      <c r="U360" s="2445"/>
      <c r="V360" s="2445"/>
      <c r="W360" s="2445"/>
      <c r="X360" s="2445"/>
      <c r="Y360" s="2445"/>
      <c r="Z360" s="2445"/>
      <c r="AA360" s="2445"/>
      <c r="AB360" s="2445"/>
      <c r="AC360" s="2445"/>
      <c r="AD360" s="2445"/>
      <c r="AE360" s="2445"/>
      <c r="AF360" s="2445"/>
      <c r="AG360" s="2445"/>
      <c r="AH360" s="2445"/>
      <c r="AI360" s="2445"/>
      <c r="AJ360" s="2445"/>
      <c r="AK360" s="503"/>
      <c r="AL360" s="503"/>
      <c r="AM360" s="503"/>
      <c r="AN360" s="497"/>
      <c r="AO360" s="497"/>
      <c r="AP360" s="596">
        <f>IF(C399="Yes",5,0)</f>
        <v>5</v>
      </c>
      <c r="AS360" s="2466">
        <f>IF(AND(AQ366&gt;0,AQ375&gt;0),(AQ366+AQ375)/2,0)</f>
        <v>0</v>
      </c>
      <c r="AT360" s="2466"/>
    </row>
    <row r="361" spans="1:46" s="450" customFormat="1" ht="12.75" customHeight="1">
      <c r="A361" s="503"/>
      <c r="B361" s="511"/>
      <c r="C361" s="2445"/>
      <c r="D361" s="2445"/>
      <c r="E361" s="2445"/>
      <c r="F361" s="2445"/>
      <c r="G361" s="2445"/>
      <c r="H361" s="2445"/>
      <c r="I361" s="2445"/>
      <c r="J361" s="2445"/>
      <c r="K361" s="2445"/>
      <c r="L361" s="2445"/>
      <c r="M361" s="2445"/>
      <c r="N361" s="2445"/>
      <c r="O361" s="2445"/>
      <c r="P361" s="2445"/>
      <c r="Q361" s="2445"/>
      <c r="R361" s="2445"/>
      <c r="S361" s="2445"/>
      <c r="T361" s="2445"/>
      <c r="U361" s="2445"/>
      <c r="V361" s="2445"/>
      <c r="W361" s="2445"/>
      <c r="X361" s="2445"/>
      <c r="Y361" s="2445"/>
      <c r="Z361" s="2445"/>
      <c r="AA361" s="2445"/>
      <c r="AB361" s="2445"/>
      <c r="AC361" s="2445"/>
      <c r="AD361" s="2445"/>
      <c r="AE361" s="2445"/>
      <c r="AF361" s="2445"/>
      <c r="AG361" s="2445"/>
      <c r="AH361" s="2445"/>
      <c r="AI361" s="2445"/>
      <c r="AJ361" s="2445"/>
      <c r="AK361" s="503"/>
      <c r="AL361" s="503"/>
      <c r="AM361" s="503"/>
      <c r="AN361" s="497"/>
      <c r="AO361" s="595" t="s">
        <v>82</v>
      </c>
      <c r="AP361" s="596">
        <f>IF(C407="Yes",5,0)</f>
        <v>0</v>
      </c>
      <c r="AS361" s="439" t="s">
        <v>2320</v>
      </c>
    </row>
    <row r="362" spans="1:46" s="450" customFormat="1" ht="12.75" customHeight="1">
      <c r="A362" s="503"/>
      <c r="B362" s="511"/>
      <c r="C362" s="2467" t="s">
        <v>2321</v>
      </c>
      <c r="D362" s="2467"/>
      <c r="E362" s="2467"/>
      <c r="F362" s="2467"/>
      <c r="G362" s="2467"/>
      <c r="H362" s="2467"/>
      <c r="I362" s="2467"/>
      <c r="J362" s="2467"/>
      <c r="K362" s="2467"/>
      <c r="L362" s="2467"/>
      <c r="M362" s="2467"/>
      <c r="N362" s="2467"/>
      <c r="O362" s="2467"/>
      <c r="P362" s="2467"/>
      <c r="Q362" s="2467"/>
      <c r="R362" s="2467"/>
      <c r="S362" s="2467"/>
      <c r="T362" s="2467"/>
      <c r="U362" s="2467"/>
      <c r="V362" s="2467"/>
      <c r="W362" s="2467"/>
      <c r="X362" s="2467"/>
      <c r="Y362" s="2467"/>
      <c r="Z362" s="2467"/>
      <c r="AA362" s="2467"/>
      <c r="AB362" s="2467"/>
      <c r="AC362" s="2467"/>
      <c r="AD362" s="2467"/>
      <c r="AE362" s="2467"/>
      <c r="AF362" s="2467"/>
      <c r="AG362" s="2467"/>
      <c r="AH362" s="2467"/>
      <c r="AI362" s="2467"/>
      <c r="AJ362" s="2467"/>
      <c r="AK362" s="503"/>
      <c r="AL362" s="503"/>
      <c r="AM362" s="503"/>
      <c r="AN362" s="497"/>
      <c r="AO362" s="497"/>
      <c r="AP362" s="596">
        <f>IF(C409="Yes",3,0)</f>
        <v>0</v>
      </c>
      <c r="AS362" s="2466">
        <f>IF(AQ366=0,AQ375,AQ366)</f>
        <v>10</v>
      </c>
      <c r="AT362" s="2466"/>
    </row>
    <row r="363" spans="1:46" s="450" customFormat="1" ht="12.75" customHeight="1">
      <c r="A363" s="503"/>
      <c r="B363" s="511"/>
      <c r="C363" s="2467"/>
      <c r="D363" s="2467"/>
      <c r="E363" s="2467"/>
      <c r="F363" s="2467"/>
      <c r="G363" s="2467"/>
      <c r="H363" s="2467"/>
      <c r="I363" s="2467"/>
      <c r="J363" s="2467"/>
      <c r="K363" s="2467"/>
      <c r="L363" s="2467"/>
      <c r="M363" s="2467"/>
      <c r="N363" s="2467"/>
      <c r="O363" s="2467"/>
      <c r="P363" s="2467"/>
      <c r="Q363" s="2467"/>
      <c r="R363" s="2467"/>
      <c r="S363" s="2467"/>
      <c r="T363" s="2467"/>
      <c r="U363" s="2467"/>
      <c r="V363" s="2467"/>
      <c r="W363" s="2467"/>
      <c r="X363" s="2467"/>
      <c r="Y363" s="2467"/>
      <c r="Z363" s="2467"/>
      <c r="AA363" s="2467"/>
      <c r="AB363" s="2467"/>
      <c r="AC363" s="2467"/>
      <c r="AD363" s="2467"/>
      <c r="AE363" s="2467"/>
      <c r="AF363" s="2467"/>
      <c r="AG363" s="2467"/>
      <c r="AH363" s="2467"/>
      <c r="AI363" s="2467"/>
      <c r="AJ363" s="2467"/>
      <c r="AK363" s="503"/>
      <c r="AL363" s="503"/>
      <c r="AM363" s="503"/>
      <c r="AN363" s="497"/>
      <c r="AO363" s="595" t="s">
        <v>86</v>
      </c>
      <c r="AP363" s="596">
        <f>IF(C412="Yes",5,0)</f>
        <v>0</v>
      </c>
    </row>
    <row r="364" spans="1:46" s="450" customFormat="1" ht="12.75" customHeight="1">
      <c r="A364" s="503"/>
      <c r="B364" s="511"/>
      <c r="C364" s="2467"/>
      <c r="D364" s="2467"/>
      <c r="E364" s="2467"/>
      <c r="F364" s="2467"/>
      <c r="G364" s="2467"/>
      <c r="H364" s="2467"/>
      <c r="I364" s="2467"/>
      <c r="J364" s="2467"/>
      <c r="K364" s="2467"/>
      <c r="L364" s="2467"/>
      <c r="M364" s="2467"/>
      <c r="N364" s="2467"/>
      <c r="O364" s="2467"/>
      <c r="P364" s="2467"/>
      <c r="Q364" s="2467"/>
      <c r="R364" s="2467"/>
      <c r="S364" s="2467"/>
      <c r="T364" s="2467"/>
      <c r="U364" s="2467"/>
      <c r="V364" s="2467"/>
      <c r="W364" s="2467"/>
      <c r="X364" s="2467"/>
      <c r="Y364" s="2467"/>
      <c r="Z364" s="2467"/>
      <c r="AA364" s="2467"/>
      <c r="AB364" s="2467"/>
      <c r="AC364" s="2467"/>
      <c r="AD364" s="2467"/>
      <c r="AE364" s="2467"/>
      <c r="AF364" s="2467"/>
      <c r="AG364" s="2467"/>
      <c r="AH364" s="2467"/>
      <c r="AI364" s="2467"/>
      <c r="AJ364" s="2467"/>
      <c r="AK364" s="503"/>
      <c r="AL364" s="503"/>
      <c r="AM364" s="503"/>
      <c r="AN364" s="497"/>
      <c r="AO364" s="595" t="s">
        <v>1404</v>
      </c>
      <c r="AP364" s="596">
        <f>IF(C421="Yes",5,0)</f>
        <v>0</v>
      </c>
    </row>
    <row r="365" spans="1:46" s="450" customFormat="1" ht="12" customHeight="1">
      <c r="A365" s="503"/>
      <c r="B365" s="511"/>
      <c r="C365" s="2467"/>
      <c r="D365" s="2467"/>
      <c r="E365" s="2467"/>
      <c r="F365" s="2467"/>
      <c r="G365" s="2467"/>
      <c r="H365" s="2467"/>
      <c r="I365" s="2467"/>
      <c r="J365" s="2467"/>
      <c r="K365" s="2467"/>
      <c r="L365" s="2467"/>
      <c r="M365" s="2467"/>
      <c r="N365" s="2467"/>
      <c r="O365" s="2467"/>
      <c r="P365" s="2467"/>
      <c r="Q365" s="2467"/>
      <c r="R365" s="2467"/>
      <c r="S365" s="2467"/>
      <c r="T365" s="2467"/>
      <c r="U365" s="2467"/>
      <c r="V365" s="2467"/>
      <c r="W365" s="2467"/>
      <c r="X365" s="2467"/>
      <c r="Y365" s="2467"/>
      <c r="Z365" s="2467"/>
      <c r="AA365" s="2467"/>
      <c r="AB365" s="2467"/>
      <c r="AC365" s="2467"/>
      <c r="AD365" s="2467"/>
      <c r="AE365" s="2467"/>
      <c r="AF365" s="2467"/>
      <c r="AG365" s="2467"/>
      <c r="AH365" s="2467"/>
      <c r="AI365" s="2467"/>
      <c r="AJ365" s="2467"/>
      <c r="AK365" s="503"/>
      <c r="AL365" s="503"/>
      <c r="AM365" s="503"/>
      <c r="AN365" s="497"/>
      <c r="AO365" s="597"/>
      <c r="AP365" s="598">
        <f>IF(C423="Yes",3,0)</f>
        <v>0</v>
      </c>
    </row>
    <row r="366" spans="1:46" s="450" customFormat="1" ht="12.4" customHeight="1">
      <c r="A366" s="503"/>
      <c r="B366" s="511"/>
      <c r="C366" s="2467"/>
      <c r="D366" s="2467"/>
      <c r="E366" s="2467"/>
      <c r="F366" s="2467"/>
      <c r="G366" s="2467"/>
      <c r="H366" s="2467"/>
      <c r="I366" s="2467"/>
      <c r="J366" s="2467"/>
      <c r="K366" s="2467"/>
      <c r="L366" s="2467"/>
      <c r="M366" s="2467"/>
      <c r="N366" s="2467"/>
      <c r="O366" s="2467"/>
      <c r="P366" s="2467"/>
      <c r="Q366" s="2467"/>
      <c r="R366" s="2467"/>
      <c r="S366" s="2467"/>
      <c r="T366" s="2467"/>
      <c r="U366" s="2467"/>
      <c r="V366" s="2467"/>
      <c r="W366" s="2467"/>
      <c r="X366" s="2467"/>
      <c r="Y366" s="2467"/>
      <c r="Z366" s="2467"/>
      <c r="AA366" s="2467"/>
      <c r="AB366" s="2467"/>
      <c r="AC366" s="2467"/>
      <c r="AD366" s="2467"/>
      <c r="AE366" s="2467"/>
      <c r="AF366" s="2467"/>
      <c r="AG366" s="2467"/>
      <c r="AH366" s="2467"/>
      <c r="AI366" s="2467"/>
      <c r="AJ366" s="2467"/>
      <c r="AK366" s="503"/>
      <c r="AL366" s="503"/>
      <c r="AM366" s="503"/>
      <c r="AN366" s="497"/>
      <c r="AO366" s="599" t="s">
        <v>2322</v>
      </c>
      <c r="AP366" s="600">
        <f>SUM(AP357:AP365)</f>
        <v>10</v>
      </c>
      <c r="AQ366" s="2468">
        <f>IF(AP366&gt;0,AP366,0)</f>
        <v>10</v>
      </c>
      <c r="AR366" s="2468"/>
    </row>
    <row r="367" spans="1:46" s="450" customFormat="1" ht="12.75" customHeight="1">
      <c r="A367" s="503"/>
      <c r="B367" s="511"/>
      <c r="C367" s="2467"/>
      <c r="D367" s="2467"/>
      <c r="E367" s="2467"/>
      <c r="F367" s="2467"/>
      <c r="G367" s="2467"/>
      <c r="H367" s="2467"/>
      <c r="I367" s="2467"/>
      <c r="J367" s="2467"/>
      <c r="K367" s="2467"/>
      <c r="L367" s="2467"/>
      <c r="M367" s="2467"/>
      <c r="N367" s="2467"/>
      <c r="O367" s="2467"/>
      <c r="P367" s="2467"/>
      <c r="Q367" s="2467"/>
      <c r="R367" s="2467"/>
      <c r="S367" s="2467"/>
      <c r="T367" s="2467"/>
      <c r="U367" s="2467"/>
      <c r="V367" s="2467"/>
      <c r="W367" s="2467"/>
      <c r="X367" s="2467"/>
      <c r="Y367" s="2467"/>
      <c r="Z367" s="2467"/>
      <c r="AA367" s="2467"/>
      <c r="AB367" s="2467"/>
      <c r="AC367" s="2467"/>
      <c r="AD367" s="2467"/>
      <c r="AE367" s="2467"/>
      <c r="AF367" s="2467"/>
      <c r="AG367" s="2467"/>
      <c r="AH367" s="2467"/>
      <c r="AI367" s="2467"/>
      <c r="AJ367" s="2467"/>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1406</v>
      </c>
      <c r="AP368" s="596">
        <f>IF(C430="Yes",5,0)</f>
        <v>0</v>
      </c>
    </row>
    <row r="369" spans="1:81" s="450" customFormat="1" ht="12.75" customHeight="1">
      <c r="A369" s="503"/>
      <c r="B369" s="511"/>
      <c r="C369" s="2445" t="s">
        <v>2323</v>
      </c>
      <c r="D369" s="2445"/>
      <c r="E369" s="2445"/>
      <c r="F369" s="2445"/>
      <c r="G369" s="2445"/>
      <c r="H369" s="2445"/>
      <c r="I369" s="2445"/>
      <c r="J369" s="2445"/>
      <c r="K369" s="2445"/>
      <c r="L369" s="2445"/>
      <c r="M369" s="2445"/>
      <c r="N369" s="2445"/>
      <c r="O369" s="2445"/>
      <c r="P369" s="2445"/>
      <c r="Q369" s="2445"/>
      <c r="R369" s="2445"/>
      <c r="S369" s="2445"/>
      <c r="T369" s="2445"/>
      <c r="U369" s="2445"/>
      <c r="V369" s="2445"/>
      <c r="W369" s="2445"/>
      <c r="X369" s="2445"/>
      <c r="Y369" s="2445"/>
      <c r="Z369" s="2445"/>
      <c r="AA369" s="2445"/>
      <c r="AB369" s="2445"/>
      <c r="AC369" s="2445"/>
      <c r="AD369" s="2445"/>
      <c r="AE369" s="2445"/>
      <c r="AF369" s="2445"/>
      <c r="AG369" s="2445"/>
      <c r="AH369" s="2445"/>
      <c r="AI369" s="2445"/>
      <c r="AJ369" s="2445"/>
      <c r="AK369" s="503"/>
      <c r="AL369" s="503"/>
      <c r="AM369" s="503"/>
      <c r="AN369" s="497"/>
      <c r="AO369" s="595" t="s">
        <v>1407</v>
      </c>
      <c r="AP369" s="596">
        <f>IF(C442="Yes",5,0)</f>
        <v>0</v>
      </c>
    </row>
    <row r="370" spans="1:81" s="450" customFormat="1" ht="12.75" customHeight="1">
      <c r="A370" s="503"/>
      <c r="B370" s="511"/>
      <c r="C370" s="2445"/>
      <c r="D370" s="2445"/>
      <c r="E370" s="2445"/>
      <c r="F370" s="2445"/>
      <c r="G370" s="2445"/>
      <c r="H370" s="2445"/>
      <c r="I370" s="2445"/>
      <c r="J370" s="2445"/>
      <c r="K370" s="2445"/>
      <c r="L370" s="2445"/>
      <c r="M370" s="2445"/>
      <c r="N370" s="2445"/>
      <c r="O370" s="2445"/>
      <c r="P370" s="2445"/>
      <c r="Q370" s="2445"/>
      <c r="R370" s="2445"/>
      <c r="S370" s="2445"/>
      <c r="T370" s="2445"/>
      <c r="U370" s="2445"/>
      <c r="V370" s="2445"/>
      <c r="W370" s="2445"/>
      <c r="X370" s="2445"/>
      <c r="Y370" s="2445"/>
      <c r="Z370" s="2445"/>
      <c r="AA370" s="2445"/>
      <c r="AB370" s="2445"/>
      <c r="AC370" s="2445"/>
      <c r="AD370" s="2445"/>
      <c r="AE370" s="2445"/>
      <c r="AF370" s="2445"/>
      <c r="AG370" s="2445"/>
      <c r="AH370" s="2445"/>
      <c r="AI370" s="2445"/>
      <c r="AJ370" s="2445"/>
      <c r="AK370" s="503"/>
      <c r="AL370" s="503"/>
      <c r="AM370" s="503"/>
      <c r="AN370" s="497"/>
      <c r="AO370" s="595" t="s">
        <v>1408</v>
      </c>
      <c r="AP370" s="596">
        <f>IF(C449="Yes",5,0)</f>
        <v>0</v>
      </c>
    </row>
    <row r="371" spans="1:81" s="450" customFormat="1" ht="68.25" customHeight="1">
      <c r="A371" s="503"/>
      <c r="B371" s="511"/>
      <c r="C371" s="2445"/>
      <c r="D371" s="2445"/>
      <c r="E371" s="2445"/>
      <c r="F371" s="2445"/>
      <c r="G371" s="2445"/>
      <c r="H371" s="2445"/>
      <c r="I371" s="2445"/>
      <c r="J371" s="2445"/>
      <c r="K371" s="2445"/>
      <c r="L371" s="2445"/>
      <c r="M371" s="2445"/>
      <c r="N371" s="2445"/>
      <c r="O371" s="2445"/>
      <c r="P371" s="2445"/>
      <c r="Q371" s="2445"/>
      <c r="R371" s="2445"/>
      <c r="S371" s="2445"/>
      <c r="T371" s="2445"/>
      <c r="U371" s="2445"/>
      <c r="V371" s="2445"/>
      <c r="W371" s="2445"/>
      <c r="X371" s="2445"/>
      <c r="Y371" s="2445"/>
      <c r="Z371" s="2445"/>
      <c r="AA371" s="2445"/>
      <c r="AB371" s="2445"/>
      <c r="AC371" s="2445"/>
      <c r="AD371" s="2445"/>
      <c r="AE371" s="2445"/>
      <c r="AF371" s="2445"/>
      <c r="AG371" s="2445"/>
      <c r="AH371" s="2445"/>
      <c r="AI371" s="2445"/>
      <c r="AJ371" s="2445"/>
      <c r="AK371" s="503"/>
      <c r="AL371" s="503"/>
      <c r="AM371" s="503"/>
      <c r="AN371" s="497"/>
      <c r="AO371" s="595" t="s">
        <v>1409</v>
      </c>
      <c r="AP371" s="601">
        <f>IF(C453="Yes",5,0)</f>
        <v>0</v>
      </c>
    </row>
    <row r="372" spans="1:81" s="450" customFormat="1" ht="12.4" customHeight="1">
      <c r="A372" s="503"/>
      <c r="B372" s="511"/>
      <c r="C372" s="450" t="s">
        <v>2324</v>
      </c>
      <c r="AF372" s="503"/>
      <c r="AG372" s="503"/>
      <c r="AH372" s="503"/>
      <c r="AI372" s="503"/>
      <c r="AJ372" s="503"/>
      <c r="AK372" s="503"/>
      <c r="AL372" s="503"/>
      <c r="AM372" s="503"/>
      <c r="AN372" s="497"/>
      <c r="AO372" s="595" t="s">
        <v>1410</v>
      </c>
      <c r="AP372" s="596">
        <f>IF(C457="Yes",5,0)</f>
        <v>0</v>
      </c>
    </row>
    <row r="373" spans="1:81" s="450" customFormat="1" ht="12.75" customHeight="1">
      <c r="A373" s="503"/>
      <c r="B373" s="511"/>
      <c r="C373" s="602" t="s">
        <v>2325</v>
      </c>
      <c r="D373" s="603"/>
      <c r="E373" s="603"/>
      <c r="F373" s="603"/>
      <c r="G373" s="603"/>
      <c r="H373" s="603"/>
      <c r="I373" s="603"/>
      <c r="J373" s="603"/>
      <c r="K373" s="603"/>
      <c r="L373" s="603"/>
      <c r="M373" s="567"/>
      <c r="N373" s="567"/>
      <c r="O373" s="604"/>
      <c r="P373" s="603"/>
      <c r="Q373" s="603"/>
      <c r="R373" s="567"/>
      <c r="S373" s="567"/>
      <c r="T373" s="603"/>
      <c r="U373" s="2553">
        <f>Application!DU802-U374</f>
        <v>352</v>
      </c>
      <c r="V373" s="2553"/>
      <c r="W373" s="2553"/>
      <c r="X373" s="603"/>
      <c r="Y373" s="603"/>
      <c r="Z373" s="603"/>
      <c r="AA373" s="605"/>
      <c r="AB373" s="606"/>
      <c r="AC373" s="606"/>
      <c r="AD373" s="606"/>
      <c r="AE373" s="503"/>
      <c r="AF373" s="503"/>
      <c r="AG373" s="503"/>
      <c r="AH373" s="503"/>
      <c r="AI373" s="503"/>
      <c r="AJ373" s="503"/>
      <c r="AK373" s="503"/>
      <c r="AL373" s="503"/>
      <c r="AM373" s="503"/>
      <c r="AN373" s="497"/>
      <c r="AO373" s="595" t="s">
        <v>1411</v>
      </c>
      <c r="AP373" s="596">
        <f>IF(C466="Yes",5,0)</f>
        <v>0</v>
      </c>
    </row>
    <row r="374" spans="1:81" s="450" customFormat="1" ht="12.75" customHeight="1">
      <c r="A374" s="503"/>
      <c r="B374" s="511"/>
      <c r="C374" s="607" t="s">
        <v>2326</v>
      </c>
      <c r="D374" s="594"/>
      <c r="E374" s="594"/>
      <c r="F374" s="594"/>
      <c r="G374" s="594"/>
      <c r="H374" s="594"/>
      <c r="I374" s="594"/>
      <c r="J374" s="594"/>
      <c r="K374" s="594"/>
      <c r="L374" s="594"/>
      <c r="M374" s="594"/>
      <c r="N374" s="594"/>
      <c r="O374" s="594"/>
      <c r="P374" s="594"/>
      <c r="Q374" s="594"/>
      <c r="R374" s="594"/>
      <c r="S374" s="594"/>
      <c r="T374" s="594"/>
      <c r="U374" s="2554">
        <f>IF(Application!D211="SRO",Application!DU755,Application!AG756)</f>
        <v>0</v>
      </c>
      <c r="V374" s="2554"/>
      <c r="W374" s="2554"/>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2322</v>
      </c>
      <c r="AP375" s="611">
        <f>SUM(AP368:AP373)</f>
        <v>0</v>
      </c>
      <c r="AQ375" s="2468">
        <f>IF(AP375&gt;0,AP375,0)</f>
        <v>0</v>
      </c>
      <c r="AR375" s="2468"/>
    </row>
    <row r="376" spans="1:81" s="450" customFormat="1" ht="12.75" customHeight="1">
      <c r="A376" s="503"/>
      <c r="B376" s="13"/>
      <c r="C376" s="612" t="s">
        <v>2327</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2146</v>
      </c>
      <c r="F377" s="2449" t="s">
        <v>2328</v>
      </c>
      <c r="G377" s="2449"/>
      <c r="H377" s="2449"/>
      <c r="I377" s="2449"/>
      <c r="J377" s="2449"/>
      <c r="K377" s="2449"/>
      <c r="L377" s="2449"/>
      <c r="M377" s="2449"/>
      <c r="N377" s="2449"/>
      <c r="O377" s="2449"/>
      <c r="P377" s="2449"/>
      <c r="Q377" s="2449"/>
      <c r="R377" s="2449"/>
      <c r="S377" s="2449"/>
      <c r="T377" s="2449"/>
      <c r="U377" s="2449"/>
      <c r="V377" s="2449"/>
      <c r="W377" s="2449"/>
      <c r="X377" s="2449"/>
      <c r="Y377" s="2449"/>
      <c r="Z377" s="2449"/>
      <c r="AA377" s="2449"/>
      <c r="AB377" s="2449"/>
      <c r="AC377" s="2449"/>
      <c r="AD377" s="2449"/>
      <c r="AE377" s="2449"/>
      <c r="AF377" s="2449"/>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50"/>
      <c r="G378" s="2450"/>
      <c r="H378" s="2450"/>
      <c r="I378" s="2450"/>
      <c r="J378" s="2450"/>
      <c r="K378" s="2450"/>
      <c r="L378" s="2450"/>
      <c r="M378" s="2450"/>
      <c r="N378" s="2450"/>
      <c r="O378" s="2450"/>
      <c r="P378" s="2450"/>
      <c r="Q378" s="2450"/>
      <c r="R378" s="2450"/>
      <c r="S378" s="2450"/>
      <c r="T378" s="2450"/>
      <c r="U378" s="2450"/>
      <c r="V378" s="2450"/>
      <c r="W378" s="2450"/>
      <c r="X378" s="2450"/>
      <c r="Y378" s="2450"/>
      <c r="Z378" s="2450"/>
      <c r="AA378" s="2450"/>
      <c r="AB378" s="2450"/>
      <c r="AC378" s="2450"/>
      <c r="AD378" s="2450"/>
      <c r="AE378" s="2450"/>
      <c r="AF378" s="2450"/>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50"/>
      <c r="G379" s="2450"/>
      <c r="H379" s="2450"/>
      <c r="I379" s="2450"/>
      <c r="J379" s="2450"/>
      <c r="K379" s="2450"/>
      <c r="L379" s="2450"/>
      <c r="M379" s="2450"/>
      <c r="N379" s="2450"/>
      <c r="O379" s="2450"/>
      <c r="P379" s="2450"/>
      <c r="Q379" s="2450"/>
      <c r="R379" s="2450"/>
      <c r="S379" s="2450"/>
      <c r="T379" s="2450"/>
      <c r="U379" s="2450"/>
      <c r="V379" s="2450"/>
      <c r="W379" s="2450"/>
      <c r="X379" s="2450"/>
      <c r="Y379" s="2450"/>
      <c r="Z379" s="2450"/>
      <c r="AA379" s="2450"/>
      <c r="AB379" s="2450"/>
      <c r="AC379" s="2450"/>
      <c r="AD379" s="2450"/>
      <c r="AE379" s="2450"/>
      <c r="AF379" s="2450"/>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50"/>
      <c r="G380" s="2450"/>
      <c r="H380" s="2450"/>
      <c r="I380" s="2450"/>
      <c r="J380" s="2450"/>
      <c r="K380" s="2450"/>
      <c r="L380" s="2450"/>
      <c r="M380" s="2450"/>
      <c r="N380" s="2450"/>
      <c r="O380" s="2450"/>
      <c r="P380" s="2450"/>
      <c r="Q380" s="2450"/>
      <c r="R380" s="2450"/>
      <c r="S380" s="2450"/>
      <c r="T380" s="2450"/>
      <c r="U380" s="2450"/>
      <c r="V380" s="2450"/>
      <c r="W380" s="2450"/>
      <c r="X380" s="2450"/>
      <c r="Y380" s="2450"/>
      <c r="Z380" s="2450"/>
      <c r="AA380" s="2450"/>
      <c r="AB380" s="2450"/>
      <c r="AC380" s="2450"/>
      <c r="AD380" s="2450"/>
      <c r="AE380" s="2450"/>
      <c r="AF380" s="2450"/>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46" t="s">
        <v>843</v>
      </c>
      <c r="D381" s="2403"/>
      <c r="E381" s="619"/>
      <c r="F381" s="621" t="s">
        <v>2329</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47" t="s">
        <v>2330</v>
      </c>
      <c r="AG381" s="2447"/>
      <c r="AH381" s="2447"/>
      <c r="AI381" s="2447"/>
      <c r="AJ381" s="2447"/>
      <c r="AK381" s="2447"/>
      <c r="AL381" s="2448"/>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2149</v>
      </c>
      <c r="F384" s="2449" t="s">
        <v>2331</v>
      </c>
      <c r="G384" s="2449"/>
      <c r="H384" s="2449"/>
      <c r="I384" s="2449"/>
      <c r="J384" s="2449"/>
      <c r="K384" s="2449"/>
      <c r="L384" s="2449"/>
      <c r="M384" s="2449"/>
      <c r="N384" s="2449"/>
      <c r="O384" s="2449"/>
      <c r="P384" s="2449"/>
      <c r="Q384" s="2449"/>
      <c r="R384" s="2449"/>
      <c r="S384" s="2449"/>
      <c r="T384" s="2449"/>
      <c r="U384" s="2449"/>
      <c r="V384" s="2449"/>
      <c r="W384" s="2449"/>
      <c r="X384" s="2449"/>
      <c r="Y384" s="2449"/>
      <c r="Z384" s="2449"/>
      <c r="AA384" s="2449"/>
      <c r="AB384" s="2449"/>
      <c r="AC384" s="2449"/>
      <c r="AD384" s="2449"/>
      <c r="AE384" s="2449"/>
      <c r="AF384" s="2449"/>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50"/>
      <c r="G385" s="2450"/>
      <c r="H385" s="2450"/>
      <c r="I385" s="2450"/>
      <c r="J385" s="2450"/>
      <c r="K385" s="2450"/>
      <c r="L385" s="2450"/>
      <c r="M385" s="2450"/>
      <c r="N385" s="2450"/>
      <c r="O385" s="2450"/>
      <c r="P385" s="2450"/>
      <c r="Q385" s="2450"/>
      <c r="R385" s="2450"/>
      <c r="S385" s="2450"/>
      <c r="T385" s="2450"/>
      <c r="U385" s="2450"/>
      <c r="V385" s="2450"/>
      <c r="W385" s="2450"/>
      <c r="X385" s="2450"/>
      <c r="Y385" s="2450"/>
      <c r="Z385" s="2450"/>
      <c r="AA385" s="2450"/>
      <c r="AB385" s="2450"/>
      <c r="AC385" s="2450"/>
      <c r="AD385" s="2450"/>
      <c r="AE385" s="2450"/>
      <c r="AF385" s="2450"/>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50"/>
      <c r="G386" s="2450"/>
      <c r="H386" s="2450"/>
      <c r="I386" s="2450"/>
      <c r="J386" s="2450"/>
      <c r="K386" s="2450"/>
      <c r="L386" s="2450"/>
      <c r="M386" s="2450"/>
      <c r="N386" s="2450"/>
      <c r="O386" s="2450"/>
      <c r="P386" s="2450"/>
      <c r="Q386" s="2450"/>
      <c r="R386" s="2450"/>
      <c r="S386" s="2450"/>
      <c r="T386" s="2450"/>
      <c r="U386" s="2450"/>
      <c r="V386" s="2450"/>
      <c r="W386" s="2450"/>
      <c r="X386" s="2450"/>
      <c r="Y386" s="2450"/>
      <c r="Z386" s="2450"/>
      <c r="AA386" s="2450"/>
      <c r="AB386" s="2450"/>
      <c r="AC386" s="2450"/>
      <c r="AD386" s="2450"/>
      <c r="AE386" s="2450"/>
      <c r="AF386" s="2450"/>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50"/>
      <c r="G387" s="2450"/>
      <c r="H387" s="2450"/>
      <c r="I387" s="2450"/>
      <c r="J387" s="2450"/>
      <c r="K387" s="2450"/>
      <c r="L387" s="2450"/>
      <c r="M387" s="2450"/>
      <c r="N387" s="2450"/>
      <c r="O387" s="2450"/>
      <c r="P387" s="2450"/>
      <c r="Q387" s="2450"/>
      <c r="R387" s="2450"/>
      <c r="S387" s="2450"/>
      <c r="T387" s="2450"/>
      <c r="U387" s="2450"/>
      <c r="V387" s="2450"/>
      <c r="W387" s="2450"/>
      <c r="X387" s="2450"/>
      <c r="Y387" s="2450"/>
      <c r="Z387" s="2450"/>
      <c r="AA387" s="2450"/>
      <c r="AB387" s="2450"/>
      <c r="AC387" s="2450"/>
      <c r="AD387" s="2450"/>
      <c r="AE387" s="2450"/>
      <c r="AF387" s="2450"/>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50"/>
      <c r="G388" s="2450"/>
      <c r="H388" s="2450"/>
      <c r="I388" s="2450"/>
      <c r="J388" s="2450"/>
      <c r="K388" s="2450"/>
      <c r="L388" s="2450"/>
      <c r="M388" s="2450"/>
      <c r="N388" s="2450"/>
      <c r="O388" s="2450"/>
      <c r="P388" s="2450"/>
      <c r="Q388" s="2450"/>
      <c r="R388" s="2450"/>
      <c r="S388" s="2450"/>
      <c r="T388" s="2450"/>
      <c r="U388" s="2450"/>
      <c r="V388" s="2450"/>
      <c r="W388" s="2450"/>
      <c r="X388" s="2450"/>
      <c r="Y388" s="2450"/>
      <c r="Z388" s="2450"/>
      <c r="AA388" s="2450"/>
      <c r="AB388" s="2450"/>
      <c r="AC388" s="2450"/>
      <c r="AD388" s="2450"/>
      <c r="AE388" s="2450"/>
      <c r="AF388" s="2450"/>
      <c r="AL388" s="632"/>
      <c r="AN388" s="497"/>
      <c r="BS388" s="25"/>
      <c r="BT388" s="25"/>
      <c r="BU388" s="13"/>
      <c r="BV388" s="13"/>
      <c r="BW388" s="13"/>
      <c r="BX388" s="13"/>
      <c r="BY388" s="13"/>
      <c r="BZ388" s="13"/>
      <c r="CA388" s="13"/>
      <c r="CB388" s="13"/>
      <c r="CC388" s="13"/>
    </row>
    <row r="389" spans="1:81" s="450" customFormat="1" ht="12.75" customHeight="1">
      <c r="A389" s="436"/>
      <c r="B389" s="13"/>
      <c r="C389" s="2446" t="s">
        <v>807</v>
      </c>
      <c r="D389" s="2403"/>
      <c r="E389" s="591"/>
      <c r="F389" s="621" t="s">
        <v>2332</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47" t="s">
        <v>2330</v>
      </c>
      <c r="AG389" s="2447"/>
      <c r="AH389" s="2447"/>
      <c r="AI389" s="2447"/>
      <c r="AJ389" s="2447"/>
      <c r="AK389" s="2447"/>
      <c r="AL389" s="2448"/>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2155</v>
      </c>
      <c r="F392" s="2449" t="s">
        <v>2333</v>
      </c>
      <c r="G392" s="2449"/>
      <c r="H392" s="2449"/>
      <c r="I392" s="2449"/>
      <c r="J392" s="2449"/>
      <c r="K392" s="2449"/>
      <c r="L392" s="2449"/>
      <c r="M392" s="2449"/>
      <c r="N392" s="2449"/>
      <c r="O392" s="2449"/>
      <c r="P392" s="2449"/>
      <c r="Q392" s="2449"/>
      <c r="R392" s="2449"/>
      <c r="S392" s="2449"/>
      <c r="T392" s="2449"/>
      <c r="U392" s="2449"/>
      <c r="V392" s="2449"/>
      <c r="W392" s="2449"/>
      <c r="X392" s="2449"/>
      <c r="Y392" s="2449"/>
      <c r="Z392" s="2449"/>
      <c r="AA392" s="2449"/>
      <c r="AB392" s="2449"/>
      <c r="AC392" s="2449"/>
      <c r="AD392" s="2449"/>
      <c r="AE392" s="2449"/>
      <c r="AF392" s="2449"/>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50"/>
      <c r="G393" s="2450"/>
      <c r="H393" s="2450"/>
      <c r="I393" s="2450"/>
      <c r="J393" s="2450"/>
      <c r="K393" s="2450"/>
      <c r="L393" s="2450"/>
      <c r="M393" s="2450"/>
      <c r="N393" s="2450"/>
      <c r="O393" s="2450"/>
      <c r="P393" s="2450"/>
      <c r="Q393" s="2450"/>
      <c r="R393" s="2450"/>
      <c r="S393" s="2450"/>
      <c r="T393" s="2450"/>
      <c r="U393" s="2450"/>
      <c r="V393" s="2450"/>
      <c r="W393" s="2450"/>
      <c r="X393" s="2450"/>
      <c r="Y393" s="2450"/>
      <c r="Z393" s="2450"/>
      <c r="AA393" s="2450"/>
      <c r="AB393" s="2450"/>
      <c r="AC393" s="2450"/>
      <c r="AD393" s="2450"/>
      <c r="AE393" s="2450"/>
      <c r="AF393" s="2450"/>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50"/>
      <c r="G394" s="2450"/>
      <c r="H394" s="2450"/>
      <c r="I394" s="2450"/>
      <c r="J394" s="2450"/>
      <c r="K394" s="2450"/>
      <c r="L394" s="2450"/>
      <c r="M394" s="2450"/>
      <c r="N394" s="2450"/>
      <c r="O394" s="2450"/>
      <c r="P394" s="2450"/>
      <c r="Q394" s="2450"/>
      <c r="R394" s="2450"/>
      <c r="S394" s="2450"/>
      <c r="T394" s="2450"/>
      <c r="U394" s="2450"/>
      <c r="V394" s="2450"/>
      <c r="W394" s="2450"/>
      <c r="X394" s="2450"/>
      <c r="Y394" s="2450"/>
      <c r="Z394" s="2450"/>
      <c r="AA394" s="2450"/>
      <c r="AB394" s="2450"/>
      <c r="AC394" s="2450"/>
      <c r="AD394" s="2450"/>
      <c r="AE394" s="2450"/>
      <c r="AF394" s="2450"/>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50"/>
      <c r="G395" s="2450"/>
      <c r="H395" s="2450"/>
      <c r="I395" s="2450"/>
      <c r="J395" s="2450"/>
      <c r="K395" s="2450"/>
      <c r="L395" s="2450"/>
      <c r="M395" s="2450"/>
      <c r="N395" s="2450"/>
      <c r="O395" s="2450"/>
      <c r="P395" s="2450"/>
      <c r="Q395" s="2450"/>
      <c r="R395" s="2450"/>
      <c r="S395" s="2450"/>
      <c r="T395" s="2450"/>
      <c r="U395" s="2450"/>
      <c r="V395" s="2450"/>
      <c r="W395" s="2450"/>
      <c r="X395" s="2450"/>
      <c r="Y395" s="2450"/>
      <c r="Z395" s="2450"/>
      <c r="AA395" s="2450"/>
      <c r="AB395" s="2450"/>
      <c r="AC395" s="2450"/>
      <c r="AD395" s="2450"/>
      <c r="AE395" s="2450"/>
      <c r="AF395" s="2450"/>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50"/>
      <c r="G396" s="2450"/>
      <c r="H396" s="2450"/>
      <c r="I396" s="2450"/>
      <c r="J396" s="2450"/>
      <c r="K396" s="2450"/>
      <c r="L396" s="2450"/>
      <c r="M396" s="2450"/>
      <c r="N396" s="2450"/>
      <c r="O396" s="2450"/>
      <c r="P396" s="2450"/>
      <c r="Q396" s="2450"/>
      <c r="R396" s="2450"/>
      <c r="S396" s="2450"/>
      <c r="T396" s="2450"/>
      <c r="U396" s="2450"/>
      <c r="V396" s="2450"/>
      <c r="W396" s="2450"/>
      <c r="X396" s="2450"/>
      <c r="Y396" s="2450"/>
      <c r="Z396" s="2450"/>
      <c r="AA396" s="2450"/>
      <c r="AB396" s="2450"/>
      <c r="AC396" s="2450"/>
      <c r="AD396" s="2450"/>
      <c r="AE396" s="2450"/>
      <c r="AF396" s="2450"/>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46" t="s">
        <v>807</v>
      </c>
      <c r="D397" s="2403"/>
      <c r="E397" s="591"/>
      <c r="F397" s="621" t="s">
        <v>2334</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47" t="s">
        <v>2335</v>
      </c>
      <c r="AG397" s="2447"/>
      <c r="AH397" s="2447"/>
      <c r="AI397" s="2447"/>
      <c r="AJ397" s="2447"/>
      <c r="AK397" s="2447"/>
      <c r="AL397" s="2448"/>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46" t="s">
        <v>843</v>
      </c>
      <c r="D399" s="2403"/>
      <c r="E399" s="591"/>
      <c r="F399" s="638" t="s">
        <v>2336</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47" t="s">
        <v>2330</v>
      </c>
      <c r="AG399" s="2447"/>
      <c r="AH399" s="2447"/>
      <c r="AI399" s="2447"/>
      <c r="AJ399" s="2447"/>
      <c r="AK399" s="2447"/>
      <c r="AL399" s="2448"/>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2337</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2338</v>
      </c>
      <c r="F403" s="2449" t="s">
        <v>2339</v>
      </c>
      <c r="G403" s="2449"/>
      <c r="H403" s="2449"/>
      <c r="I403" s="2449"/>
      <c r="J403" s="2449"/>
      <c r="K403" s="2449"/>
      <c r="L403" s="2449"/>
      <c r="M403" s="2449"/>
      <c r="N403" s="2449"/>
      <c r="O403" s="2449"/>
      <c r="P403" s="2449"/>
      <c r="Q403" s="2449"/>
      <c r="R403" s="2449"/>
      <c r="S403" s="2449"/>
      <c r="T403" s="2449"/>
      <c r="U403" s="2449"/>
      <c r="V403" s="2449"/>
      <c r="W403" s="2449"/>
      <c r="X403" s="2449"/>
      <c r="Y403" s="2449"/>
      <c r="Z403" s="2449"/>
      <c r="AA403" s="2449"/>
      <c r="AB403" s="2449"/>
      <c r="AC403" s="2449"/>
      <c r="AD403" s="2449"/>
      <c r="AE403" s="2449"/>
      <c r="AF403" s="2449"/>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50"/>
      <c r="G404" s="2450"/>
      <c r="H404" s="2450"/>
      <c r="I404" s="2450"/>
      <c r="J404" s="2450"/>
      <c r="K404" s="2450"/>
      <c r="L404" s="2450"/>
      <c r="M404" s="2450"/>
      <c r="N404" s="2450"/>
      <c r="O404" s="2450"/>
      <c r="P404" s="2450"/>
      <c r="Q404" s="2450"/>
      <c r="R404" s="2450"/>
      <c r="S404" s="2450"/>
      <c r="T404" s="2450"/>
      <c r="U404" s="2450"/>
      <c r="V404" s="2450"/>
      <c r="W404" s="2450"/>
      <c r="X404" s="2450"/>
      <c r="Y404" s="2450"/>
      <c r="Z404" s="2450"/>
      <c r="AA404" s="2450"/>
      <c r="AB404" s="2450"/>
      <c r="AC404" s="2450"/>
      <c r="AD404" s="2450"/>
      <c r="AE404" s="2450"/>
      <c r="AF404" s="2450"/>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450"/>
      <c r="G405" s="2450"/>
      <c r="H405" s="2450"/>
      <c r="I405" s="2450"/>
      <c r="J405" s="2450"/>
      <c r="K405" s="2450"/>
      <c r="L405" s="2450"/>
      <c r="M405" s="2450"/>
      <c r="N405" s="2450"/>
      <c r="O405" s="2450"/>
      <c r="P405" s="2450"/>
      <c r="Q405" s="2450"/>
      <c r="R405" s="2450"/>
      <c r="S405" s="2450"/>
      <c r="T405" s="2450"/>
      <c r="U405" s="2450"/>
      <c r="V405" s="2450"/>
      <c r="W405" s="2450"/>
      <c r="X405" s="2450"/>
      <c r="Y405" s="2450"/>
      <c r="Z405" s="2450"/>
      <c r="AA405" s="2450"/>
      <c r="AB405" s="2450"/>
      <c r="AC405" s="2450"/>
      <c r="AD405" s="2450"/>
      <c r="AE405" s="2450"/>
      <c r="AF405" s="2450"/>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50"/>
      <c r="G406" s="2450"/>
      <c r="H406" s="2450"/>
      <c r="I406" s="2450"/>
      <c r="J406" s="2450"/>
      <c r="K406" s="2450"/>
      <c r="L406" s="2450"/>
      <c r="M406" s="2450"/>
      <c r="N406" s="2450"/>
      <c r="O406" s="2450"/>
      <c r="P406" s="2450"/>
      <c r="Q406" s="2450"/>
      <c r="R406" s="2450"/>
      <c r="S406" s="2450"/>
      <c r="T406" s="2450"/>
      <c r="U406" s="2450"/>
      <c r="V406" s="2450"/>
      <c r="W406" s="2450"/>
      <c r="X406" s="2450"/>
      <c r="Y406" s="2450"/>
      <c r="Z406" s="2450"/>
      <c r="AA406" s="2450"/>
      <c r="AB406" s="2450"/>
      <c r="AC406" s="2450"/>
      <c r="AD406" s="2450"/>
      <c r="AE406" s="2450"/>
      <c r="AF406" s="2450"/>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46" t="s">
        <v>807</v>
      </c>
      <c r="D407" s="2403"/>
      <c r="E407" s="591"/>
      <c r="F407" s="621" t="s">
        <v>2340</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47" t="s">
        <v>2330</v>
      </c>
      <c r="AG407" s="2447"/>
      <c r="AH407" s="2447"/>
      <c r="AI407" s="2447"/>
      <c r="AJ407" s="2447"/>
      <c r="AK407" s="2447"/>
      <c r="AL407" s="2448"/>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46" t="s">
        <v>807</v>
      </c>
      <c r="D409" s="2403"/>
      <c r="E409" s="619"/>
      <c r="F409" s="621" t="s">
        <v>2341</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47" t="s">
        <v>2342</v>
      </c>
      <c r="AG409" s="2447"/>
      <c r="AH409" s="2447"/>
      <c r="AI409" s="2447"/>
      <c r="AJ409" s="2447"/>
      <c r="AK409" s="2447"/>
      <c r="AL409" s="2448"/>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46" t="s">
        <v>807</v>
      </c>
      <c r="D412" s="2403"/>
      <c r="E412" s="615" t="s">
        <v>2343</v>
      </c>
      <c r="F412" s="2449" t="s">
        <v>2344</v>
      </c>
      <c r="G412" s="2449"/>
      <c r="H412" s="2449"/>
      <c r="I412" s="2449"/>
      <c r="J412" s="2449"/>
      <c r="K412" s="2449"/>
      <c r="L412" s="2449"/>
      <c r="M412" s="2449"/>
      <c r="N412" s="2449"/>
      <c r="O412" s="2449"/>
      <c r="P412" s="2449"/>
      <c r="Q412" s="2449"/>
      <c r="R412" s="2449"/>
      <c r="S412" s="2449"/>
      <c r="T412" s="2449"/>
      <c r="U412" s="2449"/>
      <c r="V412" s="2449"/>
      <c r="W412" s="2449"/>
      <c r="X412" s="2449"/>
      <c r="Y412" s="2449"/>
      <c r="Z412" s="2449"/>
      <c r="AA412" s="2449"/>
      <c r="AB412" s="2449"/>
      <c r="AC412" s="2449"/>
      <c r="AD412" s="2449"/>
      <c r="AE412" s="2449"/>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50"/>
      <c r="G413" s="2450"/>
      <c r="H413" s="2450"/>
      <c r="I413" s="2450"/>
      <c r="J413" s="2450"/>
      <c r="K413" s="2450"/>
      <c r="L413" s="2450"/>
      <c r="M413" s="2450"/>
      <c r="N413" s="2450"/>
      <c r="O413" s="2450"/>
      <c r="P413" s="2450"/>
      <c r="Q413" s="2450"/>
      <c r="R413" s="2450"/>
      <c r="S413" s="2450"/>
      <c r="T413" s="2450"/>
      <c r="U413" s="2450"/>
      <c r="V413" s="2450"/>
      <c r="W413" s="2450"/>
      <c r="X413" s="2450"/>
      <c r="Y413" s="2450"/>
      <c r="Z413" s="2450"/>
      <c r="AA413" s="2450"/>
      <c r="AB413" s="2450"/>
      <c r="AC413" s="2450"/>
      <c r="AD413" s="2450"/>
      <c r="AE413" s="2450"/>
      <c r="AF413" s="2371" t="s">
        <v>2330</v>
      </c>
      <c r="AG413" s="2371"/>
      <c r="AH413" s="2371"/>
      <c r="AI413" s="2371"/>
      <c r="AJ413" s="2371"/>
      <c r="AK413" s="2371"/>
      <c r="AL413" s="2451"/>
      <c r="AM413" s="470"/>
      <c r="AN413" s="497"/>
      <c r="BS413" s="470"/>
      <c r="BT413" s="470"/>
      <c r="BY413" s="470"/>
      <c r="BZ413" s="470"/>
      <c r="CA413" s="470"/>
      <c r="CB413" s="470"/>
      <c r="CC413" s="470"/>
    </row>
    <row r="414" spans="1:81" s="450" customFormat="1" ht="12.75" customHeight="1">
      <c r="A414" s="436"/>
      <c r="B414" s="13"/>
      <c r="C414" s="631"/>
      <c r="D414" s="13"/>
      <c r="E414" s="591"/>
      <c r="F414" s="2450"/>
      <c r="G414" s="2450"/>
      <c r="H414" s="2450"/>
      <c r="I414" s="2450"/>
      <c r="J414" s="2450"/>
      <c r="K414" s="2450"/>
      <c r="L414" s="2450"/>
      <c r="M414" s="2450"/>
      <c r="N414" s="2450"/>
      <c r="O414" s="2450"/>
      <c r="P414" s="2450"/>
      <c r="Q414" s="2450"/>
      <c r="R414" s="2450"/>
      <c r="S414" s="2450"/>
      <c r="T414" s="2450"/>
      <c r="U414" s="2450"/>
      <c r="V414" s="2450"/>
      <c r="W414" s="2450"/>
      <c r="X414" s="2450"/>
      <c r="Y414" s="2450"/>
      <c r="Z414" s="2450"/>
      <c r="AA414" s="2450"/>
      <c r="AB414" s="2450"/>
      <c r="AC414" s="2450"/>
      <c r="AD414" s="2450"/>
      <c r="AE414" s="2450"/>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69"/>
      <c r="G415" s="2469"/>
      <c r="H415" s="2469"/>
      <c r="I415" s="2469"/>
      <c r="J415" s="2469"/>
      <c r="K415" s="2469"/>
      <c r="L415" s="2469"/>
      <c r="M415" s="2469"/>
      <c r="N415" s="2469"/>
      <c r="O415" s="2469"/>
      <c r="P415" s="2469"/>
      <c r="Q415" s="2469"/>
      <c r="R415" s="2469"/>
      <c r="S415" s="2469"/>
      <c r="T415" s="2469"/>
      <c r="U415" s="2469"/>
      <c r="V415" s="2469"/>
      <c r="W415" s="2469"/>
      <c r="X415" s="2469"/>
      <c r="Y415" s="2469"/>
      <c r="Z415" s="2469"/>
      <c r="AA415" s="2469"/>
      <c r="AB415" s="2469"/>
      <c r="AC415" s="2469"/>
      <c r="AD415" s="2469"/>
      <c r="AE415" s="2469"/>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2345</v>
      </c>
      <c r="F417" s="2449" t="s">
        <v>2346</v>
      </c>
      <c r="G417" s="2449"/>
      <c r="H417" s="2449"/>
      <c r="I417" s="2449"/>
      <c r="J417" s="2449"/>
      <c r="K417" s="2449"/>
      <c r="L417" s="2449"/>
      <c r="M417" s="2449"/>
      <c r="N417" s="2449"/>
      <c r="O417" s="2449"/>
      <c r="P417" s="2449"/>
      <c r="Q417" s="2449"/>
      <c r="R417" s="2449"/>
      <c r="S417" s="2449"/>
      <c r="T417" s="2449"/>
      <c r="U417" s="2449"/>
      <c r="V417" s="2449"/>
      <c r="W417" s="2449"/>
      <c r="X417" s="2449"/>
      <c r="Y417" s="2449"/>
      <c r="Z417" s="2449"/>
      <c r="AA417" s="2449"/>
      <c r="AB417" s="2449"/>
      <c r="AC417" s="2449"/>
      <c r="AD417" s="2449"/>
      <c r="AE417" s="2449"/>
      <c r="AF417" s="647"/>
      <c r="AG417" s="647"/>
      <c r="AH417" s="647"/>
      <c r="AI417" s="647"/>
      <c r="AJ417" s="647"/>
      <c r="AK417" s="647"/>
      <c r="AL417" s="648"/>
      <c r="AM417" s="470"/>
    </row>
    <row r="418" spans="1:55">
      <c r="A418" s="436"/>
      <c r="C418" s="631"/>
      <c r="E418" s="591"/>
      <c r="F418" s="2450"/>
      <c r="G418" s="2450"/>
      <c r="H418" s="2450"/>
      <c r="I418" s="2450"/>
      <c r="J418" s="2450"/>
      <c r="K418" s="2450"/>
      <c r="L418" s="2450"/>
      <c r="M418" s="2450"/>
      <c r="N418" s="2450"/>
      <c r="O418" s="2450"/>
      <c r="P418" s="2450"/>
      <c r="Q418" s="2450"/>
      <c r="R418" s="2450"/>
      <c r="S418" s="2450"/>
      <c r="T418" s="2450"/>
      <c r="U418" s="2450"/>
      <c r="V418" s="2450"/>
      <c r="W418" s="2450"/>
      <c r="X418" s="2450"/>
      <c r="Y418" s="2450"/>
      <c r="Z418" s="2450"/>
      <c r="AA418" s="2450"/>
      <c r="AB418" s="2450"/>
      <c r="AC418" s="2450"/>
      <c r="AD418" s="2450"/>
      <c r="AE418" s="2450"/>
      <c r="AF418" s="439"/>
      <c r="AG418" s="436"/>
      <c r="AH418" s="450"/>
      <c r="AI418" s="450"/>
      <c r="AJ418" s="450"/>
      <c r="AK418" s="450"/>
      <c r="AL418" s="632"/>
      <c r="AM418" s="470"/>
    </row>
    <row r="419" spans="1:55" s="450" customFormat="1" ht="12.75" customHeight="1">
      <c r="A419" s="436"/>
      <c r="B419" s="13"/>
      <c r="C419" s="631"/>
      <c r="D419" s="13"/>
      <c r="E419" s="591"/>
      <c r="F419" s="2450"/>
      <c r="G419" s="2450"/>
      <c r="H419" s="2450"/>
      <c r="I419" s="2450"/>
      <c r="J419" s="2450"/>
      <c r="K419" s="2450"/>
      <c r="L419" s="2450"/>
      <c r="M419" s="2450"/>
      <c r="N419" s="2450"/>
      <c r="O419" s="2450"/>
      <c r="P419" s="2450"/>
      <c r="Q419" s="2450"/>
      <c r="R419" s="2450"/>
      <c r="S419" s="2450"/>
      <c r="T419" s="2450"/>
      <c r="U419" s="2450"/>
      <c r="V419" s="2450"/>
      <c r="W419" s="2450"/>
      <c r="X419" s="2450"/>
      <c r="Y419" s="2450"/>
      <c r="Z419" s="2450"/>
      <c r="AA419" s="2450"/>
      <c r="AB419" s="2450"/>
      <c r="AC419" s="2450"/>
      <c r="AD419" s="2450"/>
      <c r="AE419" s="2450"/>
      <c r="AL419" s="632"/>
      <c r="AM419" s="470"/>
      <c r="AN419" s="497"/>
    </row>
    <row r="420" spans="1:55" s="450" customFormat="1" ht="12.75" customHeight="1">
      <c r="A420" s="436"/>
      <c r="B420" s="13"/>
      <c r="C420" s="639"/>
      <c r="F420" s="2450"/>
      <c r="G420" s="2450"/>
      <c r="H420" s="2450"/>
      <c r="I420" s="2450"/>
      <c r="J420" s="2450"/>
      <c r="K420" s="2450"/>
      <c r="L420" s="2450"/>
      <c r="M420" s="2450"/>
      <c r="N420" s="2450"/>
      <c r="O420" s="2450"/>
      <c r="P420" s="2450"/>
      <c r="Q420" s="2450"/>
      <c r="R420" s="2450"/>
      <c r="S420" s="2450"/>
      <c r="T420" s="2450"/>
      <c r="U420" s="2450"/>
      <c r="V420" s="2450"/>
      <c r="W420" s="2450"/>
      <c r="X420" s="2450"/>
      <c r="Y420" s="2450"/>
      <c r="Z420" s="2450"/>
      <c r="AA420" s="2450"/>
      <c r="AB420" s="2450"/>
      <c r="AC420" s="2450"/>
      <c r="AD420" s="2450"/>
      <c r="AE420" s="2450"/>
      <c r="AL420" s="632"/>
      <c r="AM420" s="470"/>
      <c r="AN420" s="497"/>
    </row>
    <row r="421" spans="1:55" s="450" customFormat="1" ht="12.75" customHeight="1">
      <c r="A421" s="436"/>
      <c r="B421" s="13"/>
      <c r="C421" s="2446" t="s">
        <v>807</v>
      </c>
      <c r="D421" s="2403"/>
      <c r="E421" s="591"/>
      <c r="F421" s="621" t="s">
        <v>2347</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71" t="s">
        <v>2330</v>
      </c>
      <c r="AG421" s="2371"/>
      <c r="AH421" s="2371"/>
      <c r="AI421" s="2371"/>
      <c r="AJ421" s="2371"/>
      <c r="AK421" s="2371"/>
      <c r="AL421" s="2451"/>
      <c r="AM421" s="470"/>
      <c r="AN421" s="497"/>
    </row>
    <row r="422" spans="1:55" s="450" customFormat="1" ht="12.75" customHeight="1">
      <c r="A422" s="436"/>
      <c r="B422" s="13"/>
      <c r="C422" s="639"/>
      <c r="AL422" s="632"/>
      <c r="AM422" s="470"/>
      <c r="AN422" s="497"/>
    </row>
    <row r="423" spans="1:55" s="450" customFormat="1" ht="12.75" customHeight="1">
      <c r="A423" s="436"/>
      <c r="B423" s="13"/>
      <c r="C423" s="2446" t="s">
        <v>807</v>
      </c>
      <c r="D423" s="2403"/>
      <c r="E423" s="619"/>
      <c r="F423" s="621" t="s">
        <v>2348</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71" t="s">
        <v>2342</v>
      </c>
      <c r="AG423" s="2371"/>
      <c r="AH423" s="2371"/>
      <c r="AI423" s="2371"/>
      <c r="AJ423" s="2371"/>
      <c r="AK423" s="2371"/>
      <c r="AL423" s="2451"/>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2349</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2350</v>
      </c>
      <c r="F427" s="2449" t="s">
        <v>2351</v>
      </c>
      <c r="G427" s="2449"/>
      <c r="H427" s="2449"/>
      <c r="I427" s="2449"/>
      <c r="J427" s="2449"/>
      <c r="K427" s="2449"/>
      <c r="L427" s="2449"/>
      <c r="M427" s="2449"/>
      <c r="N427" s="2449"/>
      <c r="O427" s="2449"/>
      <c r="P427" s="2449"/>
      <c r="Q427" s="2449"/>
      <c r="R427" s="2449"/>
      <c r="S427" s="2449"/>
      <c r="T427" s="2449"/>
      <c r="U427" s="2449"/>
      <c r="V427" s="2449"/>
      <c r="W427" s="2449"/>
      <c r="X427" s="2449"/>
      <c r="Y427" s="2449"/>
      <c r="Z427" s="2449"/>
      <c r="AA427" s="2449"/>
      <c r="AB427" s="2449"/>
      <c r="AC427" s="2449"/>
      <c r="AD427" s="2449"/>
      <c r="AE427" s="2449"/>
      <c r="AF427" s="614"/>
      <c r="AG427" s="614"/>
      <c r="AH427" s="614"/>
      <c r="AI427" s="614"/>
      <c r="AJ427" s="614"/>
      <c r="AK427" s="614"/>
      <c r="AL427" s="645"/>
      <c r="AM427" s="470"/>
      <c r="AN427" s="497"/>
    </row>
    <row r="428" spans="1:55" s="450" customFormat="1" ht="12.75" customHeight="1">
      <c r="A428" s="436"/>
      <c r="B428" s="13"/>
      <c r="C428" s="631"/>
      <c r="D428" s="13"/>
      <c r="E428" s="591"/>
      <c r="F428" s="2450"/>
      <c r="G428" s="2450"/>
      <c r="H428" s="2450"/>
      <c r="I428" s="2450"/>
      <c r="J428" s="2450"/>
      <c r="K428" s="2450"/>
      <c r="L428" s="2450"/>
      <c r="M428" s="2450"/>
      <c r="N428" s="2450"/>
      <c r="O428" s="2450"/>
      <c r="P428" s="2450"/>
      <c r="Q428" s="2450"/>
      <c r="R428" s="2450"/>
      <c r="S428" s="2450"/>
      <c r="T428" s="2450"/>
      <c r="U428" s="2450"/>
      <c r="V428" s="2450"/>
      <c r="W428" s="2450"/>
      <c r="X428" s="2450"/>
      <c r="Y428" s="2450"/>
      <c r="Z428" s="2450"/>
      <c r="AA428" s="2450"/>
      <c r="AB428" s="2450"/>
      <c r="AC428" s="2450"/>
      <c r="AD428" s="2450"/>
      <c r="AE428" s="2450"/>
      <c r="AF428" s="439"/>
      <c r="AG428" s="436"/>
      <c r="AL428" s="632"/>
      <c r="AM428" s="470"/>
      <c r="AN428" s="497"/>
    </row>
    <row r="429" spans="1:55" s="450" customFormat="1" ht="12.4" customHeight="1">
      <c r="A429" s="436"/>
      <c r="B429" s="13"/>
      <c r="C429" s="631"/>
      <c r="D429" s="13"/>
      <c r="E429" s="591"/>
      <c r="F429" s="2450"/>
      <c r="G429" s="2450"/>
      <c r="H429" s="2450"/>
      <c r="I429" s="2450"/>
      <c r="J429" s="2450"/>
      <c r="K429" s="2450"/>
      <c r="L429" s="2450"/>
      <c r="M429" s="2450"/>
      <c r="N429" s="2450"/>
      <c r="O429" s="2450"/>
      <c r="P429" s="2450"/>
      <c r="Q429" s="2450"/>
      <c r="R429" s="2450"/>
      <c r="S429" s="2450"/>
      <c r="T429" s="2450"/>
      <c r="U429" s="2450"/>
      <c r="V429" s="2450"/>
      <c r="W429" s="2450"/>
      <c r="X429" s="2450"/>
      <c r="Y429" s="2450"/>
      <c r="Z429" s="2450"/>
      <c r="AA429" s="2450"/>
      <c r="AB429" s="2450"/>
      <c r="AC429" s="2450"/>
      <c r="AD429" s="2450"/>
      <c r="AE429" s="2450"/>
      <c r="AL429" s="632"/>
      <c r="AM429" s="470"/>
      <c r="AN429" s="497"/>
    </row>
    <row r="430" spans="1:55" s="450" customFormat="1" ht="12.75" customHeight="1">
      <c r="A430" s="436"/>
      <c r="B430" s="13"/>
      <c r="C430" s="2446" t="s">
        <v>807</v>
      </c>
      <c r="D430" s="2403"/>
      <c r="E430" s="591"/>
      <c r="F430" s="621" t="s">
        <v>2352</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71" t="s">
        <v>2330</v>
      </c>
      <c r="AG430" s="2371"/>
      <c r="AH430" s="2371"/>
      <c r="AI430" s="2371"/>
      <c r="AJ430" s="2371"/>
      <c r="AK430" s="2371"/>
      <c r="AL430" s="2451"/>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15" customHeight="1">
      <c r="A433" s="436"/>
      <c r="C433" s="646"/>
      <c r="D433" s="647"/>
      <c r="E433" s="615" t="s">
        <v>2353</v>
      </c>
      <c r="F433" s="2449" t="s">
        <v>2354</v>
      </c>
      <c r="G433" s="2449"/>
      <c r="H433" s="2449"/>
      <c r="I433" s="2449"/>
      <c r="J433" s="2449"/>
      <c r="K433" s="2449"/>
      <c r="L433" s="2449"/>
      <c r="M433" s="2449"/>
      <c r="N433" s="2449"/>
      <c r="O433" s="2449"/>
      <c r="P433" s="2449"/>
      <c r="Q433" s="2449"/>
      <c r="R433" s="2449"/>
      <c r="S433" s="2449"/>
      <c r="T433" s="2449"/>
      <c r="U433" s="2449"/>
      <c r="V433" s="2449"/>
      <c r="W433" s="2449"/>
      <c r="X433" s="2449"/>
      <c r="Y433" s="2449"/>
      <c r="Z433" s="2449"/>
      <c r="AA433" s="2449"/>
      <c r="AB433" s="2449"/>
      <c r="AC433" s="2449"/>
      <c r="AD433" s="2449"/>
      <c r="AE433" s="2449"/>
      <c r="AF433" s="647"/>
      <c r="AG433" s="647"/>
      <c r="AH433" s="647"/>
      <c r="AI433" s="647"/>
      <c r="AJ433" s="647"/>
      <c r="AK433" s="647"/>
      <c r="AL433" s="648"/>
      <c r="AM433" s="470"/>
      <c r="AO433" s="450"/>
      <c r="AP433" s="450"/>
      <c r="BD433" s="13"/>
      <c r="BE433" s="13"/>
      <c r="BF433" s="13"/>
      <c r="BG433" s="13"/>
      <c r="BH433" s="13"/>
    </row>
    <row r="434" spans="1:60">
      <c r="A434" s="436"/>
      <c r="C434" s="631"/>
      <c r="E434" s="591"/>
      <c r="F434" s="2450"/>
      <c r="G434" s="2450"/>
      <c r="H434" s="2450"/>
      <c r="I434" s="2450"/>
      <c r="J434" s="2450"/>
      <c r="K434" s="2450"/>
      <c r="L434" s="2450"/>
      <c r="M434" s="2450"/>
      <c r="N434" s="2450"/>
      <c r="O434" s="2450"/>
      <c r="P434" s="2450"/>
      <c r="Q434" s="2450"/>
      <c r="R434" s="2450"/>
      <c r="S434" s="2450"/>
      <c r="T434" s="2450"/>
      <c r="U434" s="2450"/>
      <c r="V434" s="2450"/>
      <c r="W434" s="2450"/>
      <c r="X434" s="2450"/>
      <c r="Y434" s="2450"/>
      <c r="Z434" s="2450"/>
      <c r="AA434" s="2450"/>
      <c r="AB434" s="2450"/>
      <c r="AC434" s="2450"/>
      <c r="AD434" s="2450"/>
      <c r="AE434" s="2450"/>
      <c r="AF434" s="494"/>
      <c r="AG434" s="494"/>
      <c r="AH434" s="494"/>
      <c r="AI434" s="494"/>
      <c r="AJ434" s="494"/>
      <c r="AK434" s="494"/>
      <c r="AL434" s="650"/>
      <c r="AM434" s="470"/>
      <c r="AO434" s="450"/>
      <c r="AP434" s="450"/>
    </row>
    <row r="435" spans="1:60" s="450" customFormat="1" ht="12.75" customHeight="1">
      <c r="A435" s="436"/>
      <c r="B435" s="13"/>
      <c r="C435" s="631"/>
      <c r="D435" s="13"/>
      <c r="E435" s="591"/>
      <c r="F435" s="2450"/>
      <c r="G435" s="2450"/>
      <c r="H435" s="2450"/>
      <c r="I435" s="2450"/>
      <c r="J435" s="2450"/>
      <c r="K435" s="2450"/>
      <c r="L435" s="2450"/>
      <c r="M435" s="2450"/>
      <c r="N435" s="2450"/>
      <c r="O435" s="2450"/>
      <c r="P435" s="2450"/>
      <c r="Q435" s="2450"/>
      <c r="R435" s="2450"/>
      <c r="S435" s="2450"/>
      <c r="T435" s="2450"/>
      <c r="U435" s="2450"/>
      <c r="V435" s="2450"/>
      <c r="W435" s="2450"/>
      <c r="X435" s="2450"/>
      <c r="Y435" s="2450"/>
      <c r="Z435" s="2450"/>
      <c r="AA435" s="2450"/>
      <c r="AB435" s="2450"/>
      <c r="AC435" s="2450"/>
      <c r="AD435" s="2450"/>
      <c r="AE435" s="2450"/>
      <c r="AF435" s="494"/>
      <c r="AG435" s="494"/>
      <c r="AH435" s="494"/>
      <c r="AI435" s="494"/>
      <c r="AJ435" s="494"/>
      <c r="AK435" s="494"/>
      <c r="AL435" s="650"/>
      <c r="AM435" s="470"/>
      <c r="AN435" s="497"/>
    </row>
    <row r="436" spans="1:60" s="450" customFormat="1" ht="12.75" customHeight="1">
      <c r="A436" s="436"/>
      <c r="B436" s="13"/>
      <c r="C436" s="651"/>
      <c r="D436" s="630"/>
      <c r="E436" s="619"/>
      <c r="F436" s="2450"/>
      <c r="G436" s="2450"/>
      <c r="H436" s="2450"/>
      <c r="I436" s="2450"/>
      <c r="J436" s="2450"/>
      <c r="K436" s="2450"/>
      <c r="L436" s="2450"/>
      <c r="M436" s="2450"/>
      <c r="N436" s="2450"/>
      <c r="O436" s="2450"/>
      <c r="P436" s="2450"/>
      <c r="Q436" s="2450"/>
      <c r="R436" s="2450"/>
      <c r="S436" s="2450"/>
      <c r="T436" s="2450"/>
      <c r="U436" s="2450"/>
      <c r="V436" s="2450"/>
      <c r="W436" s="2450"/>
      <c r="X436" s="2450"/>
      <c r="Y436" s="2450"/>
      <c r="Z436" s="2450"/>
      <c r="AA436" s="2450"/>
      <c r="AB436" s="2450"/>
      <c r="AC436" s="2450"/>
      <c r="AD436" s="2450"/>
      <c r="AE436" s="2450"/>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50"/>
      <c r="G437" s="2450"/>
      <c r="H437" s="2450"/>
      <c r="I437" s="2450"/>
      <c r="J437" s="2450"/>
      <c r="K437" s="2450"/>
      <c r="L437" s="2450"/>
      <c r="M437" s="2450"/>
      <c r="N437" s="2450"/>
      <c r="O437" s="2450"/>
      <c r="P437" s="2450"/>
      <c r="Q437" s="2450"/>
      <c r="R437" s="2450"/>
      <c r="S437" s="2450"/>
      <c r="T437" s="2450"/>
      <c r="U437" s="2450"/>
      <c r="V437" s="2450"/>
      <c r="W437" s="2450"/>
      <c r="X437" s="2450"/>
      <c r="Y437" s="2450"/>
      <c r="Z437" s="2450"/>
      <c r="AA437" s="2450"/>
      <c r="AB437" s="2450"/>
      <c r="AC437" s="2450"/>
      <c r="AD437" s="2450"/>
      <c r="AE437" s="2450"/>
      <c r="AF437" s="494"/>
      <c r="AG437" s="494"/>
      <c r="AH437" s="494"/>
      <c r="AI437" s="494"/>
      <c r="AJ437" s="494"/>
      <c r="AK437" s="494"/>
      <c r="AL437" s="650"/>
      <c r="AM437" s="470"/>
      <c r="AN437" s="497"/>
    </row>
    <row r="438" spans="1:60" s="450" customFormat="1" ht="12.75" customHeight="1">
      <c r="A438" s="436"/>
      <c r="B438" s="13"/>
      <c r="C438" s="651"/>
      <c r="D438" s="630"/>
      <c r="E438" s="619"/>
      <c r="F438" s="2450"/>
      <c r="G438" s="2450"/>
      <c r="H438" s="2450"/>
      <c r="I438" s="2450"/>
      <c r="J438" s="2450"/>
      <c r="K438" s="2450"/>
      <c r="L438" s="2450"/>
      <c r="M438" s="2450"/>
      <c r="N438" s="2450"/>
      <c r="O438" s="2450"/>
      <c r="P438" s="2450"/>
      <c r="Q438" s="2450"/>
      <c r="R438" s="2450"/>
      <c r="S438" s="2450"/>
      <c r="T438" s="2450"/>
      <c r="U438" s="2450"/>
      <c r="V438" s="2450"/>
      <c r="W438" s="2450"/>
      <c r="X438" s="2450"/>
      <c r="Y438" s="2450"/>
      <c r="Z438" s="2450"/>
      <c r="AA438" s="2450"/>
      <c r="AB438" s="2450"/>
      <c r="AC438" s="2450"/>
      <c r="AD438" s="2450"/>
      <c r="AE438" s="2450"/>
      <c r="AF438" s="494"/>
      <c r="AG438" s="494"/>
      <c r="AH438" s="494"/>
      <c r="AI438" s="494"/>
      <c r="AJ438" s="494"/>
      <c r="AK438" s="494"/>
      <c r="AL438" s="650"/>
      <c r="AM438" s="470"/>
      <c r="AN438" s="497"/>
    </row>
    <row r="439" spans="1:60" s="450" customFormat="1" ht="12.75" customHeight="1">
      <c r="A439" s="436"/>
      <c r="B439" s="13"/>
      <c r="C439" s="651"/>
      <c r="D439" s="630"/>
      <c r="E439" s="619"/>
      <c r="F439" s="2450"/>
      <c r="G439" s="2450"/>
      <c r="H439" s="2450"/>
      <c r="I439" s="2450"/>
      <c r="J439" s="2450"/>
      <c r="K439" s="2450"/>
      <c r="L439" s="2450"/>
      <c r="M439" s="2450"/>
      <c r="N439" s="2450"/>
      <c r="O439" s="2450"/>
      <c r="P439" s="2450"/>
      <c r="Q439" s="2450"/>
      <c r="R439" s="2450"/>
      <c r="S439" s="2450"/>
      <c r="T439" s="2450"/>
      <c r="U439" s="2450"/>
      <c r="V439" s="2450"/>
      <c r="W439" s="2450"/>
      <c r="X439" s="2450"/>
      <c r="Y439" s="2450"/>
      <c r="Z439" s="2450"/>
      <c r="AA439" s="2450"/>
      <c r="AB439" s="2450"/>
      <c r="AC439" s="2450"/>
      <c r="AD439" s="2450"/>
      <c r="AE439" s="2450"/>
      <c r="AF439" s="494"/>
      <c r="AG439" s="494"/>
      <c r="AH439" s="494"/>
      <c r="AI439" s="494"/>
      <c r="AJ439" s="494"/>
      <c r="AK439" s="494"/>
      <c r="AL439" s="650"/>
      <c r="AM439" s="470"/>
      <c r="AN439" s="497"/>
    </row>
    <row r="440" spans="1:60" s="450" customFormat="1" ht="12.75" customHeight="1">
      <c r="A440" s="436"/>
      <c r="B440" s="13"/>
      <c r="C440" s="651"/>
      <c r="D440" s="630"/>
      <c r="E440" s="619"/>
      <c r="F440" s="2450"/>
      <c r="G440" s="2450"/>
      <c r="H440" s="2450"/>
      <c r="I440" s="2450"/>
      <c r="J440" s="2450"/>
      <c r="K440" s="2450"/>
      <c r="L440" s="2450"/>
      <c r="M440" s="2450"/>
      <c r="N440" s="2450"/>
      <c r="O440" s="2450"/>
      <c r="P440" s="2450"/>
      <c r="Q440" s="2450"/>
      <c r="R440" s="2450"/>
      <c r="S440" s="2450"/>
      <c r="T440" s="2450"/>
      <c r="U440" s="2450"/>
      <c r="V440" s="2450"/>
      <c r="W440" s="2450"/>
      <c r="X440" s="2450"/>
      <c r="Y440" s="2450"/>
      <c r="Z440" s="2450"/>
      <c r="AA440" s="2450"/>
      <c r="AB440" s="2450"/>
      <c r="AC440" s="2450"/>
      <c r="AD440" s="2450"/>
      <c r="AE440" s="2450"/>
      <c r="AF440" s="494"/>
      <c r="AG440" s="494"/>
      <c r="AH440" s="494"/>
      <c r="AI440" s="494"/>
      <c r="AJ440" s="494"/>
      <c r="AK440" s="494"/>
      <c r="AL440" s="650"/>
      <c r="AM440" s="470"/>
      <c r="AN440" s="497"/>
    </row>
    <row r="441" spans="1:60" s="450" customFormat="1" ht="17.25" customHeight="1">
      <c r="A441" s="436"/>
      <c r="B441" s="13"/>
      <c r="C441" s="651"/>
      <c r="D441" s="630"/>
      <c r="E441" s="619"/>
      <c r="F441" s="2450"/>
      <c r="G441" s="2450"/>
      <c r="H441" s="2450"/>
      <c r="I441" s="2450"/>
      <c r="J441" s="2450"/>
      <c r="K441" s="2450"/>
      <c r="L441" s="2450"/>
      <c r="M441" s="2450"/>
      <c r="N441" s="2450"/>
      <c r="O441" s="2450"/>
      <c r="P441" s="2450"/>
      <c r="Q441" s="2450"/>
      <c r="R441" s="2450"/>
      <c r="S441" s="2450"/>
      <c r="T441" s="2450"/>
      <c r="U441" s="2450"/>
      <c r="V441" s="2450"/>
      <c r="W441" s="2450"/>
      <c r="X441" s="2450"/>
      <c r="Y441" s="2450"/>
      <c r="Z441" s="2450"/>
      <c r="AA441" s="2450"/>
      <c r="AB441" s="2450"/>
      <c r="AC441" s="2450"/>
      <c r="AD441" s="2450"/>
      <c r="AE441" s="2450"/>
      <c r="AL441" s="632"/>
      <c r="AM441" s="470"/>
      <c r="AN441" s="497"/>
    </row>
    <row r="442" spans="1:60" s="450" customFormat="1" ht="12.75" customHeight="1">
      <c r="A442" s="436"/>
      <c r="B442" s="13"/>
      <c r="C442" s="2446" t="s">
        <v>807</v>
      </c>
      <c r="D442" s="2403"/>
      <c r="E442" s="619"/>
      <c r="F442" s="496" t="s">
        <v>2355</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71" t="s">
        <v>2330</v>
      </c>
      <c r="AG442" s="2371"/>
      <c r="AH442" s="2371"/>
      <c r="AI442" s="2371"/>
      <c r="AJ442" s="2371"/>
      <c r="AK442" s="2371"/>
      <c r="AL442" s="2451"/>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2356</v>
      </c>
      <c r="F445" s="2449" t="s">
        <v>2357</v>
      </c>
      <c r="G445" s="2449"/>
      <c r="H445" s="2449"/>
      <c r="I445" s="2449"/>
      <c r="J445" s="2449"/>
      <c r="K445" s="2449"/>
      <c r="L445" s="2449"/>
      <c r="M445" s="2449"/>
      <c r="N445" s="2449"/>
      <c r="O445" s="2449"/>
      <c r="P445" s="2449"/>
      <c r="Q445" s="2449"/>
      <c r="R445" s="2449"/>
      <c r="S445" s="2449"/>
      <c r="T445" s="2449"/>
      <c r="U445" s="2449"/>
      <c r="V445" s="2449"/>
      <c r="W445" s="2449"/>
      <c r="X445" s="2449"/>
      <c r="Y445" s="2449"/>
      <c r="Z445" s="2449"/>
      <c r="AA445" s="2449"/>
      <c r="AB445" s="2449"/>
      <c r="AC445" s="2449"/>
      <c r="AD445" s="2449"/>
      <c r="AE445" s="2449"/>
      <c r="AF445" s="614"/>
      <c r="AG445" s="614"/>
      <c r="AH445" s="614"/>
      <c r="AI445" s="614"/>
      <c r="AJ445" s="614"/>
      <c r="AK445" s="614"/>
      <c r="AL445" s="645"/>
      <c r="AM445" s="470"/>
      <c r="AN445" s="497"/>
    </row>
    <row r="446" spans="1:60" s="450" customFormat="1" ht="12.75" customHeight="1">
      <c r="A446" s="436"/>
      <c r="B446" s="13"/>
      <c r="C446" s="651"/>
      <c r="D446" s="630"/>
      <c r="E446" s="619"/>
      <c r="F446" s="2450"/>
      <c r="G446" s="2450"/>
      <c r="H446" s="2450"/>
      <c r="I446" s="2450"/>
      <c r="J446" s="2450"/>
      <c r="K446" s="2450"/>
      <c r="L446" s="2450"/>
      <c r="M446" s="2450"/>
      <c r="N446" s="2450"/>
      <c r="O446" s="2450"/>
      <c r="P446" s="2450"/>
      <c r="Q446" s="2450"/>
      <c r="R446" s="2450"/>
      <c r="S446" s="2450"/>
      <c r="T446" s="2450"/>
      <c r="U446" s="2450"/>
      <c r="V446" s="2450"/>
      <c r="W446" s="2450"/>
      <c r="X446" s="2450"/>
      <c r="Y446" s="2450"/>
      <c r="Z446" s="2450"/>
      <c r="AA446" s="2450"/>
      <c r="AB446" s="2450"/>
      <c r="AC446" s="2450"/>
      <c r="AD446" s="2450"/>
      <c r="AE446" s="2450"/>
      <c r="AF446" s="491"/>
      <c r="AG446" s="491"/>
      <c r="AH446" s="491"/>
      <c r="AI446" s="491"/>
      <c r="AJ446" s="491"/>
      <c r="AK446" s="491"/>
      <c r="AL446" s="620"/>
      <c r="AM446" s="470"/>
      <c r="AN446" s="497"/>
    </row>
    <row r="447" spans="1:60" s="450" customFormat="1" ht="12.75" customHeight="1">
      <c r="A447" s="436"/>
      <c r="B447" s="13"/>
      <c r="C447" s="651"/>
      <c r="D447" s="630"/>
      <c r="E447" s="619"/>
      <c r="F447" s="2450"/>
      <c r="G447" s="2450"/>
      <c r="H447" s="2450"/>
      <c r="I447" s="2450"/>
      <c r="J447" s="2450"/>
      <c r="K447" s="2450"/>
      <c r="L447" s="2450"/>
      <c r="M447" s="2450"/>
      <c r="N447" s="2450"/>
      <c r="O447" s="2450"/>
      <c r="P447" s="2450"/>
      <c r="Q447" s="2450"/>
      <c r="R447" s="2450"/>
      <c r="S447" s="2450"/>
      <c r="T447" s="2450"/>
      <c r="U447" s="2450"/>
      <c r="V447" s="2450"/>
      <c r="W447" s="2450"/>
      <c r="X447" s="2450"/>
      <c r="Y447" s="2450"/>
      <c r="Z447" s="2450"/>
      <c r="AA447" s="2450"/>
      <c r="AB447" s="2450"/>
      <c r="AC447" s="2450"/>
      <c r="AD447" s="2450"/>
      <c r="AE447" s="2450"/>
      <c r="AF447" s="491"/>
      <c r="AG447" s="491"/>
      <c r="AH447" s="491"/>
      <c r="AI447" s="491"/>
      <c r="AJ447" s="491"/>
      <c r="AK447" s="491"/>
      <c r="AL447" s="620"/>
      <c r="AM447" s="470"/>
      <c r="AN447" s="497"/>
    </row>
    <row r="448" spans="1:60" s="450" customFormat="1" ht="12.75" customHeight="1">
      <c r="A448" s="436"/>
      <c r="B448" s="13"/>
      <c r="C448" s="651"/>
      <c r="D448" s="630"/>
      <c r="E448" s="619"/>
      <c r="F448" s="2450"/>
      <c r="G448" s="2450"/>
      <c r="H448" s="2450"/>
      <c r="I448" s="2450"/>
      <c r="J448" s="2450"/>
      <c r="K448" s="2450"/>
      <c r="L448" s="2450"/>
      <c r="M448" s="2450"/>
      <c r="N448" s="2450"/>
      <c r="O448" s="2450"/>
      <c r="P448" s="2450"/>
      <c r="Q448" s="2450"/>
      <c r="R448" s="2450"/>
      <c r="S448" s="2450"/>
      <c r="T448" s="2450"/>
      <c r="U448" s="2450"/>
      <c r="V448" s="2450"/>
      <c r="W448" s="2450"/>
      <c r="X448" s="2450"/>
      <c r="Y448" s="2450"/>
      <c r="Z448" s="2450"/>
      <c r="AA448" s="2450"/>
      <c r="AB448" s="2450"/>
      <c r="AC448" s="2450"/>
      <c r="AD448" s="2450"/>
      <c r="AE448" s="2450"/>
      <c r="AL448" s="632"/>
      <c r="AM448" s="470"/>
      <c r="AN448" s="497"/>
    </row>
    <row r="449" spans="1:40" s="450" customFormat="1" ht="12.75" customHeight="1">
      <c r="A449" s="436"/>
      <c r="B449" s="13"/>
      <c r="C449" s="2446" t="s">
        <v>807</v>
      </c>
      <c r="D449" s="2403"/>
      <c r="E449" s="619"/>
      <c r="F449" s="621" t="s">
        <v>2358</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71" t="s">
        <v>2330</v>
      </c>
      <c r="AG449" s="2371"/>
      <c r="AH449" s="2371"/>
      <c r="AI449" s="2371"/>
      <c r="AJ449" s="2371"/>
      <c r="AK449" s="2371"/>
      <c r="AL449" s="2451"/>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2337</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52" t="s">
        <v>807</v>
      </c>
      <c r="D453" s="2453"/>
      <c r="E453" s="615" t="s">
        <v>2359</v>
      </c>
      <c r="F453" s="2449" t="s">
        <v>2360</v>
      </c>
      <c r="G453" s="2449"/>
      <c r="H453" s="2449"/>
      <c r="I453" s="2449"/>
      <c r="J453" s="2449"/>
      <c r="K453" s="2449"/>
      <c r="L453" s="2449"/>
      <c r="M453" s="2449"/>
      <c r="N453" s="2449"/>
      <c r="O453" s="2449"/>
      <c r="P453" s="2449"/>
      <c r="Q453" s="2449"/>
      <c r="R453" s="2449"/>
      <c r="S453" s="2449"/>
      <c r="T453" s="2449"/>
      <c r="U453" s="2449"/>
      <c r="V453" s="2449"/>
      <c r="W453" s="2449"/>
      <c r="X453" s="2449"/>
      <c r="Y453" s="2449"/>
      <c r="Z453" s="2449"/>
      <c r="AA453" s="2449"/>
      <c r="AB453" s="2449"/>
      <c r="AC453" s="2449"/>
      <c r="AD453" s="2449"/>
      <c r="AE453" s="2449"/>
      <c r="AF453" s="2470" t="s">
        <v>2330</v>
      </c>
      <c r="AG453" s="2470"/>
      <c r="AH453" s="2470"/>
      <c r="AI453" s="2470"/>
      <c r="AJ453" s="2470"/>
      <c r="AK453" s="2470"/>
      <c r="AL453" s="2471"/>
      <c r="AM453" s="470"/>
      <c r="AN453" s="653"/>
    </row>
    <row r="454" spans="1:40" s="450" customFormat="1" ht="12.75" customHeight="1">
      <c r="A454" s="436"/>
      <c r="B454" s="13"/>
      <c r="C454" s="651"/>
      <c r="D454" s="630"/>
      <c r="E454" s="619"/>
      <c r="F454" s="2450"/>
      <c r="G454" s="2450"/>
      <c r="H454" s="2450"/>
      <c r="I454" s="2450"/>
      <c r="J454" s="2450"/>
      <c r="K454" s="2450"/>
      <c r="L454" s="2450"/>
      <c r="M454" s="2450"/>
      <c r="N454" s="2450"/>
      <c r="O454" s="2450"/>
      <c r="P454" s="2450"/>
      <c r="Q454" s="2450"/>
      <c r="R454" s="2450"/>
      <c r="S454" s="2450"/>
      <c r="T454" s="2450"/>
      <c r="U454" s="2450"/>
      <c r="V454" s="2450"/>
      <c r="W454" s="2450"/>
      <c r="X454" s="2450"/>
      <c r="Y454" s="2450"/>
      <c r="Z454" s="2450"/>
      <c r="AA454" s="2450"/>
      <c r="AB454" s="2450"/>
      <c r="AC454" s="2450"/>
      <c r="AD454" s="2450"/>
      <c r="AE454" s="2450"/>
      <c r="AF454" s="491"/>
      <c r="AG454" s="491"/>
      <c r="AH454" s="491"/>
      <c r="AI454" s="491"/>
      <c r="AJ454" s="491"/>
      <c r="AK454" s="491"/>
      <c r="AL454" s="620"/>
      <c r="AM454" s="470"/>
      <c r="AN454" s="654"/>
    </row>
    <row r="455" spans="1:40" s="450" customFormat="1" ht="17.649999999999999" customHeight="1">
      <c r="A455" s="436"/>
      <c r="B455" s="13"/>
      <c r="C455" s="656"/>
      <c r="D455" s="623"/>
      <c r="E455" s="624"/>
      <c r="F455" s="2469"/>
      <c r="G455" s="2469"/>
      <c r="H455" s="2469"/>
      <c r="I455" s="2469"/>
      <c r="J455" s="2469"/>
      <c r="K455" s="2469"/>
      <c r="L455" s="2469"/>
      <c r="M455" s="2469"/>
      <c r="N455" s="2469"/>
      <c r="O455" s="2469"/>
      <c r="P455" s="2469"/>
      <c r="Q455" s="2469"/>
      <c r="R455" s="2469"/>
      <c r="S455" s="2469"/>
      <c r="T455" s="2469"/>
      <c r="U455" s="2469"/>
      <c r="V455" s="2469"/>
      <c r="W455" s="2469"/>
      <c r="X455" s="2469"/>
      <c r="Y455" s="2469"/>
      <c r="Z455" s="2469"/>
      <c r="AA455" s="2469"/>
      <c r="AB455" s="2469"/>
      <c r="AC455" s="2469"/>
      <c r="AD455" s="2469"/>
      <c r="AE455" s="2469"/>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46" t="s">
        <v>807</v>
      </c>
      <c r="D457" s="2403"/>
      <c r="E457" s="615" t="s">
        <v>2361</v>
      </c>
      <c r="F457" s="2449" t="s">
        <v>2362</v>
      </c>
      <c r="G457" s="2449"/>
      <c r="H457" s="2449"/>
      <c r="I457" s="2449"/>
      <c r="J457" s="2449"/>
      <c r="K457" s="2449"/>
      <c r="L457" s="2449"/>
      <c r="M457" s="2449"/>
      <c r="N457" s="2449"/>
      <c r="O457" s="2449"/>
      <c r="P457" s="2449"/>
      <c r="Q457" s="2449"/>
      <c r="R457" s="2449"/>
      <c r="S457" s="2449"/>
      <c r="T457" s="2449"/>
      <c r="U457" s="2449"/>
      <c r="V457" s="2449"/>
      <c r="W457" s="2449"/>
      <c r="X457" s="2449"/>
      <c r="Y457" s="2449"/>
      <c r="Z457" s="2449"/>
      <c r="AA457" s="2449"/>
      <c r="AB457" s="2449"/>
      <c r="AC457" s="2449"/>
      <c r="AD457" s="2449"/>
      <c r="AE457" s="2449"/>
      <c r="AF457" s="2470" t="s">
        <v>2330</v>
      </c>
      <c r="AG457" s="2470"/>
      <c r="AH457" s="2470"/>
      <c r="AI457" s="2470"/>
      <c r="AJ457" s="2470"/>
      <c r="AK457" s="2470"/>
      <c r="AL457" s="2471"/>
      <c r="AM457" s="470"/>
      <c r="AN457" s="435"/>
    </row>
    <row r="458" spans="1:40" s="450" customFormat="1" ht="12.75" customHeight="1">
      <c r="A458" s="436"/>
      <c r="B458" s="13"/>
      <c r="C458" s="631"/>
      <c r="D458" s="13"/>
      <c r="E458" s="591"/>
      <c r="F458" s="2450"/>
      <c r="G458" s="2450"/>
      <c r="H458" s="2450"/>
      <c r="I458" s="2450"/>
      <c r="J458" s="2450"/>
      <c r="K458" s="2450"/>
      <c r="L458" s="2450"/>
      <c r="M458" s="2450"/>
      <c r="N458" s="2450"/>
      <c r="O458" s="2450"/>
      <c r="P458" s="2450"/>
      <c r="Q458" s="2450"/>
      <c r="R458" s="2450"/>
      <c r="S458" s="2450"/>
      <c r="T458" s="2450"/>
      <c r="U458" s="2450"/>
      <c r="V458" s="2450"/>
      <c r="W458" s="2450"/>
      <c r="X458" s="2450"/>
      <c r="Y458" s="2450"/>
      <c r="Z458" s="2450"/>
      <c r="AA458" s="2450"/>
      <c r="AB458" s="2450"/>
      <c r="AC458" s="2450"/>
      <c r="AD458" s="2450"/>
      <c r="AE458" s="2450"/>
      <c r="AF458" s="439"/>
      <c r="AG458" s="436"/>
      <c r="AL458" s="632"/>
      <c r="AM458" s="470"/>
      <c r="AN458" s="435"/>
    </row>
    <row r="459" spans="1:40" s="450" customFormat="1" ht="12.75" customHeight="1">
      <c r="A459" s="436"/>
      <c r="B459" s="13"/>
      <c r="C459" s="631"/>
      <c r="D459" s="13"/>
      <c r="E459" s="591"/>
      <c r="F459" s="2450"/>
      <c r="G459" s="2450"/>
      <c r="H459" s="2450"/>
      <c r="I459" s="2450"/>
      <c r="J459" s="2450"/>
      <c r="K459" s="2450"/>
      <c r="L459" s="2450"/>
      <c r="M459" s="2450"/>
      <c r="N459" s="2450"/>
      <c r="O459" s="2450"/>
      <c r="P459" s="2450"/>
      <c r="Q459" s="2450"/>
      <c r="R459" s="2450"/>
      <c r="S459" s="2450"/>
      <c r="T459" s="2450"/>
      <c r="U459" s="2450"/>
      <c r="V459" s="2450"/>
      <c r="W459" s="2450"/>
      <c r="X459" s="2450"/>
      <c r="Y459" s="2450"/>
      <c r="Z459" s="2450"/>
      <c r="AA459" s="2450"/>
      <c r="AB459" s="2450"/>
      <c r="AC459" s="2450"/>
      <c r="AD459" s="2450"/>
      <c r="AE459" s="2450"/>
      <c r="AF459" s="439"/>
      <c r="AG459" s="436"/>
      <c r="AL459" s="632"/>
      <c r="AM459" s="470"/>
      <c r="AN459" s="435"/>
    </row>
    <row r="460" spans="1:40" s="450" customFormat="1" ht="12.75" customHeight="1">
      <c r="A460" s="436"/>
      <c r="B460" s="13"/>
      <c r="C460" s="656"/>
      <c r="D460" s="623"/>
      <c r="E460" s="624"/>
      <c r="F460" s="2469"/>
      <c r="G460" s="2469"/>
      <c r="H460" s="2469"/>
      <c r="I460" s="2469"/>
      <c r="J460" s="2469"/>
      <c r="K460" s="2469"/>
      <c r="L460" s="2469"/>
      <c r="M460" s="2469"/>
      <c r="N460" s="2469"/>
      <c r="O460" s="2469"/>
      <c r="P460" s="2469"/>
      <c r="Q460" s="2469"/>
      <c r="R460" s="2469"/>
      <c r="S460" s="2469"/>
      <c r="T460" s="2469"/>
      <c r="U460" s="2469"/>
      <c r="V460" s="2469"/>
      <c r="W460" s="2469"/>
      <c r="X460" s="2469"/>
      <c r="Y460" s="2469"/>
      <c r="Z460" s="2469"/>
      <c r="AA460" s="2469"/>
      <c r="AB460" s="2469"/>
      <c r="AC460" s="2469"/>
      <c r="AD460" s="2469"/>
      <c r="AE460" s="2469"/>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2363</v>
      </c>
      <c r="F462" s="2449" t="s">
        <v>2364</v>
      </c>
      <c r="G462" s="2449"/>
      <c r="H462" s="2449"/>
      <c r="I462" s="2449"/>
      <c r="J462" s="2449"/>
      <c r="K462" s="2449"/>
      <c r="L462" s="2449"/>
      <c r="M462" s="2449"/>
      <c r="N462" s="2449"/>
      <c r="O462" s="2449"/>
      <c r="P462" s="2449"/>
      <c r="Q462" s="2449"/>
      <c r="R462" s="2449"/>
      <c r="S462" s="2449"/>
      <c r="T462" s="2449"/>
      <c r="U462" s="2449"/>
      <c r="V462" s="2449"/>
      <c r="W462" s="2449"/>
      <c r="X462" s="2449"/>
      <c r="Y462" s="2449"/>
      <c r="Z462" s="2449"/>
      <c r="AA462" s="2449"/>
      <c r="AB462" s="2449"/>
      <c r="AC462" s="2449"/>
      <c r="AD462" s="2449"/>
      <c r="AE462" s="2449"/>
      <c r="AF462" s="2449"/>
      <c r="AG462" s="644"/>
      <c r="AH462" s="614"/>
      <c r="AI462" s="614"/>
      <c r="AJ462" s="614"/>
      <c r="AK462" s="614"/>
      <c r="AL462" s="645"/>
      <c r="AM462" s="470"/>
      <c r="AN462" s="497"/>
    </row>
    <row r="463" spans="1:40" s="450" customFormat="1" ht="12.75" customHeight="1">
      <c r="A463" s="436"/>
      <c r="B463" s="13"/>
      <c r="C463" s="631"/>
      <c r="D463" s="13"/>
      <c r="E463" s="591"/>
      <c r="F463" s="2450"/>
      <c r="G463" s="2450"/>
      <c r="H463" s="2450"/>
      <c r="I463" s="2450"/>
      <c r="J463" s="2450"/>
      <c r="K463" s="2450"/>
      <c r="L463" s="2450"/>
      <c r="M463" s="2450"/>
      <c r="N463" s="2450"/>
      <c r="O463" s="2450"/>
      <c r="P463" s="2450"/>
      <c r="Q463" s="2450"/>
      <c r="R463" s="2450"/>
      <c r="S463" s="2450"/>
      <c r="T463" s="2450"/>
      <c r="U463" s="2450"/>
      <c r="V463" s="2450"/>
      <c r="W463" s="2450"/>
      <c r="X463" s="2450"/>
      <c r="Y463" s="2450"/>
      <c r="Z463" s="2450"/>
      <c r="AA463" s="2450"/>
      <c r="AB463" s="2450"/>
      <c r="AC463" s="2450"/>
      <c r="AD463" s="2450"/>
      <c r="AE463" s="2450"/>
      <c r="AF463" s="2450"/>
      <c r="AL463" s="632"/>
      <c r="AM463" s="470"/>
      <c r="AN463" s="497"/>
    </row>
    <row r="464" spans="1:40" s="450" customFormat="1" ht="12.75" customHeight="1">
      <c r="A464" s="436"/>
      <c r="B464" s="13"/>
      <c r="C464" s="639"/>
      <c r="F464" s="2450"/>
      <c r="G464" s="2450"/>
      <c r="H464" s="2450"/>
      <c r="I464" s="2450"/>
      <c r="J464" s="2450"/>
      <c r="K464" s="2450"/>
      <c r="L464" s="2450"/>
      <c r="M464" s="2450"/>
      <c r="N464" s="2450"/>
      <c r="O464" s="2450"/>
      <c r="P464" s="2450"/>
      <c r="Q464" s="2450"/>
      <c r="R464" s="2450"/>
      <c r="S464" s="2450"/>
      <c r="T464" s="2450"/>
      <c r="U464" s="2450"/>
      <c r="V464" s="2450"/>
      <c r="W464" s="2450"/>
      <c r="X464" s="2450"/>
      <c r="Y464" s="2450"/>
      <c r="Z464" s="2450"/>
      <c r="AA464" s="2450"/>
      <c r="AB464" s="2450"/>
      <c r="AC464" s="2450"/>
      <c r="AD464" s="2450"/>
      <c r="AE464" s="2450"/>
      <c r="AF464" s="2450"/>
      <c r="AL464" s="632"/>
      <c r="AM464" s="470"/>
      <c r="AN464" s="497"/>
    </row>
    <row r="465" spans="1:58" s="450" customFormat="1" ht="12.75" customHeight="1">
      <c r="A465" s="436"/>
      <c r="B465" s="13"/>
      <c r="C465" s="639"/>
      <c r="F465" s="2450"/>
      <c r="G465" s="2450"/>
      <c r="H465" s="2450"/>
      <c r="I465" s="2450"/>
      <c r="J465" s="2450"/>
      <c r="K465" s="2450"/>
      <c r="L465" s="2450"/>
      <c r="M465" s="2450"/>
      <c r="N465" s="2450"/>
      <c r="O465" s="2450"/>
      <c r="P465" s="2450"/>
      <c r="Q465" s="2450"/>
      <c r="R465" s="2450"/>
      <c r="S465" s="2450"/>
      <c r="T465" s="2450"/>
      <c r="U465" s="2450"/>
      <c r="V465" s="2450"/>
      <c r="W465" s="2450"/>
      <c r="X465" s="2450"/>
      <c r="Y465" s="2450"/>
      <c r="Z465" s="2450"/>
      <c r="AA465" s="2450"/>
      <c r="AB465" s="2450"/>
      <c r="AC465" s="2450"/>
      <c r="AD465" s="2450"/>
      <c r="AE465" s="2450"/>
      <c r="AF465" s="2450"/>
      <c r="AL465" s="632"/>
      <c r="AM465" s="470"/>
      <c r="AN465" s="497"/>
    </row>
    <row r="466" spans="1:58" s="450" customFormat="1" ht="12.75" customHeight="1">
      <c r="A466" s="436"/>
      <c r="B466" s="13"/>
      <c r="C466" s="2446" t="s">
        <v>807</v>
      </c>
      <c r="D466" s="2403"/>
      <c r="E466" s="619"/>
      <c r="F466" s="621" t="s">
        <v>2347</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47" t="s">
        <v>2330</v>
      </c>
      <c r="AG466" s="2447"/>
      <c r="AH466" s="2447"/>
      <c r="AI466" s="2447"/>
      <c r="AJ466" s="2447"/>
      <c r="AK466" s="2447"/>
      <c r="AL466" s="2448"/>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2365</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2366</v>
      </c>
      <c r="AK469" s="2406">
        <f>IF(Application!D214="N/A",AS358,AS360)</f>
        <v>10</v>
      </c>
      <c r="AL469" s="2407"/>
      <c r="AM469" s="2408"/>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807</v>
      </c>
      <c r="AP471" s="450">
        <v>0</v>
      </c>
      <c r="AT471" s="450" t="s">
        <v>807</v>
      </c>
      <c r="AU471" s="450">
        <v>0</v>
      </c>
      <c r="AV471" s="652"/>
    </row>
    <row r="472" spans="1:58" s="450" customFormat="1" ht="12.75" hidden="1" customHeight="1">
      <c r="A472" s="439" t="s">
        <v>2367</v>
      </c>
      <c r="C472" s="439"/>
      <c r="E472" s="496"/>
      <c r="AE472" s="2447" t="s">
        <v>2368</v>
      </c>
      <c r="AF472" s="2447"/>
      <c r="AG472" s="2447"/>
      <c r="AH472" s="2447"/>
      <c r="AI472" s="2447"/>
      <c r="AJ472" s="2447"/>
      <c r="AK472" s="2447"/>
      <c r="AL472" s="491"/>
      <c r="AN472" s="497"/>
      <c r="AO472" s="450" t="s">
        <v>2369</v>
      </c>
      <c r="AP472" s="450">
        <v>5</v>
      </c>
      <c r="AT472" s="450" t="s">
        <v>2369</v>
      </c>
      <c r="AU472" s="450">
        <v>5</v>
      </c>
      <c r="AV472" s="652"/>
    </row>
    <row r="473" spans="1:58" s="450" customFormat="1" ht="12.75" hidden="1" customHeight="1">
      <c r="A473" s="439"/>
      <c r="B473" s="436" t="s">
        <v>2370</v>
      </c>
      <c r="C473" s="439"/>
      <c r="E473" s="496"/>
      <c r="AE473" s="491"/>
      <c r="AF473" s="491"/>
      <c r="AG473" s="491"/>
      <c r="AH473" s="491"/>
      <c r="AI473" s="491"/>
      <c r="AJ473" s="491"/>
      <c r="AK473" s="491"/>
      <c r="AL473" s="491"/>
      <c r="AN473" s="497"/>
      <c r="AO473" s="450" t="s">
        <v>2371</v>
      </c>
      <c r="AP473" s="450">
        <v>5</v>
      </c>
      <c r="AT473" s="450" t="s">
        <v>2372</v>
      </c>
      <c r="AU473" s="450">
        <v>5</v>
      </c>
      <c r="AV473" s="652"/>
    </row>
    <row r="474" spans="1:58" s="450" customFormat="1" ht="12.75" hidden="1" customHeight="1">
      <c r="A474" s="439"/>
      <c r="B474" s="439" t="s">
        <v>2373</v>
      </c>
      <c r="C474" s="439"/>
      <c r="E474" s="496"/>
      <c r="AE474" s="491"/>
      <c r="AF474" s="491"/>
      <c r="AG474" s="491"/>
      <c r="AH474" s="491"/>
      <c r="AI474" s="491"/>
      <c r="AJ474" s="491"/>
      <c r="AK474" s="491"/>
      <c r="AL474" s="491"/>
      <c r="AN474" s="497"/>
      <c r="AO474" s="450" t="s">
        <v>2374</v>
      </c>
      <c r="AP474" s="450">
        <v>5</v>
      </c>
      <c r="AQ474" s="439"/>
      <c r="AR474" s="439"/>
      <c r="AS474" s="655"/>
      <c r="AT474" s="450" t="s">
        <v>2374</v>
      </c>
      <c r="AU474" s="450">
        <v>5</v>
      </c>
      <c r="AV474" s="436"/>
    </row>
    <row r="475" spans="1:58" s="450" customFormat="1" ht="12.75" hidden="1" customHeight="1">
      <c r="A475" s="439"/>
      <c r="B475" s="439" t="s">
        <v>2375</v>
      </c>
      <c r="C475" s="439"/>
      <c r="E475" s="496"/>
      <c r="AE475" s="491"/>
      <c r="AF475" s="491"/>
      <c r="AG475" s="491"/>
      <c r="AH475" s="491"/>
      <c r="AI475" s="491"/>
      <c r="AJ475" s="491"/>
      <c r="AK475" s="491"/>
      <c r="AL475" s="491"/>
      <c r="AN475" s="497"/>
      <c r="AO475" s="450" t="s">
        <v>2376</v>
      </c>
      <c r="AP475" s="450">
        <v>5</v>
      </c>
      <c r="AQ475" s="439"/>
      <c r="AR475" s="439"/>
      <c r="AT475" s="450" t="s">
        <v>2376</v>
      </c>
      <c r="AU475" s="450">
        <v>5</v>
      </c>
    </row>
    <row r="476" spans="1:58" s="450" customFormat="1" ht="12.75" hidden="1" customHeight="1">
      <c r="A476" s="439"/>
      <c r="C476" s="439"/>
      <c r="E476" s="496"/>
      <c r="AE476" s="491"/>
      <c r="AF476" s="491"/>
      <c r="AG476" s="491"/>
      <c r="AH476" s="491"/>
      <c r="AI476" s="491"/>
      <c r="AJ476" s="491"/>
      <c r="AK476" s="491"/>
      <c r="AL476" s="491"/>
      <c r="AN476" s="497"/>
      <c r="AO476" s="450" t="s">
        <v>2377</v>
      </c>
      <c r="AP476" s="450">
        <v>5</v>
      </c>
      <c r="AQ476" s="439"/>
      <c r="AR476" s="439"/>
      <c r="AT476" s="450" t="s">
        <v>2377</v>
      </c>
      <c r="AU476" s="450">
        <v>5</v>
      </c>
    </row>
    <row r="477" spans="1:58" s="450" customFormat="1" ht="12.75" hidden="1" customHeight="1">
      <c r="A477" s="439"/>
      <c r="C477" s="612" t="s">
        <v>2378</v>
      </c>
      <c r="D477" s="470"/>
      <c r="AE477" s="491"/>
      <c r="AF477" s="491"/>
      <c r="AG477" s="496"/>
      <c r="AH477" s="496"/>
      <c r="AI477" s="496"/>
      <c r="AJ477" s="496"/>
      <c r="AK477" s="496"/>
      <c r="AL477" s="496"/>
      <c r="AN477" s="497"/>
      <c r="AO477" s="450" t="s">
        <v>2379</v>
      </c>
      <c r="AP477" s="450">
        <v>5</v>
      </c>
      <c r="AT477" s="450" t="s">
        <v>2379</v>
      </c>
      <c r="AU477" s="450">
        <v>5</v>
      </c>
    </row>
    <row r="478" spans="1:58" s="450" customFormat="1" ht="12.75" hidden="1" customHeight="1">
      <c r="A478" s="439"/>
      <c r="C478" s="2472" t="s">
        <v>807</v>
      </c>
      <c r="D478" s="2473"/>
      <c r="E478" s="661" t="s">
        <v>51</v>
      </c>
      <c r="F478" s="2474" t="s">
        <v>2380</v>
      </c>
      <c r="G478" s="2474"/>
      <c r="H478" s="2474"/>
      <c r="I478" s="2474"/>
      <c r="J478" s="2474"/>
      <c r="K478" s="2474"/>
      <c r="L478" s="2474"/>
      <c r="M478" s="2474"/>
      <c r="N478" s="2474"/>
      <c r="O478" s="2474"/>
      <c r="P478" s="2474"/>
      <c r="Q478" s="2474"/>
      <c r="R478" s="2474"/>
      <c r="S478" s="2474"/>
      <c r="T478" s="2474"/>
      <c r="U478" s="2474"/>
      <c r="V478" s="2474"/>
      <c r="W478" s="2474"/>
      <c r="X478" s="2474"/>
      <c r="Y478" s="2474"/>
      <c r="Z478" s="2474"/>
      <c r="AA478" s="2474"/>
      <c r="AB478" s="2474"/>
      <c r="AC478" s="2474"/>
      <c r="AD478" s="2474"/>
      <c r="AE478" s="2474"/>
      <c r="AF478" s="614"/>
      <c r="AG478" s="614"/>
      <c r="AH478" s="614"/>
      <c r="AI478" s="614"/>
      <c r="AJ478" s="614"/>
      <c r="AK478" s="645"/>
      <c r="AN478" s="497"/>
      <c r="AO478" s="450" t="s">
        <v>2381</v>
      </c>
      <c r="AP478" s="450">
        <v>5</v>
      </c>
      <c r="AS478" s="658"/>
      <c r="AT478" s="450" t="s">
        <v>2382</v>
      </c>
      <c r="AU478" s="450">
        <v>5</v>
      </c>
    </row>
    <row r="479" spans="1:58" s="450" customFormat="1" ht="12.75" hidden="1" customHeight="1">
      <c r="C479" s="662"/>
      <c r="E479" s="663"/>
      <c r="F479" s="2475"/>
      <c r="G479" s="2475"/>
      <c r="H479" s="2475"/>
      <c r="I479" s="2475"/>
      <c r="J479" s="2475"/>
      <c r="K479" s="2475"/>
      <c r="L479" s="2475"/>
      <c r="M479" s="2475"/>
      <c r="N479" s="2475"/>
      <c r="O479" s="2475"/>
      <c r="P479" s="2475"/>
      <c r="Q479" s="2475"/>
      <c r="R479" s="2475"/>
      <c r="S479" s="2475"/>
      <c r="T479" s="2475"/>
      <c r="U479" s="2475"/>
      <c r="V479" s="2475"/>
      <c r="W479" s="2475"/>
      <c r="X479" s="2475"/>
      <c r="Y479" s="2475"/>
      <c r="Z479" s="2475"/>
      <c r="AA479" s="2475"/>
      <c r="AB479" s="2475"/>
      <c r="AC479" s="2475"/>
      <c r="AD479" s="2475"/>
      <c r="AE479" s="2475"/>
      <c r="AG479" s="451"/>
      <c r="AH479" s="451"/>
      <c r="AI479" s="451"/>
      <c r="AJ479" s="451"/>
      <c r="AK479" s="632"/>
      <c r="AN479" s="497"/>
      <c r="AO479" s="450" t="s">
        <v>2383</v>
      </c>
      <c r="AP479" s="450">
        <v>1</v>
      </c>
      <c r="AT479" s="450" t="s">
        <v>2383</v>
      </c>
      <c r="AU479" s="450">
        <v>1</v>
      </c>
    </row>
    <row r="480" spans="1:58" s="450" customFormat="1" ht="12.75" hidden="1" customHeight="1">
      <c r="C480" s="664"/>
      <c r="D480" s="627"/>
      <c r="E480" s="665"/>
      <c r="F480" s="2548" t="s">
        <v>807</v>
      </c>
      <c r="G480" s="2548"/>
      <c r="H480" s="2548"/>
      <c r="I480" s="2548"/>
      <c r="J480" s="2548"/>
      <c r="K480" s="2548"/>
      <c r="L480" s="2548"/>
      <c r="M480" s="2548"/>
      <c r="N480" s="2548"/>
      <c r="O480" s="2548"/>
      <c r="P480" s="2548"/>
      <c r="Q480" s="2548"/>
      <c r="R480" s="2548"/>
      <c r="S480" s="2548"/>
      <c r="T480" s="2548"/>
      <c r="U480" s="2548"/>
      <c r="V480" s="2548"/>
      <c r="W480" s="2548"/>
      <c r="X480" s="2548"/>
      <c r="Y480" s="2548"/>
      <c r="Z480" s="2548"/>
      <c r="AA480" s="666"/>
      <c r="AB480" s="558"/>
      <c r="AC480" s="558"/>
      <c r="AD480" s="627"/>
      <c r="AE480" s="627"/>
      <c r="AF480" s="627"/>
      <c r="AG480" s="667">
        <f>IF($C$478="Yes",(VLOOKUP($F$480,$AT$471:$AU$479,2,FALSE)),0)</f>
        <v>0</v>
      </c>
      <c r="AH480" s="668" t="s">
        <v>2164</v>
      </c>
      <c r="AI480" s="667"/>
      <c r="AJ480" s="667"/>
      <c r="AK480" s="642"/>
      <c r="AN480" s="497"/>
      <c r="AS480" s="655"/>
      <c r="AX480" s="655"/>
      <c r="BB480" s="655" t="s">
        <v>2384</v>
      </c>
      <c r="BF480" s="655" t="s">
        <v>2385</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807</v>
      </c>
      <c r="AP481" s="537">
        <v>0</v>
      </c>
      <c r="AT481" s="450" t="s">
        <v>807</v>
      </c>
      <c r="AU481" s="537">
        <v>0</v>
      </c>
      <c r="AW481" s="450" t="s">
        <v>807</v>
      </c>
      <c r="AX481" s="537">
        <v>0</v>
      </c>
      <c r="AY481" s="493"/>
      <c r="BB481" s="450" t="s">
        <v>807</v>
      </c>
      <c r="BC481" s="493">
        <v>0</v>
      </c>
      <c r="BF481" s="450" t="s">
        <v>807</v>
      </c>
      <c r="BG481" s="493">
        <v>0</v>
      </c>
    </row>
    <row r="482" spans="1:81" s="450" customFormat="1" ht="12.75" hidden="1" customHeight="1">
      <c r="C482" s="2549" t="s">
        <v>843</v>
      </c>
      <c r="D482" s="2550"/>
      <c r="E482" s="661" t="s">
        <v>53</v>
      </c>
      <c r="F482" s="669" t="s">
        <v>2386</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2387</v>
      </c>
      <c r="AX482" s="537">
        <v>3</v>
      </c>
      <c r="AY482" s="493"/>
      <c r="BB482" s="658">
        <v>0.4</v>
      </c>
      <c r="BC482" s="493">
        <v>3</v>
      </c>
      <c r="BF482" s="658">
        <v>0.4</v>
      </c>
      <c r="BG482" s="493">
        <v>4</v>
      </c>
    </row>
    <row r="483" spans="1:81" s="450" customFormat="1" ht="12.75" hidden="1" customHeight="1">
      <c r="C483" s="670" t="s">
        <v>2388</v>
      </c>
      <c r="F483" s="671" t="s">
        <v>2389</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2390</v>
      </c>
      <c r="AX483" s="537">
        <v>5</v>
      </c>
      <c r="AY483" s="493"/>
      <c r="BB483" s="658">
        <v>0.6</v>
      </c>
      <c r="BC483" s="493">
        <v>4</v>
      </c>
      <c r="BF483" s="658">
        <v>0.6</v>
      </c>
      <c r="BG483" s="493">
        <v>5</v>
      </c>
    </row>
    <row r="484" spans="1:81" s="450" customFormat="1" ht="12.75" hidden="1" customHeight="1">
      <c r="C484" s="651"/>
      <c r="D484" s="630"/>
      <c r="E484" s="672"/>
      <c r="F484" s="671" t="s">
        <v>2391</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2392</v>
      </c>
      <c r="G485" s="450"/>
      <c r="H485" s="450"/>
      <c r="I485" s="671"/>
      <c r="J485" s="671"/>
      <c r="K485" s="671"/>
      <c r="L485" s="671"/>
      <c r="M485" s="671"/>
      <c r="N485" s="671"/>
      <c r="O485" s="671"/>
      <c r="P485" s="671"/>
      <c r="Q485" s="671"/>
      <c r="R485" s="671"/>
      <c r="S485" s="671"/>
      <c r="T485" s="671"/>
      <c r="U485" s="671"/>
      <c r="V485" s="2547" t="s">
        <v>807</v>
      </c>
      <c r="W485" s="2547"/>
      <c r="X485" s="2547"/>
      <c r="Y485" s="671"/>
      <c r="Z485" s="671"/>
      <c r="AA485" s="671"/>
      <c r="AB485" s="671"/>
      <c r="AC485" s="671"/>
      <c r="AD485" s="509"/>
      <c r="AE485" s="509"/>
      <c r="AF485" s="509"/>
      <c r="AG485" s="513">
        <f>IF(AND($C$482="Yes",$V$487="N/A",$V$492="N/A",$V$496="N/A",$V$498="N/A"),(VLOOKUP(V485,$AW$481:$AX$483,2,FALSE)),0)</f>
        <v>0</v>
      </c>
      <c r="AH485" s="540" t="s">
        <v>2164</v>
      </c>
      <c r="AI485" s="451"/>
      <c r="AJ485" s="451"/>
      <c r="AK485" s="632"/>
      <c r="AL485" s="450"/>
      <c r="AM485" s="450"/>
      <c r="AN485" s="497"/>
      <c r="AT485" s="450" t="s">
        <v>807</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2393</v>
      </c>
      <c r="G487" s="450"/>
      <c r="H487" s="450"/>
      <c r="I487" s="671"/>
      <c r="J487" s="671"/>
      <c r="K487" s="671"/>
      <c r="L487" s="671"/>
      <c r="M487" s="671"/>
      <c r="N487" s="671"/>
      <c r="O487" s="671"/>
      <c r="P487" s="671"/>
      <c r="Q487" s="671"/>
      <c r="R487" s="671"/>
      <c r="S487" s="671"/>
      <c r="T487" s="671"/>
      <c r="U487" s="671"/>
      <c r="V487" s="2547" t="s">
        <v>807</v>
      </c>
      <c r="W487" s="2547"/>
      <c r="X487" s="2547"/>
      <c r="Y487" s="671"/>
      <c r="Z487" s="671"/>
      <c r="AA487" s="671"/>
      <c r="AB487" s="671"/>
      <c r="AC487" s="671"/>
      <c r="AD487" s="509"/>
      <c r="AE487" s="509"/>
      <c r="AF487" s="509"/>
      <c r="AG487" s="513">
        <f>IF(AND($C$482="Yes",$V$485="N/A", $V$492="N/A",$V$496="N/A",$V$498="N/A"),(VLOOKUP(V487,$AT$481:$AU$483,2,FALSE)),0)</f>
        <v>0</v>
      </c>
      <c r="AH487" s="540" t="s">
        <v>2164</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807</v>
      </c>
      <c r="AP488" s="450">
        <v>0</v>
      </c>
    </row>
    <row r="489" spans="1:81" s="450" customFormat="1" ht="12.75" hidden="1" customHeight="1">
      <c r="C489" s="662"/>
      <c r="E489" s="663"/>
      <c r="F489" s="676" t="s">
        <v>2394</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2395</v>
      </c>
      <c r="AP489" s="537">
        <v>2</v>
      </c>
    </row>
    <row r="490" spans="1:81" s="450" customFormat="1" ht="12.75" hidden="1" customHeight="1">
      <c r="C490" s="662"/>
      <c r="F490" s="509" t="s">
        <v>2396</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2397</v>
      </c>
      <c r="AP490" s="450">
        <v>2</v>
      </c>
    </row>
    <row r="491" spans="1:81" s="496" customFormat="1" ht="12.75" hidden="1" customHeight="1">
      <c r="A491" s="450"/>
      <c r="B491" s="450"/>
      <c r="C491" s="639"/>
      <c r="D491" s="470"/>
      <c r="E491" s="470"/>
      <c r="F491" s="509" t="s">
        <v>2398</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2399</v>
      </c>
      <c r="AP491" s="450">
        <v>2</v>
      </c>
    </row>
    <row r="492" spans="1:81" s="450" customFormat="1" ht="12.75" hidden="1" customHeight="1">
      <c r="C492" s="677"/>
      <c r="F492" s="675" t="s">
        <v>2400</v>
      </c>
      <c r="M492" s="663"/>
      <c r="N492" s="663"/>
      <c r="O492" s="663"/>
      <c r="P492" s="663"/>
      <c r="Q492" s="451"/>
      <c r="R492" s="451"/>
      <c r="S492" s="451"/>
      <c r="T492" s="451"/>
      <c r="U492" s="451"/>
      <c r="V492" s="2547" t="s">
        <v>807</v>
      </c>
      <c r="W492" s="2547"/>
      <c r="X492" s="2547"/>
      <c r="Y492" s="451"/>
      <c r="Z492" s="451"/>
      <c r="AA492" s="451"/>
      <c r="AB492" s="451"/>
      <c r="AC492" s="451"/>
      <c r="AG492" s="513">
        <f>IF(AND($C$482="Yes",$V$485="N/A",$V$487="N/A", $V$496="N/A",$V$498="N/A"),(VLOOKUP($V$492,$AT$485:$AU$487,2,FALSE)),0)</f>
        <v>0</v>
      </c>
      <c r="AH492" s="540" t="s">
        <v>2164</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2401</v>
      </c>
      <c r="D494" s="614"/>
      <c r="E494" s="614"/>
      <c r="F494" s="680" t="s">
        <v>2402</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807</v>
      </c>
      <c r="AP494" s="450">
        <v>0</v>
      </c>
      <c r="AQ494" s="439"/>
    </row>
    <row r="495" spans="1:81" s="496" customFormat="1" ht="12.75" hidden="1" customHeight="1">
      <c r="A495" s="450"/>
      <c r="B495" s="450"/>
      <c r="C495" s="681"/>
      <c r="D495" s="2537"/>
      <c r="E495" s="2537"/>
      <c r="F495" s="671" t="s">
        <v>2403</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2404</v>
      </c>
      <c r="AP495" s="537">
        <v>5</v>
      </c>
      <c r="AQ495" s="439"/>
    </row>
    <row r="496" spans="1:81" s="470" customFormat="1" ht="12.75" hidden="1" customHeight="1">
      <c r="A496" s="579"/>
      <c r="B496" s="450"/>
      <c r="C496" s="662"/>
      <c r="D496" s="450"/>
      <c r="E496" s="450"/>
      <c r="F496" s="682" t="s">
        <v>2392</v>
      </c>
      <c r="G496" s="450"/>
      <c r="H496" s="450"/>
      <c r="I496" s="450"/>
      <c r="J496" s="450"/>
      <c r="K496" s="450"/>
      <c r="L496" s="450"/>
      <c r="M496" s="450"/>
      <c r="N496" s="450"/>
      <c r="O496" s="450"/>
      <c r="P496" s="450"/>
      <c r="Q496" s="450"/>
      <c r="R496" s="450"/>
      <c r="S496" s="450"/>
      <c r="T496" s="450"/>
      <c r="U496" s="450"/>
      <c r="V496" s="2547" t="s">
        <v>807</v>
      </c>
      <c r="W496" s="2547"/>
      <c r="X496" s="2547"/>
      <c r="Y496" s="450"/>
      <c r="Z496" s="450"/>
      <c r="AA496" s="450"/>
      <c r="AB496" s="450"/>
      <c r="AC496" s="450"/>
      <c r="AD496" s="450"/>
      <c r="AE496" s="450"/>
      <c r="AF496" s="450"/>
      <c r="AG496" s="513">
        <f>IF(AND($C$482="Yes",$V$485="N/A",V487="N/A",$V$492="N/A",$V$498="N/A"),(VLOOKUP($V$496,$BB$481:$BC$484,2,FALSE)),0)</f>
        <v>0</v>
      </c>
      <c r="AH496" s="540" t="s">
        <v>2164</v>
      </c>
      <c r="AI496" s="451"/>
      <c r="AJ496" s="450"/>
      <c r="AK496" s="632"/>
      <c r="AL496" s="450"/>
      <c r="AM496" s="450"/>
      <c r="AN496" s="584"/>
      <c r="AO496" s="450" t="s">
        <v>2405</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2406</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2393</v>
      </c>
      <c r="G498" s="666"/>
      <c r="H498" s="666"/>
      <c r="I498" s="627"/>
      <c r="J498" s="627"/>
      <c r="K498" s="627"/>
      <c r="L498" s="627"/>
      <c r="M498" s="627"/>
      <c r="N498" s="627"/>
      <c r="O498" s="627"/>
      <c r="P498" s="627"/>
      <c r="Q498" s="627"/>
      <c r="R498" s="627"/>
      <c r="S498" s="627"/>
      <c r="T498" s="627"/>
      <c r="U498" s="627"/>
      <c r="V498" s="2547" t="s">
        <v>807</v>
      </c>
      <c r="W498" s="2547"/>
      <c r="X498" s="2547"/>
      <c r="Y498" s="627"/>
      <c r="Z498" s="627"/>
      <c r="AA498" s="627"/>
      <c r="AB498" s="627"/>
      <c r="AC498" s="627"/>
      <c r="AD498" s="627"/>
      <c r="AE498" s="627"/>
      <c r="AF498" s="627"/>
      <c r="AG498" s="683">
        <f>IF(AND($C$482="Yes",$V$485="N/A",$V$487="N/A",$V$492="N/A",$V$496="N/A"),(VLOOKUP($V$498,$BF$481:$BG$483,2,FALSE)),0)</f>
        <v>0</v>
      </c>
      <c r="AH498" s="668" t="s">
        <v>2164</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2407</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72" t="s">
        <v>807</v>
      </c>
      <c r="D501" s="2473"/>
      <c r="E501" s="661" t="s">
        <v>51</v>
      </c>
      <c r="F501" s="2474" t="s">
        <v>2380</v>
      </c>
      <c r="G501" s="2474"/>
      <c r="H501" s="2474"/>
      <c r="I501" s="2474"/>
      <c r="J501" s="2474"/>
      <c r="K501" s="2474"/>
      <c r="L501" s="2474"/>
      <c r="M501" s="2474"/>
      <c r="N501" s="2474"/>
      <c r="O501" s="2474"/>
      <c r="P501" s="2474"/>
      <c r="Q501" s="2474"/>
      <c r="R501" s="2474"/>
      <c r="S501" s="2474"/>
      <c r="T501" s="2474"/>
      <c r="U501" s="2474"/>
      <c r="V501" s="2474"/>
      <c r="W501" s="2474"/>
      <c r="X501" s="2474"/>
      <c r="Y501" s="2474"/>
      <c r="Z501" s="2474"/>
      <c r="AA501" s="2474"/>
      <c r="AB501" s="2474"/>
      <c r="AC501" s="2474"/>
      <c r="AD501" s="2474"/>
      <c r="AE501" s="2474"/>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75"/>
      <c r="G502" s="2475"/>
      <c r="H502" s="2475"/>
      <c r="I502" s="2475"/>
      <c r="J502" s="2475"/>
      <c r="K502" s="2475"/>
      <c r="L502" s="2475"/>
      <c r="M502" s="2475"/>
      <c r="N502" s="2475"/>
      <c r="O502" s="2475"/>
      <c r="P502" s="2475"/>
      <c r="Q502" s="2475"/>
      <c r="R502" s="2475"/>
      <c r="S502" s="2475"/>
      <c r="T502" s="2475"/>
      <c r="U502" s="2475"/>
      <c r="V502" s="2475"/>
      <c r="W502" s="2475"/>
      <c r="X502" s="2475"/>
      <c r="Y502" s="2475"/>
      <c r="Z502" s="2475"/>
      <c r="AA502" s="2475"/>
      <c r="AB502" s="2475"/>
      <c r="AC502" s="2475"/>
      <c r="AD502" s="2475"/>
      <c r="AE502" s="2475"/>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43" t="s">
        <v>807</v>
      </c>
      <c r="G503" s="2543"/>
      <c r="H503" s="2543"/>
      <c r="I503" s="2543"/>
      <c r="J503" s="2543"/>
      <c r="K503" s="2543"/>
      <c r="L503" s="2543"/>
      <c r="M503" s="2543"/>
      <c r="N503" s="2543"/>
      <c r="O503" s="2543"/>
      <c r="P503" s="2543"/>
      <c r="Q503" s="2543"/>
      <c r="R503" s="2543"/>
      <c r="S503" s="2543"/>
      <c r="T503" s="2543"/>
      <c r="U503" s="2543"/>
      <c r="V503" s="2543"/>
      <c r="W503" s="2543"/>
      <c r="X503" s="2543"/>
      <c r="Y503" s="2543"/>
      <c r="Z503" s="2543"/>
      <c r="AA503" s="666"/>
      <c r="AB503" s="558"/>
      <c r="AC503" s="558"/>
      <c r="AD503" s="627"/>
      <c r="AE503" s="627"/>
      <c r="AF503" s="627"/>
      <c r="AG503" s="667">
        <f>IF($C$501="Yes",(VLOOKUP($F$503,$AO$471:$AP$479,2,FALSE)),0)</f>
        <v>0</v>
      </c>
      <c r="AH503" s="668" t="s">
        <v>2164</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72" t="s">
        <v>807</v>
      </c>
      <c r="D505" s="2473"/>
      <c r="E505" s="661" t="s">
        <v>53</v>
      </c>
      <c r="F505" s="2544" t="s">
        <v>2408</v>
      </c>
      <c r="G505" s="2544"/>
      <c r="H505" s="2544"/>
      <c r="I505" s="2544"/>
      <c r="J505" s="2544"/>
      <c r="K505" s="2544"/>
      <c r="L505" s="2544"/>
      <c r="M505" s="2544"/>
      <c r="N505" s="2544"/>
      <c r="O505" s="2544"/>
      <c r="P505" s="2544"/>
      <c r="Q505" s="2544"/>
      <c r="R505" s="2544"/>
      <c r="S505" s="2544"/>
      <c r="T505" s="2544"/>
      <c r="U505" s="2544"/>
      <c r="V505" s="2544"/>
      <c r="W505" s="2544"/>
      <c r="X505" s="2544"/>
      <c r="Y505" s="2544"/>
      <c r="Z505" s="2544"/>
      <c r="AA505" s="2544"/>
      <c r="AB505" s="2544"/>
      <c r="AC505" s="2544"/>
      <c r="AD505" s="2544"/>
      <c r="AE505" s="2544"/>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45"/>
      <c r="G506" s="2545"/>
      <c r="H506" s="2545"/>
      <c r="I506" s="2545"/>
      <c r="J506" s="2545"/>
      <c r="K506" s="2545"/>
      <c r="L506" s="2545"/>
      <c r="M506" s="2545"/>
      <c r="N506" s="2545"/>
      <c r="O506" s="2545"/>
      <c r="P506" s="2545"/>
      <c r="Q506" s="2545"/>
      <c r="R506" s="2545"/>
      <c r="S506" s="2545"/>
      <c r="T506" s="2545"/>
      <c r="U506" s="2545"/>
      <c r="V506" s="2545"/>
      <c r="W506" s="2545"/>
      <c r="X506" s="2545"/>
      <c r="Y506" s="2545"/>
      <c r="Z506" s="2545"/>
      <c r="AA506" s="2545"/>
      <c r="AB506" s="2545"/>
      <c r="AC506" s="2545"/>
      <c r="AD506" s="2545"/>
      <c r="AE506" s="2545"/>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2409</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546" t="s">
        <v>807</v>
      </c>
      <c r="G508" s="2546"/>
      <c r="H508" s="2546"/>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2164</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472" t="s">
        <v>807</v>
      </c>
      <c r="D510" s="2473"/>
      <c r="E510" s="661" t="s">
        <v>2410</v>
      </c>
      <c r="F510" s="680" t="s">
        <v>2411</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536"/>
      <c r="D512" s="2537"/>
      <c r="E512" s="672"/>
      <c r="F512" s="451" t="s">
        <v>2412</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2164</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38" t="s">
        <v>807</v>
      </c>
      <c r="H513" s="2538"/>
      <c r="I513" s="2538"/>
      <c r="J513" s="2538"/>
      <c r="K513" s="2538"/>
      <c r="L513" s="2538"/>
      <c r="M513" s="2538"/>
      <c r="N513" s="2538"/>
      <c r="O513" s="2538"/>
      <c r="P513" s="2538"/>
      <c r="Q513" s="2538"/>
      <c r="R513" s="2538"/>
      <c r="S513" s="2538"/>
      <c r="T513" s="2538"/>
      <c r="U513" s="2538"/>
      <c r="V513" s="2538"/>
      <c r="W513" s="2538"/>
      <c r="X513" s="2538"/>
      <c r="Y513" s="2538"/>
      <c r="Z513" s="2538"/>
      <c r="AA513" s="2538"/>
      <c r="AB513" s="2538"/>
      <c r="AC513" s="2538"/>
      <c r="AD513" s="2538"/>
      <c r="AE513" s="2538"/>
      <c r="AF513" s="2538"/>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76" t="s">
        <v>807</v>
      </c>
      <c r="D515" s="2477"/>
      <c r="F515" s="451" t="s">
        <v>2413</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2164</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2414</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2415</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76" t="s">
        <v>807</v>
      </c>
      <c r="D519" s="2477"/>
      <c r="F519" s="695" t="s">
        <v>2416</v>
      </c>
      <c r="G519" s="2450" t="s">
        <v>2417</v>
      </c>
      <c r="H519" s="2450"/>
      <c r="I519" s="2450"/>
      <c r="J519" s="2450"/>
      <c r="K519" s="2450"/>
      <c r="L519" s="2450"/>
      <c r="M519" s="2450"/>
      <c r="N519" s="2450"/>
      <c r="O519" s="2450"/>
      <c r="P519" s="2450"/>
      <c r="Q519" s="2450"/>
      <c r="R519" s="2450"/>
      <c r="S519" s="2450"/>
      <c r="T519" s="2450"/>
      <c r="U519" s="2450"/>
      <c r="V519" s="2450"/>
      <c r="W519" s="2450"/>
      <c r="X519" s="2450"/>
      <c r="Y519" s="2450"/>
      <c r="Z519" s="2450"/>
      <c r="AA519" s="2450"/>
      <c r="AB519" s="2450"/>
      <c r="AC519" s="2450"/>
      <c r="AD519" s="2450"/>
      <c r="AE519" s="2450"/>
      <c r="AF519" s="2450"/>
      <c r="AG519" s="513">
        <f>IF(AND($C$519="Yes",$C$510="Yes"),2,0)</f>
        <v>0</v>
      </c>
      <c r="AH519" s="540" t="s">
        <v>2164</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69"/>
      <c r="H520" s="2469"/>
      <c r="I520" s="2469"/>
      <c r="J520" s="2469"/>
      <c r="K520" s="2469"/>
      <c r="L520" s="2469"/>
      <c r="M520" s="2469"/>
      <c r="N520" s="2469"/>
      <c r="O520" s="2469"/>
      <c r="P520" s="2469"/>
      <c r="Q520" s="2469"/>
      <c r="R520" s="2469"/>
      <c r="S520" s="2469"/>
      <c r="T520" s="2469"/>
      <c r="U520" s="2469"/>
      <c r="V520" s="2469"/>
      <c r="W520" s="2469"/>
      <c r="X520" s="2469"/>
      <c r="Y520" s="2469"/>
      <c r="Z520" s="2469"/>
      <c r="AA520" s="2469"/>
      <c r="AB520" s="2469"/>
      <c r="AC520" s="2469"/>
      <c r="AD520" s="2469"/>
      <c r="AE520" s="2469"/>
      <c r="AF520" s="2469"/>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2418</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78" t="s">
        <v>807</v>
      </c>
      <c r="D523" s="2479"/>
      <c r="E523" s="702" t="s">
        <v>2419</v>
      </c>
      <c r="F523" s="671" t="s">
        <v>2420</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2164</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80" t="s">
        <v>807</v>
      </c>
      <c r="G524" s="2480"/>
      <c r="H524" s="2480"/>
      <c r="I524" s="2480"/>
      <c r="J524" s="2480"/>
      <c r="K524" s="2480"/>
      <c r="L524" s="2480"/>
      <c r="M524" s="2480"/>
      <c r="N524" s="2480"/>
      <c r="O524" s="2480"/>
      <c r="P524" s="2480"/>
      <c r="Q524" s="2480"/>
      <c r="R524" s="2480"/>
      <c r="S524" s="2480"/>
      <c r="T524" s="2480"/>
      <c r="U524" s="2480"/>
      <c r="V524" s="2480"/>
      <c r="W524" s="2480"/>
      <c r="X524" s="2480"/>
      <c r="Y524" s="2480"/>
      <c r="Z524" s="2480"/>
      <c r="AA524" s="2480"/>
      <c r="AB524" s="2480"/>
      <c r="AC524" s="2480"/>
      <c r="AD524" s="2480"/>
      <c r="AE524" s="2480"/>
      <c r="AF524" s="2480"/>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81"/>
      <c r="G525" s="2481"/>
      <c r="H525" s="2481"/>
      <c r="I525" s="2481"/>
      <c r="J525" s="2481"/>
      <c r="K525" s="2481"/>
      <c r="L525" s="2481"/>
      <c r="M525" s="2481"/>
      <c r="N525" s="2481"/>
      <c r="O525" s="2481"/>
      <c r="P525" s="2481"/>
      <c r="Q525" s="2481"/>
      <c r="R525" s="2481"/>
      <c r="S525" s="2481"/>
      <c r="T525" s="2481"/>
      <c r="U525" s="2481"/>
      <c r="V525" s="2481"/>
      <c r="W525" s="2481"/>
      <c r="X525" s="2481"/>
      <c r="Y525" s="2481"/>
      <c r="Z525" s="2481"/>
      <c r="AA525" s="2481"/>
      <c r="AB525" s="2481"/>
      <c r="AC525" s="2481"/>
      <c r="AD525" s="2481"/>
      <c r="AE525" s="2481"/>
      <c r="AF525" s="2481"/>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2421</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2422</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2423</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2424</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2425</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2426</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2427</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2428</v>
      </c>
      <c r="AK535" s="2406">
        <f>SUM(AG479:AG524)</f>
        <v>0</v>
      </c>
      <c r="AL535" s="2407"/>
      <c r="AM535" s="2408"/>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2429</v>
      </c>
      <c r="B538" s="439" t="s">
        <v>2430</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36" t="s">
        <v>2431</v>
      </c>
      <c r="AF538" s="2336"/>
      <c r="AG538" s="2336"/>
      <c r="AH538" s="2336"/>
      <c r="AI538" s="2336"/>
      <c r="AJ538" s="2336"/>
      <c r="AK538" s="2336"/>
      <c r="AL538" s="495"/>
      <c r="AM538" s="495"/>
      <c r="AN538" s="497"/>
    </row>
    <row r="539" spans="1:81" s="450" customFormat="1" ht="12.75" customHeight="1">
      <c r="A539" s="439"/>
      <c r="B539" s="439" t="s">
        <v>2160</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03" t="s">
        <v>807</v>
      </c>
      <c r="D541" s="2403"/>
      <c r="E541" s="451"/>
      <c r="F541" s="2530" t="s">
        <v>2432</v>
      </c>
      <c r="G541" s="2531"/>
      <c r="H541" s="2531"/>
      <c r="I541" s="2531"/>
      <c r="J541" s="2531"/>
      <c r="K541" s="2531"/>
      <c r="L541" s="2531"/>
      <c r="M541" s="2531"/>
      <c r="N541" s="2531"/>
      <c r="O541" s="2531"/>
      <c r="P541" s="2531"/>
      <c r="Q541" s="2531"/>
      <c r="R541" s="2531"/>
      <c r="S541" s="2531"/>
      <c r="T541" s="2531"/>
      <c r="U541" s="2531"/>
      <c r="V541" s="2531"/>
      <c r="W541" s="2531"/>
      <c r="X541" s="2531"/>
      <c r="Y541" s="2531"/>
      <c r="Z541" s="2531"/>
      <c r="AA541" s="2531"/>
      <c r="AB541" s="2531"/>
      <c r="AC541" s="2531"/>
      <c r="AD541" s="2531"/>
      <c r="AE541" s="2531"/>
      <c r="AF541" s="2531"/>
      <c r="AG541" s="2531"/>
      <c r="AH541" s="2531"/>
      <c r="AI541" s="2531"/>
      <c r="AJ541" s="2531"/>
      <c r="AK541" s="2531"/>
      <c r="AL541" s="2532"/>
      <c r="AM541" s="495"/>
      <c r="AN541" s="497"/>
    </row>
    <row r="542" spans="1:81" s="450" customFormat="1" ht="12.75" customHeight="1">
      <c r="A542" s="439"/>
      <c r="B542" s="439"/>
      <c r="C542" s="451"/>
      <c r="D542" s="451"/>
      <c r="E542" s="451"/>
      <c r="F542" s="2533"/>
      <c r="G542" s="2534"/>
      <c r="H542" s="2534"/>
      <c r="I542" s="2534"/>
      <c r="J542" s="2534"/>
      <c r="K542" s="2534"/>
      <c r="L542" s="2534"/>
      <c r="M542" s="2534"/>
      <c r="N542" s="2534"/>
      <c r="O542" s="2534"/>
      <c r="P542" s="2534"/>
      <c r="Q542" s="2534"/>
      <c r="R542" s="2534"/>
      <c r="S542" s="2534"/>
      <c r="T542" s="2534"/>
      <c r="U542" s="2534"/>
      <c r="V542" s="2534"/>
      <c r="W542" s="2534"/>
      <c r="X542" s="2534"/>
      <c r="Y542" s="2534"/>
      <c r="Z542" s="2534"/>
      <c r="AA542" s="2534"/>
      <c r="AB542" s="2534"/>
      <c r="AC542" s="2534"/>
      <c r="AD542" s="2534"/>
      <c r="AE542" s="2534"/>
      <c r="AF542" s="2534"/>
      <c r="AG542" s="2534"/>
      <c r="AH542" s="2534"/>
      <c r="AI542" s="2534"/>
      <c r="AJ542" s="2534"/>
      <c r="AK542" s="2534"/>
      <c r="AL542" s="2535"/>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03" t="s">
        <v>843</v>
      </c>
      <c r="D544" s="2403"/>
      <c r="E544" s="706"/>
      <c r="F544" s="544" t="s">
        <v>2433</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25" t="s">
        <v>2434</v>
      </c>
      <c r="G545" s="2426"/>
      <c r="H545" s="2426"/>
      <c r="I545" s="2426"/>
      <c r="J545" s="2426"/>
      <c r="K545" s="2426"/>
      <c r="L545" s="2426"/>
      <c r="M545" s="2426"/>
      <c r="N545" s="2426"/>
      <c r="O545" s="2426"/>
      <c r="P545" s="2426"/>
      <c r="Q545" s="2426"/>
      <c r="R545" s="2426"/>
      <c r="S545" s="2426"/>
      <c r="T545" s="2426"/>
      <c r="U545" s="2426"/>
      <c r="V545" s="2426"/>
      <c r="W545" s="2426"/>
      <c r="X545" s="2426"/>
      <c r="Y545" s="2426"/>
      <c r="Z545" s="2426"/>
      <c r="AA545" s="2426"/>
      <c r="AB545" s="2426"/>
      <c r="AC545" s="2426"/>
      <c r="AD545" s="2426"/>
      <c r="AE545" s="2426"/>
      <c r="AF545" s="2426"/>
      <c r="AG545" s="2426"/>
      <c r="AH545" s="2426"/>
      <c r="AI545" s="2426"/>
      <c r="AJ545" s="2426"/>
      <c r="AK545" s="2426"/>
      <c r="AL545" s="2427"/>
      <c r="AM545" s="495"/>
      <c r="AN545" s="497"/>
      <c r="AS545" s="769"/>
      <c r="AT545" s="769"/>
      <c r="AU545" s="769"/>
      <c r="AV545" s="769"/>
      <c r="AW545" s="769"/>
    </row>
    <row r="546" spans="1:49" s="450" customFormat="1" ht="12.75" customHeight="1">
      <c r="B546" s="706"/>
      <c r="C546" s="706"/>
      <c r="D546" s="706"/>
      <c r="E546" s="706"/>
      <c r="F546" s="2425"/>
      <c r="G546" s="2426"/>
      <c r="H546" s="2426"/>
      <c r="I546" s="2426"/>
      <c r="J546" s="2426"/>
      <c r="K546" s="2426"/>
      <c r="L546" s="2426"/>
      <c r="M546" s="2426"/>
      <c r="N546" s="2426"/>
      <c r="O546" s="2426"/>
      <c r="P546" s="2426"/>
      <c r="Q546" s="2426"/>
      <c r="R546" s="2426"/>
      <c r="S546" s="2426"/>
      <c r="T546" s="2426"/>
      <c r="U546" s="2426"/>
      <c r="V546" s="2426"/>
      <c r="W546" s="2426"/>
      <c r="X546" s="2426"/>
      <c r="Y546" s="2426"/>
      <c r="Z546" s="2426"/>
      <c r="AA546" s="2426"/>
      <c r="AB546" s="2426"/>
      <c r="AC546" s="2426"/>
      <c r="AD546" s="2426"/>
      <c r="AE546" s="2426"/>
      <c r="AF546" s="2426"/>
      <c r="AG546" s="2426"/>
      <c r="AH546" s="2426"/>
      <c r="AI546" s="2426"/>
      <c r="AJ546" s="2426"/>
      <c r="AK546" s="2426"/>
      <c r="AL546" s="2427"/>
      <c r="AM546" s="495"/>
      <c r="AN546" s="497"/>
    </row>
    <row r="547" spans="1:49" s="450" customFormat="1" ht="12.75" customHeight="1">
      <c r="B547" s="706"/>
      <c r="C547" s="706"/>
      <c r="D547" s="706"/>
      <c r="E547" s="706"/>
      <c r="F547" s="711" t="s">
        <v>2435</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25" t="s">
        <v>2436</v>
      </c>
      <c r="G548" s="2426"/>
      <c r="H548" s="2426"/>
      <c r="I548" s="2426"/>
      <c r="J548" s="2426"/>
      <c r="K548" s="2426"/>
      <c r="L548" s="2426"/>
      <c r="M548" s="2426"/>
      <c r="N548" s="2426"/>
      <c r="O548" s="2426"/>
      <c r="P548" s="2426"/>
      <c r="Q548" s="2426"/>
      <c r="R548" s="2426"/>
      <c r="S548" s="2426"/>
      <c r="T548" s="2426"/>
      <c r="U548" s="2426"/>
      <c r="V548" s="2426"/>
      <c r="W548" s="2426"/>
      <c r="X548" s="2426"/>
      <c r="Y548" s="2426"/>
      <c r="Z548" s="2426"/>
      <c r="AA548" s="2426"/>
      <c r="AB548" s="2426"/>
      <c r="AC548" s="2426"/>
      <c r="AD548" s="2426"/>
      <c r="AE548" s="2426"/>
      <c r="AF548" s="2426"/>
      <c r="AG548" s="2426"/>
      <c r="AH548" s="2426"/>
      <c r="AI548" s="2426"/>
      <c r="AJ548" s="2426"/>
      <c r="AK548" s="2426"/>
      <c r="AL548" s="713"/>
      <c r="AM548" s="495"/>
      <c r="AN548" s="497"/>
    </row>
    <row r="549" spans="1:49" s="450" customFormat="1" ht="12.75" customHeight="1">
      <c r="B549" s="706"/>
      <c r="C549" s="706"/>
      <c r="D549" s="706"/>
      <c r="E549" s="706"/>
      <c r="F549" s="2428"/>
      <c r="G549" s="2429"/>
      <c r="H549" s="2429"/>
      <c r="I549" s="2429"/>
      <c r="J549" s="2429"/>
      <c r="K549" s="2429"/>
      <c r="L549" s="2429"/>
      <c r="M549" s="2429"/>
      <c r="N549" s="2429"/>
      <c r="O549" s="2429"/>
      <c r="P549" s="2429"/>
      <c r="Q549" s="2429"/>
      <c r="R549" s="2429"/>
      <c r="S549" s="2429"/>
      <c r="T549" s="2429"/>
      <c r="U549" s="2429"/>
      <c r="V549" s="2429"/>
      <c r="W549" s="2429"/>
      <c r="X549" s="2429"/>
      <c r="Y549" s="2429"/>
      <c r="Z549" s="2429"/>
      <c r="AA549" s="2429"/>
      <c r="AB549" s="2429"/>
      <c r="AC549" s="2429"/>
      <c r="AD549" s="2429"/>
      <c r="AE549" s="2429"/>
      <c r="AF549" s="2429"/>
      <c r="AG549" s="2429"/>
      <c r="AH549" s="2429"/>
      <c r="AI549" s="2429"/>
      <c r="AJ549" s="2429"/>
      <c r="AK549" s="2429"/>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52">
        <f>Application!AJ992</f>
        <v>128282034</v>
      </c>
      <c r="AQ550" s="2552"/>
      <c r="AR550" s="2552"/>
      <c r="AS550" s="450" t="s">
        <v>2437</v>
      </c>
    </row>
    <row r="551" spans="1:49" s="450" customFormat="1" ht="12.75" customHeight="1">
      <c r="A551" s="399"/>
      <c r="B551" s="349" t="s">
        <v>2438</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09">
        <f>'Sources and Uses Budget'!S107+'Sources and Uses Budget'!T107</f>
        <v>81876243</v>
      </c>
      <c r="AG551" s="2409"/>
      <c r="AH551" s="2409"/>
      <c r="AI551" s="2409"/>
      <c r="AJ551" s="2409"/>
      <c r="AK551" s="495"/>
      <c r="AL551" s="495"/>
      <c r="AM551" s="495"/>
      <c r="AN551" s="497"/>
    </row>
    <row r="552" spans="1:49" s="450" customFormat="1" ht="12.75" customHeight="1">
      <c r="A552" s="525"/>
      <c r="B552" s="525" t="s">
        <v>2439</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57">
        <f>IFERROR(AP559,0)</f>
        <v>191900454.63999999</v>
      </c>
      <c r="AG552" s="2557"/>
      <c r="AH552" s="2557"/>
      <c r="AI552" s="2557"/>
      <c r="AJ552" s="2557"/>
      <c r="AK552" s="495"/>
      <c r="AL552" s="495"/>
      <c r="AM552" s="495"/>
      <c r="AN552" s="497"/>
      <c r="AP552" s="2552">
        <f>Application!AJ1045</f>
        <v>12828203.4</v>
      </c>
      <c r="AQ552" s="2552"/>
      <c r="AR552" s="2552"/>
      <c r="AS552" s="450" t="s">
        <v>1705</v>
      </c>
    </row>
    <row r="553" spans="1:49" s="450" customFormat="1" ht="12.75" customHeight="1">
      <c r="A553" s="524"/>
      <c r="B553" s="524" t="s">
        <v>1633</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58">
        <f>IFERROR(ROUNDDOWN(IF(C544="YES",((1-(AF551/AF552))*2),(1-(AF551/AF552))),2),0)</f>
        <v>1.1399999999999999</v>
      </c>
      <c r="AG553" s="2558"/>
      <c r="AH553" s="2558"/>
      <c r="AI553" s="2558"/>
      <c r="AJ553" s="2558"/>
      <c r="AK553" s="495"/>
      <c r="AL553" s="495"/>
      <c r="AM553" s="495"/>
      <c r="AN553" s="497"/>
      <c r="AP553" s="2555">
        <f>Application!AJ1049</f>
        <v>46181532.239999995</v>
      </c>
      <c r="AQ553" s="2555"/>
      <c r="AR553" s="2555"/>
      <c r="AS553" s="450" t="s">
        <v>1715</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51">
        <f>IF(((AP552+AP553)/AP550)&gt;0.8,0.8,((AP552+AP553)/AP550))</f>
        <v>0.45999999999999996</v>
      </c>
      <c r="AQ554" s="2551"/>
      <c r="AR554" s="2551"/>
      <c r="AS554" s="450" t="s">
        <v>2440</v>
      </c>
    </row>
    <row r="555" spans="1:49" s="450" customFormat="1" ht="12.75" customHeight="1">
      <c r="A555" s="524"/>
      <c r="B555" s="2488" t="s">
        <v>2441</v>
      </c>
      <c r="C555" s="2489"/>
      <c r="D555" s="2489"/>
      <c r="E555" s="2489"/>
      <c r="F555" s="2489"/>
      <c r="G555" s="2489"/>
      <c r="H555" s="2489"/>
      <c r="I555" s="2489"/>
      <c r="J555" s="2489"/>
      <c r="K555" s="2489"/>
      <c r="L555" s="2489"/>
      <c r="M555" s="2489"/>
      <c r="N555" s="2489"/>
      <c r="O555" s="2489"/>
      <c r="P555" s="2489"/>
      <c r="Q555" s="2489"/>
      <c r="R555" s="2489"/>
      <c r="S555" s="2489"/>
      <c r="T555" s="2489"/>
      <c r="U555" s="2489"/>
      <c r="V555" s="2489"/>
      <c r="W555" s="2489"/>
      <c r="X555" s="2489"/>
      <c r="Y555" s="2489"/>
      <c r="Z555" s="2489"/>
      <c r="AA555" s="2489"/>
      <c r="AB555" s="2489"/>
      <c r="AC555" s="2489"/>
      <c r="AD555" s="2489"/>
      <c r="AE555" s="2489"/>
      <c r="AF555" s="2489"/>
      <c r="AG555" s="2489"/>
      <c r="AH555" s="2489"/>
      <c r="AI555" s="2489"/>
      <c r="AJ555" s="2490"/>
      <c r="AK555" s="495"/>
      <c r="AL555" s="495"/>
      <c r="AM555" s="495"/>
      <c r="AN555" s="497"/>
    </row>
    <row r="556" spans="1:49" s="450" customFormat="1" ht="12.75" customHeight="1">
      <c r="A556" s="524"/>
      <c r="B556" s="2491"/>
      <c r="C556" s="2492"/>
      <c r="D556" s="2492"/>
      <c r="E556" s="2492"/>
      <c r="F556" s="2492"/>
      <c r="G556" s="2492"/>
      <c r="H556" s="2492"/>
      <c r="I556" s="2492"/>
      <c r="J556" s="2492"/>
      <c r="K556" s="2492"/>
      <c r="L556" s="2492"/>
      <c r="M556" s="2492"/>
      <c r="N556" s="2492"/>
      <c r="O556" s="2492"/>
      <c r="P556" s="2492"/>
      <c r="Q556" s="2492"/>
      <c r="R556" s="2492"/>
      <c r="S556" s="2492"/>
      <c r="T556" s="2492"/>
      <c r="U556" s="2492"/>
      <c r="V556" s="2492"/>
      <c r="W556" s="2492"/>
      <c r="X556" s="2492"/>
      <c r="Y556" s="2492"/>
      <c r="Z556" s="2492"/>
      <c r="AA556" s="2492"/>
      <c r="AB556" s="2492"/>
      <c r="AC556" s="2492"/>
      <c r="AD556" s="2492"/>
      <c r="AE556" s="2492"/>
      <c r="AF556" s="2492"/>
      <c r="AG556" s="2492"/>
      <c r="AH556" s="2492"/>
      <c r="AI556" s="2492"/>
      <c r="AJ556" s="2493"/>
      <c r="AK556" s="495"/>
      <c r="AL556" s="495"/>
      <c r="AM556" s="495"/>
      <c r="AN556" s="497"/>
      <c r="AP556" s="2552">
        <f>AP557-AP552-AP553</f>
        <v>132890718.99999999</v>
      </c>
      <c r="AQ556" s="2461"/>
      <c r="AR556" s="2461"/>
      <c r="AS556" s="450" t="s">
        <v>2442</v>
      </c>
    </row>
    <row r="557" spans="1:49" s="450" customFormat="1" ht="12.75" customHeight="1">
      <c r="A557" s="524"/>
      <c r="B557" s="2494"/>
      <c r="C557" s="2495"/>
      <c r="D557" s="2495"/>
      <c r="E557" s="2495"/>
      <c r="F557" s="2495"/>
      <c r="G557" s="2495"/>
      <c r="H557" s="2495"/>
      <c r="I557" s="2495"/>
      <c r="J557" s="2495"/>
      <c r="K557" s="2495"/>
      <c r="L557" s="2495"/>
      <c r="M557" s="2495"/>
      <c r="N557" s="2495"/>
      <c r="O557" s="2495"/>
      <c r="P557" s="2495"/>
      <c r="Q557" s="2495"/>
      <c r="R557" s="2495"/>
      <c r="S557" s="2495"/>
      <c r="T557" s="2495"/>
      <c r="U557" s="2495"/>
      <c r="V557" s="2495"/>
      <c r="W557" s="2495"/>
      <c r="X557" s="2495"/>
      <c r="Y557" s="2495"/>
      <c r="Z557" s="2495"/>
      <c r="AA557" s="2495"/>
      <c r="AB557" s="2495"/>
      <c r="AC557" s="2495"/>
      <c r="AD557" s="2495"/>
      <c r="AE557" s="2495"/>
      <c r="AF557" s="2495"/>
      <c r="AG557" s="2495"/>
      <c r="AH557" s="2495"/>
      <c r="AI557" s="2495"/>
      <c r="AJ557" s="2496"/>
      <c r="AK557" s="495"/>
      <c r="AL557" s="495"/>
      <c r="AM557" s="495"/>
      <c r="AN557" s="497"/>
      <c r="AP557" s="2552">
        <f>Application!AJ1053</f>
        <v>191900454.63999999</v>
      </c>
      <c r="AQ557" s="2552"/>
      <c r="AR557" s="2552"/>
      <c r="AS557" s="450" t="s">
        <v>2443</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2444</v>
      </c>
      <c r="AK559" s="2497">
        <f>IFERROR(IF(AND(C541="N/A",C544="N/A"),0,IF(AF553=0,0,IF((AF553*100)&gt;12,12,(AF553*100)))),0)</f>
        <v>12</v>
      </c>
      <c r="AL559" s="2497"/>
      <c r="AM559" s="2498"/>
      <c r="AN559" s="497"/>
      <c r="AP559" s="2569">
        <f>AP556+(AP550*AP554)</f>
        <v>191900454.63999999</v>
      </c>
      <c r="AQ559" s="2570"/>
      <c r="AR559" s="2571"/>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2445</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36" t="s">
        <v>2144</v>
      </c>
      <c r="AF562" s="2336"/>
      <c r="AG562" s="2336"/>
      <c r="AH562" s="2336"/>
      <c r="AI562" s="2336"/>
      <c r="AJ562" s="2336"/>
      <c r="AK562" s="2336"/>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26" t="s">
        <v>2446</v>
      </c>
      <c r="C564" s="2426"/>
      <c r="D564" s="2426"/>
      <c r="E564" s="2426"/>
      <c r="F564" s="2426"/>
      <c r="G564" s="2426"/>
      <c r="H564" s="2426"/>
      <c r="I564" s="2426"/>
      <c r="J564" s="2426"/>
      <c r="K564" s="2426"/>
      <c r="L564" s="2426"/>
      <c r="M564" s="2426"/>
      <c r="N564" s="2426"/>
      <c r="O564" s="2426"/>
      <c r="P564" s="2426"/>
      <c r="Q564" s="2426"/>
      <c r="R564" s="2426"/>
      <c r="S564" s="2426"/>
      <c r="T564" s="2426"/>
      <c r="U564" s="2426"/>
      <c r="V564" s="2426"/>
      <c r="W564" s="2426"/>
      <c r="X564" s="2426"/>
      <c r="Y564" s="2426"/>
      <c r="Z564" s="2426"/>
      <c r="AA564" s="2426"/>
      <c r="AB564" s="2426"/>
      <c r="AC564" s="2426"/>
      <c r="AD564" s="2426"/>
      <c r="AE564" s="2426"/>
      <c r="AF564" s="2426"/>
      <c r="AG564" s="2426"/>
      <c r="AH564" s="2426"/>
      <c r="AI564" s="2426"/>
      <c r="AJ564" s="2426"/>
      <c r="AK564" s="542"/>
      <c r="AL564" s="473"/>
      <c r="AM564" s="503"/>
      <c r="AN564" s="497"/>
    </row>
    <row r="565" spans="1:42" s="450" customFormat="1" ht="12.75" customHeight="1">
      <c r="A565" s="503"/>
      <c r="B565" s="2426"/>
      <c r="C565" s="2426"/>
      <c r="D565" s="2426"/>
      <c r="E565" s="2426"/>
      <c r="F565" s="2426"/>
      <c r="G565" s="2426"/>
      <c r="H565" s="2426"/>
      <c r="I565" s="2426"/>
      <c r="J565" s="2426"/>
      <c r="K565" s="2426"/>
      <c r="L565" s="2426"/>
      <c r="M565" s="2426"/>
      <c r="N565" s="2426"/>
      <c r="O565" s="2426"/>
      <c r="P565" s="2426"/>
      <c r="Q565" s="2426"/>
      <c r="R565" s="2426"/>
      <c r="S565" s="2426"/>
      <c r="T565" s="2426"/>
      <c r="U565" s="2426"/>
      <c r="V565" s="2426"/>
      <c r="W565" s="2426"/>
      <c r="X565" s="2426"/>
      <c r="Y565" s="2426"/>
      <c r="Z565" s="2426"/>
      <c r="AA565" s="2426"/>
      <c r="AB565" s="2426"/>
      <c r="AC565" s="2426"/>
      <c r="AD565" s="2426"/>
      <c r="AE565" s="2426"/>
      <c r="AF565" s="2426"/>
      <c r="AG565" s="2426"/>
      <c r="AH565" s="2426"/>
      <c r="AI565" s="2426"/>
      <c r="AJ565" s="2426"/>
      <c r="AK565" s="542"/>
      <c r="AL565" s="473"/>
      <c r="AM565" s="503"/>
      <c r="AN565" s="497"/>
    </row>
    <row r="566" spans="1:42" s="450" customFormat="1" ht="12.75" customHeight="1">
      <c r="A566" s="503"/>
      <c r="B566" s="2426"/>
      <c r="C566" s="2426"/>
      <c r="D566" s="2426"/>
      <c r="E566" s="2426"/>
      <c r="F566" s="2426"/>
      <c r="G566" s="2426"/>
      <c r="H566" s="2426"/>
      <c r="I566" s="2426"/>
      <c r="J566" s="2426"/>
      <c r="K566" s="2426"/>
      <c r="L566" s="2426"/>
      <c r="M566" s="2426"/>
      <c r="N566" s="2426"/>
      <c r="O566" s="2426"/>
      <c r="P566" s="2426"/>
      <c r="Q566" s="2426"/>
      <c r="R566" s="2426"/>
      <c r="S566" s="2426"/>
      <c r="T566" s="2426"/>
      <c r="U566" s="2426"/>
      <c r="V566" s="2426"/>
      <c r="W566" s="2426"/>
      <c r="X566" s="2426"/>
      <c r="Y566" s="2426"/>
      <c r="Z566" s="2426"/>
      <c r="AA566" s="2426"/>
      <c r="AB566" s="2426"/>
      <c r="AC566" s="2426"/>
      <c r="AD566" s="2426"/>
      <c r="AE566" s="2426"/>
      <c r="AF566" s="2426"/>
      <c r="AG566" s="2426"/>
      <c r="AH566" s="2426"/>
      <c r="AI566" s="2426"/>
      <c r="AJ566" s="2426"/>
      <c r="AK566" s="542"/>
      <c r="AL566" s="473"/>
      <c r="AM566" s="503"/>
      <c r="AN566" s="497"/>
    </row>
    <row r="567" spans="1:42" s="450" customFormat="1" ht="12.75" customHeight="1">
      <c r="A567" s="503"/>
      <c r="B567" s="2426"/>
      <c r="C567" s="2426"/>
      <c r="D567" s="2426"/>
      <c r="E567" s="2426"/>
      <c r="F567" s="2426"/>
      <c r="G567" s="2426"/>
      <c r="H567" s="2426"/>
      <c r="I567" s="2426"/>
      <c r="J567" s="2426"/>
      <c r="K567" s="2426"/>
      <c r="L567" s="2426"/>
      <c r="M567" s="2426"/>
      <c r="N567" s="2426"/>
      <c r="O567" s="2426"/>
      <c r="P567" s="2426"/>
      <c r="Q567" s="2426"/>
      <c r="R567" s="2426"/>
      <c r="S567" s="2426"/>
      <c r="T567" s="2426"/>
      <c r="U567" s="2426"/>
      <c r="V567" s="2426"/>
      <c r="W567" s="2426"/>
      <c r="X567" s="2426"/>
      <c r="Y567" s="2426"/>
      <c r="Z567" s="2426"/>
      <c r="AA567" s="2426"/>
      <c r="AB567" s="2426"/>
      <c r="AC567" s="2426"/>
      <c r="AD567" s="2426"/>
      <c r="AE567" s="2426"/>
      <c r="AF567" s="2426"/>
      <c r="AG567" s="2426"/>
      <c r="AH567" s="2426"/>
      <c r="AI567" s="2426"/>
      <c r="AJ567" s="2426"/>
      <c r="AK567" s="542"/>
      <c r="AL567" s="473"/>
      <c r="AM567" s="503"/>
      <c r="AN567" s="497"/>
    </row>
    <row r="568" spans="1:42" s="450" customFormat="1" ht="12.75" customHeight="1">
      <c r="A568" s="503"/>
      <c r="B568" s="2426"/>
      <c r="C568" s="2426"/>
      <c r="D568" s="2426"/>
      <c r="E568" s="2426"/>
      <c r="F568" s="2426"/>
      <c r="G568" s="2426"/>
      <c r="H568" s="2426"/>
      <c r="I568" s="2426"/>
      <c r="J568" s="2426"/>
      <c r="K568" s="2426"/>
      <c r="L568" s="2426"/>
      <c r="M568" s="2426"/>
      <c r="N568" s="2426"/>
      <c r="O568" s="2426"/>
      <c r="P568" s="2426"/>
      <c r="Q568" s="2426"/>
      <c r="R568" s="2426"/>
      <c r="S568" s="2426"/>
      <c r="T568" s="2426"/>
      <c r="U568" s="2426"/>
      <c r="V568" s="2426"/>
      <c r="W568" s="2426"/>
      <c r="X568" s="2426"/>
      <c r="Y568" s="2426"/>
      <c r="Z568" s="2426"/>
      <c r="AA568" s="2426"/>
      <c r="AB568" s="2426"/>
      <c r="AC568" s="2426"/>
      <c r="AD568" s="2426"/>
      <c r="AE568" s="2426"/>
      <c r="AF568" s="2426"/>
      <c r="AG568" s="2426"/>
      <c r="AH568" s="2426"/>
      <c r="AI568" s="2426"/>
      <c r="AJ568" s="2426"/>
      <c r="AK568" s="542"/>
      <c r="AL568" s="473"/>
      <c r="AM568" s="503"/>
      <c r="AN568" s="497"/>
    </row>
    <row r="569" spans="1:42" s="450" customFormat="1" ht="12.75" customHeight="1">
      <c r="A569" s="503"/>
      <c r="B569" s="2426"/>
      <c r="C569" s="2426"/>
      <c r="D569" s="2426"/>
      <c r="E569" s="2426"/>
      <c r="F569" s="2426"/>
      <c r="G569" s="2426"/>
      <c r="H569" s="2426"/>
      <c r="I569" s="2426"/>
      <c r="J569" s="2426"/>
      <c r="K569" s="2426"/>
      <c r="L569" s="2426"/>
      <c r="M569" s="2426"/>
      <c r="N569" s="2426"/>
      <c r="O569" s="2426"/>
      <c r="P569" s="2426"/>
      <c r="Q569" s="2426"/>
      <c r="R569" s="2426"/>
      <c r="S569" s="2426"/>
      <c r="T569" s="2426"/>
      <c r="U569" s="2426"/>
      <c r="V569" s="2426"/>
      <c r="W569" s="2426"/>
      <c r="X569" s="2426"/>
      <c r="Y569" s="2426"/>
      <c r="Z569" s="2426"/>
      <c r="AA569" s="2426"/>
      <c r="AB569" s="2426"/>
      <c r="AC569" s="2426"/>
      <c r="AD569" s="2426"/>
      <c r="AE569" s="2426"/>
      <c r="AF569" s="2426"/>
      <c r="AG569" s="2426"/>
      <c r="AH569" s="2426"/>
      <c r="AI569" s="2426"/>
      <c r="AJ569" s="2426"/>
      <c r="AK569" s="542"/>
      <c r="AL569" s="473"/>
      <c r="AM569" s="503"/>
      <c r="AN569" s="497"/>
    </row>
    <row r="570" spans="1:42" s="450" customFormat="1" ht="12.75" customHeight="1">
      <c r="A570" s="503"/>
      <c r="B570" s="2426"/>
      <c r="C570" s="2426"/>
      <c r="D570" s="2426"/>
      <c r="E570" s="2426"/>
      <c r="F570" s="2426"/>
      <c r="G570" s="2426"/>
      <c r="H570" s="2426"/>
      <c r="I570" s="2426"/>
      <c r="J570" s="2426"/>
      <c r="K570" s="2426"/>
      <c r="L570" s="2426"/>
      <c r="M570" s="2426"/>
      <c r="N570" s="2426"/>
      <c r="O570" s="2426"/>
      <c r="P570" s="2426"/>
      <c r="Q570" s="2426"/>
      <c r="R570" s="2426"/>
      <c r="S570" s="2426"/>
      <c r="T570" s="2426"/>
      <c r="U570" s="2426"/>
      <c r="V570" s="2426"/>
      <c r="W570" s="2426"/>
      <c r="X570" s="2426"/>
      <c r="Y570" s="2426"/>
      <c r="Z570" s="2426"/>
      <c r="AA570" s="2426"/>
      <c r="AB570" s="2426"/>
      <c r="AC570" s="2426"/>
      <c r="AD570" s="2426"/>
      <c r="AE570" s="2426"/>
      <c r="AF570" s="2426"/>
      <c r="AG570" s="2426"/>
      <c r="AH570" s="2426"/>
      <c r="AI570" s="2426"/>
      <c r="AJ570" s="2426"/>
      <c r="AK570" s="542"/>
      <c r="AL570" s="473"/>
      <c r="AM570" s="503"/>
      <c r="AN570" s="497"/>
    </row>
    <row r="571" spans="1:42" ht="12.75" customHeight="1">
      <c r="A571" s="503"/>
      <c r="B571" s="2426"/>
      <c r="C571" s="2426"/>
      <c r="D571" s="2426"/>
      <c r="E571" s="2426"/>
      <c r="F571" s="2426"/>
      <c r="G571" s="2426"/>
      <c r="H571" s="2426"/>
      <c r="I571" s="2426"/>
      <c r="J571" s="2426"/>
      <c r="K571" s="2426"/>
      <c r="L571" s="2426"/>
      <c r="M571" s="2426"/>
      <c r="N571" s="2426"/>
      <c r="O571" s="2426"/>
      <c r="P571" s="2426"/>
      <c r="Q571" s="2426"/>
      <c r="R571" s="2426"/>
      <c r="S571" s="2426"/>
      <c r="T571" s="2426"/>
      <c r="U571" s="2426"/>
      <c r="V571" s="2426"/>
      <c r="W571" s="2426"/>
      <c r="X571" s="2426"/>
      <c r="Y571" s="2426"/>
      <c r="Z571" s="2426"/>
      <c r="AA571" s="2426"/>
      <c r="AB571" s="2426"/>
      <c r="AC571" s="2426"/>
      <c r="AD571" s="2426"/>
      <c r="AE571" s="2426"/>
      <c r="AF571" s="2426"/>
      <c r="AG571" s="2426"/>
      <c r="AH571" s="2426"/>
      <c r="AI571" s="2426"/>
      <c r="AJ571" s="2426"/>
      <c r="AK571" s="542"/>
      <c r="AL571" s="473"/>
      <c r="AM571" s="503"/>
    </row>
    <row r="572" spans="1:42" s="450" customFormat="1" ht="12.75" customHeight="1">
      <c r="B572" s="2426"/>
      <c r="C572" s="2426"/>
      <c r="D572" s="2426"/>
      <c r="E572" s="2426"/>
      <c r="F572" s="2426"/>
      <c r="G572" s="2426"/>
      <c r="H572" s="2426"/>
      <c r="I572" s="2426"/>
      <c r="J572" s="2426"/>
      <c r="K572" s="2426"/>
      <c r="L572" s="2426"/>
      <c r="M572" s="2426"/>
      <c r="N572" s="2426"/>
      <c r="O572" s="2426"/>
      <c r="P572" s="2426"/>
      <c r="Q572" s="2426"/>
      <c r="R572" s="2426"/>
      <c r="S572" s="2426"/>
      <c r="T572" s="2426"/>
      <c r="U572" s="2426"/>
      <c r="V572" s="2426"/>
      <c r="W572" s="2426"/>
      <c r="X572" s="2426"/>
      <c r="Y572" s="2426"/>
      <c r="Z572" s="2426"/>
      <c r="AA572" s="2426"/>
      <c r="AB572" s="2426"/>
      <c r="AC572" s="2426"/>
      <c r="AD572" s="2426"/>
      <c r="AE572" s="2426"/>
      <c r="AF572" s="2426"/>
      <c r="AG572" s="2426"/>
      <c r="AH572" s="2426"/>
      <c r="AI572" s="2426"/>
      <c r="AJ572" s="2426"/>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2447</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807</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843</v>
      </c>
    </row>
    <row r="576" spans="1:42" s="450" customFormat="1" ht="12.75" customHeight="1">
      <c r="C576" s="439" t="s">
        <v>2448</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2449</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71" t="s">
        <v>2188</v>
      </c>
      <c r="AG578" s="2371"/>
      <c r="AH578" s="2371"/>
      <c r="AI578" s="2371"/>
      <c r="AJ578" s="2371"/>
      <c r="AK578" s="2371"/>
      <c r="AL578" s="2371"/>
      <c r="AN578" s="497"/>
    </row>
    <row r="579" spans="1:42" s="450" customFormat="1" ht="12.75" customHeight="1">
      <c r="B579" s="436"/>
      <c r="C579" s="516"/>
      <c r="D579" s="563"/>
      <c r="E579" s="738" t="s">
        <v>2450</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2451</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2452</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2453</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2454</v>
      </c>
      <c r="AP582" s="450" t="b">
        <f>IF(Application!AF418&gt;=25,TRUE,FALSE)</f>
        <v>1</v>
      </c>
    </row>
    <row r="583" spans="1:42" s="450" customFormat="1" ht="12.75" customHeight="1">
      <c r="B583" s="436"/>
      <c r="C583" s="516"/>
      <c r="D583" s="563"/>
      <c r="E583" s="738" t="s">
        <v>2455</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779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2456</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71" t="s">
        <v>2457</v>
      </c>
      <c r="AG585" s="2371"/>
      <c r="AH585" s="2371"/>
      <c r="AI585" s="2371"/>
      <c r="AJ585" s="2371"/>
      <c r="AK585" s="2371"/>
      <c r="AL585" s="2371"/>
      <c r="AN585" s="497"/>
    </row>
    <row r="586" spans="1:42" s="450" customFormat="1" ht="12.75" customHeight="1">
      <c r="B586" s="436"/>
      <c r="C586" s="827"/>
      <c r="D586" s="563"/>
      <c r="E586" s="738" t="s">
        <v>2458</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807</v>
      </c>
      <c r="AP586" s="573">
        <v>0</v>
      </c>
    </row>
    <row r="587" spans="1:42" s="450" customFormat="1" ht="12.75" customHeight="1">
      <c r="B587" s="510"/>
      <c r="C587" s="825"/>
      <c r="D587" s="563"/>
      <c r="E587" s="738" t="s">
        <v>2459</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2460</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2461</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2462</v>
      </c>
      <c r="AP590" s="450">
        <v>4</v>
      </c>
    </row>
    <row r="591" spans="1:42" s="450" customFormat="1" ht="12.75" customHeight="1">
      <c r="B591" s="436"/>
      <c r="C591" s="825"/>
      <c r="D591" s="563" t="s">
        <v>49</v>
      </c>
      <c r="E591" s="738" t="s">
        <v>2463</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71" t="s">
        <v>2464</v>
      </c>
      <c r="AG591" s="2371"/>
      <c r="AH591" s="2371"/>
      <c r="AI591" s="2371"/>
      <c r="AJ591" s="2371"/>
      <c r="AK591" s="2371"/>
      <c r="AL591" s="2371"/>
      <c r="AN591" s="497"/>
      <c r="AO591" s="511" t="s">
        <v>2465</v>
      </c>
      <c r="AP591" s="450">
        <v>3</v>
      </c>
    </row>
    <row r="592" spans="1:42" s="450" customFormat="1" ht="12.75" customHeight="1">
      <c r="B592" s="436"/>
      <c r="C592" s="827"/>
      <c r="D592" s="563"/>
      <c r="E592" s="738" t="s">
        <v>2458</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2459</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2466</v>
      </c>
    </row>
    <row r="594" spans="1:53" s="450" customFormat="1" ht="12.75" customHeight="1">
      <c r="B594" s="436"/>
      <c r="C594" s="827"/>
      <c r="D594" s="563"/>
      <c r="E594" s="738" t="s">
        <v>2460</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2467</v>
      </c>
    </row>
    <row r="595" spans="1:53" s="450" customFormat="1" ht="12.75" customHeight="1">
      <c r="B595" s="436"/>
      <c r="C595" s="827"/>
      <c r="D595" s="563"/>
      <c r="E595" s="738" t="s">
        <v>2461</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2468</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2462</v>
      </c>
      <c r="E597" s="738" t="s">
        <v>2469</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71" t="s">
        <v>2470</v>
      </c>
      <c r="AG597" s="2371"/>
      <c r="AH597" s="2371"/>
      <c r="AI597" s="2371"/>
      <c r="AJ597" s="2371"/>
      <c r="AK597" s="2371"/>
      <c r="AL597" s="2371"/>
      <c r="AN597" s="497"/>
      <c r="AO597" s="450" t="str">
        <f>X634</f>
        <v>N/A</v>
      </c>
    </row>
    <row r="598" spans="1:53" s="450" customFormat="1" ht="12.75" customHeight="1">
      <c r="B598" s="436"/>
      <c r="C598" s="827"/>
      <c r="D598" s="563"/>
      <c r="E598" s="738" t="s">
        <v>2471</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2472</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2473</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2474</v>
      </c>
    </row>
    <row r="601" spans="1:53" s="450" customFormat="1" ht="12.75" customHeight="1">
      <c r="B601" s="510"/>
      <c r="C601" s="825"/>
      <c r="D601" s="563"/>
      <c r="E601" s="436" t="s">
        <v>2475</v>
      </c>
      <c r="O601" s="2457" t="s">
        <v>998</v>
      </c>
      <c r="P601" s="2457"/>
      <c r="Q601" s="2457"/>
      <c r="R601" s="2457"/>
      <c r="S601" s="2457"/>
      <c r="T601" s="2457"/>
      <c r="U601" s="2457"/>
      <c r="V601" s="2457"/>
      <c r="W601" s="2457"/>
      <c r="X601" s="2457"/>
      <c r="Y601" s="2457"/>
      <c r="Z601" s="2457"/>
      <c r="AA601" s="2457"/>
      <c r="AB601" s="2457"/>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2465</v>
      </c>
      <c r="E603" s="738" t="s">
        <v>2476</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71" t="s">
        <v>2204</v>
      </c>
      <c r="AG603" s="2371"/>
      <c r="AH603" s="2371"/>
      <c r="AI603" s="2371"/>
      <c r="AJ603" s="2371"/>
      <c r="AK603" s="2371"/>
      <c r="AL603" s="2371"/>
      <c r="AN603" s="497"/>
    </row>
    <row r="604" spans="1:53" s="450" customFormat="1" ht="12.75" customHeight="1">
      <c r="B604" s="436"/>
      <c r="C604" s="825"/>
      <c r="D604" s="563"/>
      <c r="E604" s="738" t="s">
        <v>2477</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807</v>
      </c>
      <c r="AP605" s="573">
        <v>0</v>
      </c>
      <c r="AT605" s="450" t="s">
        <v>807</v>
      </c>
      <c r="AU605" s="573">
        <v>0</v>
      </c>
    </row>
    <row r="606" spans="1:53" s="450" customFormat="1" ht="12.75" customHeight="1">
      <c r="B606" s="436"/>
      <c r="C606" s="827"/>
      <c r="D606" s="436" t="s">
        <v>2478</v>
      </c>
      <c r="E606" s="830"/>
      <c r="F606" s="830"/>
      <c r="G606" s="830"/>
      <c r="H606" s="2455" t="s">
        <v>22</v>
      </c>
      <c r="I606" s="2455"/>
      <c r="J606" s="830"/>
      <c r="K606" s="830"/>
      <c r="L606" s="830"/>
      <c r="N606" s="19"/>
      <c r="O606" s="19"/>
      <c r="P606" s="19"/>
      <c r="Q606" s="1040" t="s">
        <v>2479</v>
      </c>
      <c r="R606" s="2458"/>
      <c r="S606" s="2458"/>
      <c r="T606" s="2458"/>
      <c r="U606" s="2458"/>
      <c r="V606" s="2458"/>
      <c r="W606" s="2458"/>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59" t="str">
        <f>IF(AND(H606="(i)",NOT(AP582)),AO599,IF(AND(H606="(iv)",OR(R606=AO595,R606=AO594),NOT(AP583)),AO600,""))</f>
        <v/>
      </c>
      <c r="Z607" s="2459"/>
      <c r="AA607" s="2459"/>
      <c r="AB607" s="2459"/>
      <c r="AC607" s="2459"/>
      <c r="AD607" s="2459"/>
      <c r="AE607" s="2459"/>
      <c r="AF607" s="2459"/>
      <c r="AG607" s="2459"/>
      <c r="AH607" s="2459"/>
      <c r="AI607" s="2459"/>
      <c r="AJ607" s="2459"/>
      <c r="AK607" s="2459"/>
      <c r="AL607" s="2459"/>
      <c r="AM607" s="2460"/>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59"/>
      <c r="Z608" s="2459"/>
      <c r="AA608" s="2459"/>
      <c r="AB608" s="2459"/>
      <c r="AC608" s="2459"/>
      <c r="AD608" s="2459"/>
      <c r="AE608" s="2459"/>
      <c r="AF608" s="2459"/>
      <c r="AG608" s="2459"/>
      <c r="AH608" s="2459"/>
      <c r="AI608" s="2459"/>
      <c r="AJ608" s="2459"/>
      <c r="AK608" s="2459"/>
      <c r="AL608" s="2459"/>
      <c r="AM608" s="2460"/>
      <c r="AN608" s="497"/>
      <c r="AO608" s="511"/>
      <c r="AT608" s="511"/>
    </row>
    <row r="609" spans="1:42" s="450" customFormat="1" ht="12.75" customHeight="1">
      <c r="B609" s="436"/>
      <c r="C609" s="827"/>
      <c r="D609" s="436" t="s">
        <v>2480</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2481</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2482</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2483</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807</v>
      </c>
      <c r="AP613" s="573">
        <v>0</v>
      </c>
    </row>
    <row r="614" spans="1:42" s="450" customFormat="1" ht="12.75" customHeight="1">
      <c r="B614" s="436"/>
      <c r="C614" s="827"/>
      <c r="D614" s="436"/>
      <c r="E614" s="436" t="s">
        <v>2478</v>
      </c>
      <c r="F614" s="830"/>
      <c r="G614" s="830"/>
      <c r="I614" s="2456" t="s">
        <v>807</v>
      </c>
      <c r="J614" s="2456"/>
      <c r="K614" s="2456"/>
      <c r="L614" s="2456"/>
      <c r="M614" s="2456"/>
      <c r="N614" s="2456"/>
      <c r="O614" s="2456"/>
      <c r="P614" s="2456"/>
      <c r="Q614" s="2456"/>
      <c r="R614" s="2456"/>
      <c r="S614" s="2456"/>
      <c r="T614" s="2456"/>
      <c r="U614" s="2456"/>
      <c r="V614" s="2456"/>
      <c r="W614" s="2456"/>
      <c r="X614" s="2456"/>
      <c r="Y614" s="2456"/>
      <c r="Z614" s="2456"/>
      <c r="AA614" s="2456"/>
      <c r="AB614" s="2456"/>
      <c r="AC614" s="2456"/>
      <c r="AD614" s="2456"/>
      <c r="AE614" s="2456"/>
      <c r="AF614" s="436"/>
      <c r="AG614" s="436"/>
      <c r="AH614" s="436"/>
      <c r="AI614" s="436"/>
      <c r="AJ614" s="436"/>
      <c r="AK614" s="436"/>
      <c r="AL614" s="436"/>
      <c r="AN614" s="497"/>
      <c r="AO614" s="450" t="s">
        <v>2484</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2485</v>
      </c>
      <c r="AP615" s="450">
        <v>2</v>
      </c>
    </row>
    <row r="616" spans="1:42" s="450" customFormat="1" ht="12.75" customHeight="1">
      <c r="B616" s="2399" t="s">
        <v>807</v>
      </c>
      <c r="C616" s="2399"/>
      <c r="D616" s="542"/>
      <c r="E616" s="2426" t="s">
        <v>2486</v>
      </c>
      <c r="F616" s="2426"/>
      <c r="G616" s="2426"/>
      <c r="H616" s="2426"/>
      <c r="I616" s="2426"/>
      <c r="J616" s="2426"/>
      <c r="K616" s="2426"/>
      <c r="L616" s="2426"/>
      <c r="M616" s="2426"/>
      <c r="N616" s="2426"/>
      <c r="O616" s="2426"/>
      <c r="P616" s="2426"/>
      <c r="Q616" s="2426"/>
      <c r="R616" s="2426"/>
      <c r="S616" s="2426"/>
      <c r="T616" s="2426"/>
      <c r="U616" s="2426"/>
      <c r="V616" s="2426"/>
      <c r="W616" s="2426"/>
      <c r="X616" s="2426"/>
      <c r="Y616" s="2426"/>
      <c r="Z616" s="2426"/>
      <c r="AA616" s="2426"/>
      <c r="AB616" s="2426"/>
      <c r="AC616" s="2426"/>
      <c r="AD616" s="2426"/>
      <c r="AE616" s="2426"/>
      <c r="AF616" s="2426"/>
      <c r="AG616" s="2426"/>
      <c r="AH616" s="542"/>
      <c r="AI616" s="542"/>
      <c r="AJ616" s="542"/>
      <c r="AK616" s="542"/>
      <c r="AL616" s="542"/>
      <c r="AN616" s="497"/>
    </row>
    <row r="617" spans="1:42" s="450" customFormat="1" ht="12.75" customHeight="1">
      <c r="B617" s="436"/>
      <c r="C617" s="827"/>
      <c r="D617" s="542"/>
      <c r="E617" s="2426"/>
      <c r="F617" s="2426"/>
      <c r="G617" s="2426"/>
      <c r="H617" s="2426"/>
      <c r="I617" s="2426"/>
      <c r="J617" s="2426"/>
      <c r="K617" s="2426"/>
      <c r="L617" s="2426"/>
      <c r="M617" s="2426"/>
      <c r="N617" s="2426"/>
      <c r="O617" s="2426"/>
      <c r="P617" s="2426"/>
      <c r="Q617" s="2426"/>
      <c r="R617" s="2426"/>
      <c r="S617" s="2426"/>
      <c r="T617" s="2426"/>
      <c r="U617" s="2426"/>
      <c r="V617" s="2426"/>
      <c r="W617" s="2426"/>
      <c r="X617" s="2426"/>
      <c r="Y617" s="2426"/>
      <c r="Z617" s="2426"/>
      <c r="AA617" s="2426"/>
      <c r="AB617" s="2426"/>
      <c r="AC617" s="2426"/>
      <c r="AD617" s="2426"/>
      <c r="AE617" s="2426"/>
      <c r="AF617" s="2426"/>
      <c r="AG617" s="2426"/>
      <c r="AH617" s="542"/>
      <c r="AI617" s="542"/>
      <c r="AJ617" s="542"/>
      <c r="AK617" s="542"/>
      <c r="AL617" s="542"/>
      <c r="AN617" s="497"/>
    </row>
    <row r="618" spans="1:42" s="450" customFormat="1" ht="12.75" customHeight="1">
      <c r="B618" s="436"/>
      <c r="C618" s="827"/>
      <c r="D618" s="542"/>
      <c r="E618" s="2426"/>
      <c r="F618" s="2426"/>
      <c r="G618" s="2426"/>
      <c r="H618" s="2426"/>
      <c r="I618" s="2426"/>
      <c r="J618" s="2426"/>
      <c r="K618" s="2426"/>
      <c r="L618" s="2426"/>
      <c r="M618" s="2426"/>
      <c r="N618" s="2426"/>
      <c r="O618" s="2426"/>
      <c r="P618" s="2426"/>
      <c r="Q618" s="2426"/>
      <c r="R618" s="2426"/>
      <c r="S618" s="2426"/>
      <c r="T618" s="2426"/>
      <c r="U618" s="2426"/>
      <c r="V618" s="2426"/>
      <c r="W618" s="2426"/>
      <c r="X618" s="2426"/>
      <c r="Y618" s="2426"/>
      <c r="Z618" s="2426"/>
      <c r="AA618" s="2426"/>
      <c r="AB618" s="2426"/>
      <c r="AC618" s="2426"/>
      <c r="AD618" s="2426"/>
      <c r="AE618" s="2426"/>
      <c r="AF618" s="2426"/>
      <c r="AG618" s="2426"/>
      <c r="AH618" s="542"/>
      <c r="AI618" s="542"/>
      <c r="AJ618" s="542"/>
      <c r="AK618" s="542"/>
      <c r="AL618" s="542"/>
      <c r="AN618" s="497"/>
    </row>
    <row r="619" spans="1:42" s="450" customFormat="1" ht="12.75" customHeight="1">
      <c r="B619" s="436"/>
      <c r="C619" s="827"/>
      <c r="D619" s="542"/>
      <c r="E619" s="2426"/>
      <c r="F619" s="2426"/>
      <c r="G619" s="2426"/>
      <c r="H619" s="2426"/>
      <c r="I619" s="2426"/>
      <c r="J619" s="2426"/>
      <c r="K619" s="2426"/>
      <c r="L619" s="2426"/>
      <c r="M619" s="2426"/>
      <c r="N619" s="2426"/>
      <c r="O619" s="2426"/>
      <c r="P619" s="2426"/>
      <c r="Q619" s="2426"/>
      <c r="R619" s="2426"/>
      <c r="S619" s="2426"/>
      <c r="T619" s="2426"/>
      <c r="U619" s="2426"/>
      <c r="V619" s="2426"/>
      <c r="W619" s="2426"/>
      <c r="X619" s="2426"/>
      <c r="Y619" s="2426"/>
      <c r="Z619" s="2426"/>
      <c r="AA619" s="2426"/>
      <c r="AB619" s="2426"/>
      <c r="AC619" s="2426"/>
      <c r="AD619" s="2426"/>
      <c r="AE619" s="2426"/>
      <c r="AF619" s="2426"/>
      <c r="AG619" s="2426"/>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2487</v>
      </c>
      <c r="AJ621" s="2406">
        <f>VLOOKUP($H$606,$AO$586:$AP$591,2,FALSE)+IF(R606=AO594,0,VLOOKUP($I$614,$AO$613:$AP$615,2,FALSE))</f>
        <v>7</v>
      </c>
      <c r="AK621" s="2408"/>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2488</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54" t="s">
        <v>2489</v>
      </c>
      <c r="F625" s="2454"/>
      <c r="G625" s="2454"/>
      <c r="H625" s="2454"/>
      <c r="I625" s="2454"/>
      <c r="J625" s="2454"/>
      <c r="K625" s="2454"/>
      <c r="L625" s="2454"/>
      <c r="M625" s="2454"/>
      <c r="N625" s="2454"/>
      <c r="O625" s="2454"/>
      <c r="P625" s="2454"/>
      <c r="Q625" s="2454"/>
      <c r="R625" s="2454"/>
      <c r="S625" s="2454"/>
      <c r="T625" s="2454"/>
      <c r="U625" s="2454"/>
      <c r="V625" s="2454"/>
      <c r="W625" s="2454"/>
      <c r="X625" s="2454"/>
      <c r="Y625" s="2454"/>
      <c r="Z625" s="2454"/>
      <c r="AA625" s="2454"/>
      <c r="AB625" s="2454"/>
      <c r="AC625" s="2454"/>
      <c r="AD625" s="2454"/>
      <c r="AE625" s="439"/>
      <c r="AF625" s="2371" t="s">
        <v>2204</v>
      </c>
      <c r="AG625" s="2371"/>
      <c r="AH625" s="2371"/>
      <c r="AI625" s="2371"/>
      <c r="AJ625" s="2371"/>
      <c r="AK625" s="2371"/>
      <c r="AL625" s="2371"/>
      <c r="AM625" s="450"/>
      <c r="AN625" s="578"/>
    </row>
    <row r="626" spans="1:42" s="450" customFormat="1" ht="12.75" customHeight="1">
      <c r="A626" s="579"/>
      <c r="B626" s="436"/>
      <c r="C626" s="827"/>
      <c r="D626" s="563"/>
      <c r="E626" s="2454"/>
      <c r="F626" s="2454"/>
      <c r="G626" s="2454"/>
      <c r="H626" s="2454"/>
      <c r="I626" s="2454"/>
      <c r="J626" s="2454"/>
      <c r="K626" s="2454"/>
      <c r="L626" s="2454"/>
      <c r="M626" s="2454"/>
      <c r="N626" s="2454"/>
      <c r="O626" s="2454"/>
      <c r="P626" s="2454"/>
      <c r="Q626" s="2454"/>
      <c r="R626" s="2454"/>
      <c r="S626" s="2454"/>
      <c r="T626" s="2454"/>
      <c r="U626" s="2454"/>
      <c r="V626" s="2454"/>
      <c r="W626" s="2454"/>
      <c r="X626" s="2454"/>
      <c r="Y626" s="2454"/>
      <c r="Z626" s="2454"/>
      <c r="AA626" s="2454"/>
      <c r="AB626" s="2454"/>
      <c r="AC626" s="2454"/>
      <c r="AD626" s="2454"/>
      <c r="AE626" s="436"/>
      <c r="AF626" s="436"/>
      <c r="AG626" s="436"/>
      <c r="AH626" s="436"/>
      <c r="AI626" s="436"/>
      <c r="AJ626" s="436"/>
      <c r="AK626" s="436"/>
      <c r="AL626" s="436"/>
      <c r="AN626" s="497"/>
    </row>
    <row r="627" spans="1:42" s="450" customFormat="1" ht="12.75" customHeight="1">
      <c r="B627" s="436"/>
      <c r="C627" s="825"/>
      <c r="D627" s="563"/>
      <c r="E627" s="2454"/>
      <c r="F627" s="2454"/>
      <c r="G627" s="2454"/>
      <c r="H627" s="2454"/>
      <c r="I627" s="2454"/>
      <c r="J627" s="2454"/>
      <c r="K627" s="2454"/>
      <c r="L627" s="2454"/>
      <c r="M627" s="2454"/>
      <c r="N627" s="2454"/>
      <c r="O627" s="2454"/>
      <c r="P627" s="2454"/>
      <c r="Q627" s="2454"/>
      <c r="R627" s="2454"/>
      <c r="S627" s="2454"/>
      <c r="T627" s="2454"/>
      <c r="U627" s="2454"/>
      <c r="V627" s="2454"/>
      <c r="W627" s="2454"/>
      <c r="X627" s="2454"/>
      <c r="Y627" s="2454"/>
      <c r="Z627" s="2454"/>
      <c r="AA627" s="2454"/>
      <c r="AB627" s="2454"/>
      <c r="AC627" s="2454"/>
      <c r="AD627" s="2454"/>
      <c r="AE627" s="436"/>
      <c r="AF627" s="436"/>
      <c r="AG627" s="436"/>
      <c r="AH627" s="436"/>
      <c r="AI627" s="436"/>
      <c r="AJ627" s="436"/>
      <c r="AK627" s="436"/>
      <c r="AL627" s="436"/>
      <c r="AN627" s="497"/>
    </row>
    <row r="628" spans="1:42" s="450" customFormat="1" ht="12.75" customHeight="1">
      <c r="B628" s="436"/>
      <c r="C628" s="825"/>
      <c r="D628" s="563"/>
      <c r="E628" s="2454"/>
      <c r="F628" s="2454"/>
      <c r="G628" s="2454"/>
      <c r="H628" s="2454"/>
      <c r="I628" s="2454"/>
      <c r="J628" s="2454"/>
      <c r="K628" s="2454"/>
      <c r="L628" s="2454"/>
      <c r="M628" s="2454"/>
      <c r="N628" s="2454"/>
      <c r="O628" s="2454"/>
      <c r="P628" s="2454"/>
      <c r="Q628" s="2454"/>
      <c r="R628" s="2454"/>
      <c r="S628" s="2454"/>
      <c r="T628" s="2454"/>
      <c r="U628" s="2454"/>
      <c r="V628" s="2454"/>
      <c r="W628" s="2454"/>
      <c r="X628" s="2454"/>
      <c r="Y628" s="2454"/>
      <c r="Z628" s="2454"/>
      <c r="AA628" s="2454"/>
      <c r="AB628" s="2454"/>
      <c r="AC628" s="2454"/>
      <c r="AD628" s="2454"/>
      <c r="AE628" s="436"/>
      <c r="AF628" s="436"/>
      <c r="AG628" s="436"/>
      <c r="AH628" s="436"/>
      <c r="AI628" s="436"/>
      <c r="AJ628" s="436"/>
      <c r="AK628" s="436"/>
      <c r="AL628" s="436"/>
      <c r="AN628" s="497"/>
    </row>
    <row r="629" spans="1:42" s="450" customFormat="1" ht="12.75" customHeight="1">
      <c r="B629" s="436"/>
      <c r="C629" s="825"/>
      <c r="D629" s="563"/>
      <c r="E629" s="2454"/>
      <c r="F629" s="2454"/>
      <c r="G629" s="2454"/>
      <c r="H629" s="2454"/>
      <c r="I629" s="2454"/>
      <c r="J629" s="2454"/>
      <c r="K629" s="2454"/>
      <c r="L629" s="2454"/>
      <c r="M629" s="2454"/>
      <c r="N629" s="2454"/>
      <c r="O629" s="2454"/>
      <c r="P629" s="2454"/>
      <c r="Q629" s="2454"/>
      <c r="R629" s="2454"/>
      <c r="S629" s="2454"/>
      <c r="T629" s="2454"/>
      <c r="U629" s="2454"/>
      <c r="V629" s="2454"/>
      <c r="W629" s="2454"/>
      <c r="X629" s="2454"/>
      <c r="Y629" s="2454"/>
      <c r="Z629" s="2454"/>
      <c r="AA629" s="2454"/>
      <c r="AB629" s="2454"/>
      <c r="AC629" s="2454"/>
      <c r="AD629" s="2454"/>
      <c r="AE629" s="436"/>
      <c r="AF629" s="436"/>
      <c r="AG629" s="436"/>
      <c r="AH629" s="436"/>
      <c r="AI629" s="436"/>
      <c r="AJ629" s="436"/>
      <c r="AK629" s="436"/>
      <c r="AL629" s="436"/>
      <c r="AN629" s="497"/>
    </row>
    <row r="630" spans="1:42" s="450" customFormat="1" ht="12.75" customHeight="1">
      <c r="B630" s="436"/>
      <c r="C630" s="825"/>
      <c r="D630" s="563"/>
      <c r="E630" s="2454"/>
      <c r="F630" s="2454"/>
      <c r="G630" s="2454"/>
      <c r="H630" s="2454"/>
      <c r="I630" s="2454"/>
      <c r="J630" s="2454"/>
      <c r="K630" s="2454"/>
      <c r="L630" s="2454"/>
      <c r="M630" s="2454"/>
      <c r="N630" s="2454"/>
      <c r="O630" s="2454"/>
      <c r="P630" s="2454"/>
      <c r="Q630" s="2454"/>
      <c r="R630" s="2454"/>
      <c r="S630" s="2454"/>
      <c r="T630" s="2454"/>
      <c r="U630" s="2454"/>
      <c r="V630" s="2454"/>
      <c r="W630" s="2454"/>
      <c r="X630" s="2454"/>
      <c r="Y630" s="2454"/>
      <c r="Z630" s="2454"/>
      <c r="AA630" s="2454"/>
      <c r="AB630" s="2454"/>
      <c r="AC630" s="2454"/>
      <c r="AD630" s="2454"/>
      <c r="AE630" s="436"/>
      <c r="AF630" s="436"/>
      <c r="AG630" s="436"/>
      <c r="AH630" s="436"/>
      <c r="AI630" s="436"/>
      <c r="AJ630" s="436"/>
      <c r="AK630" s="436"/>
      <c r="AL630" s="436"/>
      <c r="AN630" s="497"/>
    </row>
    <row r="631" spans="1:42" s="450" customFormat="1" ht="12.75" customHeight="1">
      <c r="A631" s="537"/>
      <c r="B631" s="516"/>
      <c r="C631" s="834"/>
      <c r="D631" s="563"/>
      <c r="E631" s="2454"/>
      <c r="F631" s="2454"/>
      <c r="G631" s="2454"/>
      <c r="H631" s="2454"/>
      <c r="I631" s="2454"/>
      <c r="J631" s="2454"/>
      <c r="K631" s="2454"/>
      <c r="L631" s="2454"/>
      <c r="M631" s="2454"/>
      <c r="N631" s="2454"/>
      <c r="O631" s="2454"/>
      <c r="P631" s="2454"/>
      <c r="Q631" s="2454"/>
      <c r="R631" s="2454"/>
      <c r="S631" s="2454"/>
      <c r="T631" s="2454"/>
      <c r="U631" s="2454"/>
      <c r="V631" s="2454"/>
      <c r="W631" s="2454"/>
      <c r="X631" s="2454"/>
      <c r="Y631" s="2454"/>
      <c r="Z631" s="2454"/>
      <c r="AA631" s="2454"/>
      <c r="AB631" s="2454"/>
      <c r="AC631" s="2454"/>
      <c r="AD631" s="2454"/>
      <c r="AE631" s="516"/>
      <c r="AF631" s="516"/>
      <c r="AG631" s="516"/>
      <c r="AH631" s="516"/>
      <c r="AI631" s="516"/>
      <c r="AJ631" s="516"/>
      <c r="AK631" s="436"/>
      <c r="AL631" s="436"/>
      <c r="AN631" s="497"/>
    </row>
    <row r="632" spans="1:42" s="450" customFormat="1" ht="12.75" customHeight="1">
      <c r="B632" s="516"/>
      <c r="C632" s="834"/>
      <c r="D632" s="563"/>
      <c r="E632" s="2454"/>
      <c r="F632" s="2454"/>
      <c r="G632" s="2454"/>
      <c r="H632" s="2454"/>
      <c r="I632" s="2454"/>
      <c r="J632" s="2454"/>
      <c r="K632" s="2454"/>
      <c r="L632" s="2454"/>
      <c r="M632" s="2454"/>
      <c r="N632" s="2454"/>
      <c r="O632" s="2454"/>
      <c r="P632" s="2454"/>
      <c r="Q632" s="2454"/>
      <c r="R632" s="2454"/>
      <c r="S632" s="2454"/>
      <c r="T632" s="2454"/>
      <c r="U632" s="2454"/>
      <c r="V632" s="2454"/>
      <c r="W632" s="2454"/>
      <c r="X632" s="2454"/>
      <c r="Y632" s="2454"/>
      <c r="Z632" s="2454"/>
      <c r="AA632" s="2454"/>
      <c r="AB632" s="2454"/>
      <c r="AC632" s="2454"/>
      <c r="AD632" s="2454"/>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807</v>
      </c>
      <c r="AP633" s="573">
        <v>0</v>
      </c>
    </row>
    <row r="634" spans="1:42" s="450" customFormat="1" ht="12.75" customHeight="1">
      <c r="B634" s="516"/>
      <c r="C634" s="825"/>
      <c r="D634" s="563"/>
      <c r="E634" s="516" t="s">
        <v>2490</v>
      </c>
      <c r="F634" s="835"/>
      <c r="G634" s="835"/>
      <c r="H634" s="835"/>
      <c r="I634" s="835"/>
      <c r="J634" s="835"/>
      <c r="K634" s="835"/>
      <c r="L634" s="835"/>
      <c r="M634" s="835"/>
      <c r="N634" s="835"/>
      <c r="O634" s="835"/>
      <c r="P634" s="835"/>
      <c r="Q634" s="835"/>
      <c r="R634" s="835"/>
      <c r="U634" s="835"/>
      <c r="V634" s="835"/>
      <c r="W634" s="835"/>
      <c r="X634" s="2399" t="s">
        <v>807</v>
      </c>
      <c r="Y634" s="2399"/>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2491</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71" t="s">
        <v>2492</v>
      </c>
      <c r="AG636" s="2371"/>
      <c r="AH636" s="2371"/>
      <c r="AI636" s="2371"/>
      <c r="AJ636" s="2371"/>
      <c r="AK636" s="2371"/>
      <c r="AL636" s="2371"/>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2462</v>
      </c>
      <c r="AP637" s="580">
        <v>4</v>
      </c>
    </row>
    <row r="638" spans="1:42" s="450" customFormat="1" ht="12.75" customHeight="1">
      <c r="B638" s="436"/>
      <c r="C638" s="825"/>
      <c r="D638" s="436" t="s">
        <v>2478</v>
      </c>
      <c r="E638" s="830"/>
      <c r="F638" s="830"/>
      <c r="G638" s="830"/>
      <c r="H638" s="2455" t="s">
        <v>22</v>
      </c>
      <c r="I638" s="2455"/>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2465</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2493</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2494</v>
      </c>
      <c r="AJ640" s="2406">
        <f>VLOOKUP($H$638,$AO$605:$AP$607,2,FALSE)</f>
        <v>3</v>
      </c>
      <c r="AK640" s="2408"/>
      <c r="AL640" s="495"/>
      <c r="AN640" s="497"/>
      <c r="AO640" s="511" t="s">
        <v>2495</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2496</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26" t="s">
        <v>2497</v>
      </c>
      <c r="F644" s="2426"/>
      <c r="G644" s="2426"/>
      <c r="H644" s="2426"/>
      <c r="I644" s="2426"/>
      <c r="J644" s="2426"/>
      <c r="K644" s="2426"/>
      <c r="L644" s="2426"/>
      <c r="M644" s="2426"/>
      <c r="N644" s="2426"/>
      <c r="O644" s="2426"/>
      <c r="P644" s="2426"/>
      <c r="Q644" s="2426"/>
      <c r="R644" s="2426"/>
      <c r="S644" s="2426"/>
      <c r="T644" s="2426"/>
      <c r="U644" s="2426"/>
      <c r="V644" s="2426"/>
      <c r="W644" s="2426"/>
      <c r="X644" s="2426"/>
      <c r="Y644" s="2426"/>
      <c r="Z644" s="2426"/>
      <c r="AA644" s="2426"/>
      <c r="AB644" s="2426"/>
      <c r="AC644" s="2426"/>
      <c r="AD644" s="2426"/>
      <c r="AE644" s="436"/>
      <c r="AF644" s="2371" t="s">
        <v>2204</v>
      </c>
      <c r="AG644" s="2371"/>
      <c r="AH644" s="2371"/>
      <c r="AI644" s="2371"/>
      <c r="AJ644" s="2371"/>
      <c r="AK644" s="2371"/>
      <c r="AL644" s="2371"/>
      <c r="AN644" s="497"/>
    </row>
    <row r="645" spans="1:42" s="450" customFormat="1" ht="12.75" customHeight="1">
      <c r="B645" s="436"/>
      <c r="C645" s="436"/>
      <c r="D645" s="563"/>
      <c r="E645" s="2426"/>
      <c r="F645" s="2426"/>
      <c r="G645" s="2426"/>
      <c r="H645" s="2426"/>
      <c r="I645" s="2426"/>
      <c r="J645" s="2426"/>
      <c r="K645" s="2426"/>
      <c r="L645" s="2426"/>
      <c r="M645" s="2426"/>
      <c r="N645" s="2426"/>
      <c r="O645" s="2426"/>
      <c r="P645" s="2426"/>
      <c r="Q645" s="2426"/>
      <c r="R645" s="2426"/>
      <c r="S645" s="2426"/>
      <c r="T645" s="2426"/>
      <c r="U645" s="2426"/>
      <c r="V645" s="2426"/>
      <c r="W645" s="2426"/>
      <c r="X645" s="2426"/>
      <c r="Y645" s="2426"/>
      <c r="Z645" s="2426"/>
      <c r="AA645" s="2426"/>
      <c r="AB645" s="2426"/>
      <c r="AC645" s="2426"/>
      <c r="AD645" s="2426"/>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2498</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71" t="s">
        <v>2492</v>
      </c>
      <c r="AG647" s="2371"/>
      <c r="AH647" s="2371"/>
      <c r="AI647" s="2371"/>
      <c r="AJ647" s="2371"/>
      <c r="AK647" s="2371"/>
      <c r="AL647" s="2371"/>
      <c r="AN647" s="497"/>
    </row>
    <row r="648" spans="1:42" s="450" customFormat="1" ht="12.75" customHeight="1">
      <c r="B648" s="436"/>
      <c r="C648" s="825"/>
      <c r="D648" s="563"/>
      <c r="E648" s="516" t="s">
        <v>2499</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2478</v>
      </c>
      <c r="E650" s="830"/>
      <c r="F650" s="830"/>
      <c r="G650" s="830"/>
      <c r="H650" s="2455" t="s">
        <v>807</v>
      </c>
      <c r="I650" s="2455"/>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2500</v>
      </c>
      <c r="AJ652" s="2406">
        <f>VLOOKUP(H650,AT605:AU607,2,FALSE)</f>
        <v>0</v>
      </c>
      <c r="AK652" s="2408"/>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2501</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2502</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26" t="s">
        <v>2503</v>
      </c>
      <c r="F657" s="2426"/>
      <c r="G657" s="2426"/>
      <c r="H657" s="2426"/>
      <c r="I657" s="2426"/>
      <c r="J657" s="2426"/>
      <c r="K657" s="2426"/>
      <c r="L657" s="2426"/>
      <c r="M657" s="2426"/>
      <c r="N657" s="2426"/>
      <c r="O657" s="2426"/>
      <c r="P657" s="2426"/>
      <c r="Q657" s="2426"/>
      <c r="R657" s="2426"/>
      <c r="S657" s="2426"/>
      <c r="T657" s="2426"/>
      <c r="U657" s="2426"/>
      <c r="V657" s="2426"/>
      <c r="W657" s="2426"/>
      <c r="X657" s="2426"/>
      <c r="Y657" s="2426"/>
      <c r="Z657" s="2426"/>
      <c r="AA657" s="2426"/>
      <c r="AB657" s="2426"/>
      <c r="AC657" s="2426"/>
      <c r="AD657" s="436"/>
      <c r="AE657" s="436"/>
      <c r="AF657" s="2371" t="s">
        <v>2464</v>
      </c>
      <c r="AG657" s="2371"/>
      <c r="AH657" s="2371"/>
      <c r="AI657" s="2371"/>
      <c r="AJ657" s="2371"/>
      <c r="AK657" s="2371"/>
      <c r="AL657" s="2371"/>
      <c r="AN657" s="497"/>
    </row>
    <row r="658" spans="1:42" s="450" customFormat="1" ht="12.75" customHeight="1">
      <c r="B658" s="436"/>
      <c r="C658" s="439"/>
      <c r="D658" s="436"/>
      <c r="E658" s="2426"/>
      <c r="F658" s="2426"/>
      <c r="G658" s="2426"/>
      <c r="H658" s="2426"/>
      <c r="I658" s="2426"/>
      <c r="J658" s="2426"/>
      <c r="K658" s="2426"/>
      <c r="L658" s="2426"/>
      <c r="M658" s="2426"/>
      <c r="N658" s="2426"/>
      <c r="O658" s="2426"/>
      <c r="P658" s="2426"/>
      <c r="Q658" s="2426"/>
      <c r="R658" s="2426"/>
      <c r="S658" s="2426"/>
      <c r="T658" s="2426"/>
      <c r="U658" s="2426"/>
      <c r="V658" s="2426"/>
      <c r="W658" s="2426"/>
      <c r="X658" s="2426"/>
      <c r="Y658" s="2426"/>
      <c r="Z658" s="2426"/>
      <c r="AA658" s="2426"/>
      <c r="AB658" s="2426"/>
      <c r="AC658" s="2426"/>
      <c r="AD658" s="436"/>
      <c r="AE658" s="436"/>
      <c r="AF658" s="436"/>
      <c r="AG658" s="436"/>
      <c r="AH658" s="436"/>
      <c r="AI658" s="436"/>
      <c r="AJ658" s="436"/>
      <c r="AK658" s="436"/>
      <c r="AL658" s="436"/>
      <c r="AN658" s="497"/>
    </row>
    <row r="659" spans="1:42" s="450" customFormat="1" ht="12.75" customHeight="1">
      <c r="B659" s="436"/>
      <c r="C659" s="439"/>
      <c r="D659" s="563"/>
      <c r="E659" s="2426"/>
      <c r="F659" s="2426"/>
      <c r="G659" s="2426"/>
      <c r="H659" s="2426"/>
      <c r="I659" s="2426"/>
      <c r="J659" s="2426"/>
      <c r="K659" s="2426"/>
      <c r="L659" s="2426"/>
      <c r="M659" s="2426"/>
      <c r="N659" s="2426"/>
      <c r="O659" s="2426"/>
      <c r="P659" s="2426"/>
      <c r="Q659" s="2426"/>
      <c r="R659" s="2426"/>
      <c r="S659" s="2426"/>
      <c r="T659" s="2426"/>
      <c r="U659" s="2426"/>
      <c r="V659" s="2426"/>
      <c r="W659" s="2426"/>
      <c r="X659" s="2426"/>
      <c r="Y659" s="2426"/>
      <c r="Z659" s="2426"/>
      <c r="AA659" s="2426"/>
      <c r="AB659" s="2426"/>
      <c r="AC659" s="2426"/>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26" t="s">
        <v>2504</v>
      </c>
      <c r="F661" s="2426"/>
      <c r="G661" s="2426"/>
      <c r="H661" s="2426"/>
      <c r="I661" s="2426"/>
      <c r="J661" s="2426"/>
      <c r="K661" s="2426"/>
      <c r="L661" s="2426"/>
      <c r="M661" s="2426"/>
      <c r="N661" s="2426"/>
      <c r="O661" s="2426"/>
      <c r="P661" s="2426"/>
      <c r="Q661" s="2426"/>
      <c r="R661" s="2426"/>
      <c r="S661" s="2426"/>
      <c r="T661" s="2426"/>
      <c r="U661" s="2426"/>
      <c r="V661" s="2426"/>
      <c r="W661" s="2426"/>
      <c r="X661" s="2426"/>
      <c r="Y661" s="2426"/>
      <c r="Z661" s="2426"/>
      <c r="AA661" s="2426"/>
      <c r="AB661" s="2426"/>
      <c r="AC661" s="2426"/>
      <c r="AD661" s="436"/>
      <c r="AE661" s="436"/>
      <c r="AF661" s="2371" t="s">
        <v>2470</v>
      </c>
      <c r="AG661" s="2371"/>
      <c r="AH661" s="2371"/>
      <c r="AI661" s="2371"/>
      <c r="AJ661" s="2371"/>
      <c r="AK661" s="2371"/>
      <c r="AL661" s="2371"/>
      <c r="AN661" s="497"/>
    </row>
    <row r="662" spans="1:42" s="450" customFormat="1" ht="12.75" customHeight="1">
      <c r="B662" s="436"/>
      <c r="C662" s="439"/>
      <c r="D662" s="436"/>
      <c r="E662" s="2426"/>
      <c r="F662" s="2426"/>
      <c r="G662" s="2426"/>
      <c r="H662" s="2426"/>
      <c r="I662" s="2426"/>
      <c r="J662" s="2426"/>
      <c r="K662" s="2426"/>
      <c r="L662" s="2426"/>
      <c r="M662" s="2426"/>
      <c r="N662" s="2426"/>
      <c r="O662" s="2426"/>
      <c r="P662" s="2426"/>
      <c r="Q662" s="2426"/>
      <c r="R662" s="2426"/>
      <c r="S662" s="2426"/>
      <c r="T662" s="2426"/>
      <c r="U662" s="2426"/>
      <c r="V662" s="2426"/>
      <c r="W662" s="2426"/>
      <c r="X662" s="2426"/>
      <c r="Y662" s="2426"/>
      <c r="Z662" s="2426"/>
      <c r="AA662" s="2426"/>
      <c r="AB662" s="2426"/>
      <c r="AC662" s="2426"/>
      <c r="AD662" s="436"/>
      <c r="AE662" s="436"/>
      <c r="AF662" s="436"/>
      <c r="AG662" s="436"/>
      <c r="AH662" s="436"/>
      <c r="AI662" s="436"/>
      <c r="AJ662" s="436"/>
      <c r="AK662" s="436"/>
      <c r="AL662" s="436"/>
      <c r="AN662" s="497"/>
    </row>
    <row r="663" spans="1:42" s="450" customFormat="1" ht="15" customHeight="1">
      <c r="B663" s="436"/>
      <c r="C663" s="439"/>
      <c r="D663" s="563"/>
      <c r="E663" s="2426"/>
      <c r="F663" s="2426"/>
      <c r="G663" s="2426"/>
      <c r="H663" s="2426"/>
      <c r="I663" s="2426"/>
      <c r="J663" s="2426"/>
      <c r="K663" s="2426"/>
      <c r="L663" s="2426"/>
      <c r="M663" s="2426"/>
      <c r="N663" s="2426"/>
      <c r="O663" s="2426"/>
      <c r="P663" s="2426"/>
      <c r="Q663" s="2426"/>
      <c r="R663" s="2426"/>
      <c r="S663" s="2426"/>
      <c r="T663" s="2426"/>
      <c r="U663" s="2426"/>
      <c r="V663" s="2426"/>
      <c r="W663" s="2426"/>
      <c r="X663" s="2426"/>
      <c r="Y663" s="2426"/>
      <c r="Z663" s="2426"/>
      <c r="AA663" s="2426"/>
      <c r="AB663" s="2426"/>
      <c r="AC663" s="2426"/>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26" t="s">
        <v>2505</v>
      </c>
      <c r="F665" s="2426"/>
      <c r="G665" s="2426"/>
      <c r="H665" s="2426"/>
      <c r="I665" s="2426"/>
      <c r="J665" s="2426"/>
      <c r="K665" s="2426"/>
      <c r="L665" s="2426"/>
      <c r="M665" s="2426"/>
      <c r="N665" s="2426"/>
      <c r="O665" s="2426"/>
      <c r="P665" s="2426"/>
      <c r="Q665" s="2426"/>
      <c r="R665" s="2426"/>
      <c r="S665" s="2426"/>
      <c r="T665" s="2426"/>
      <c r="U665" s="2426"/>
      <c r="V665" s="2426"/>
      <c r="W665" s="2426"/>
      <c r="X665" s="2426"/>
      <c r="Y665" s="2426"/>
      <c r="Z665" s="2426"/>
      <c r="AA665" s="2426"/>
      <c r="AB665" s="2426"/>
      <c r="AC665" s="2426"/>
      <c r="AD665" s="436"/>
      <c r="AE665" s="436"/>
      <c r="AF665" s="2371" t="s">
        <v>2204</v>
      </c>
      <c r="AG665" s="2371"/>
      <c r="AH665" s="2371"/>
      <c r="AI665" s="2371"/>
      <c r="AJ665" s="2371"/>
      <c r="AK665" s="2371"/>
      <c r="AL665" s="2371"/>
      <c r="AN665" s="497"/>
    </row>
    <row r="666" spans="1:42" s="450" customFormat="1" ht="12.75" customHeight="1">
      <c r="B666" s="436"/>
      <c r="C666" s="825"/>
      <c r="D666" s="436"/>
      <c r="E666" s="2426"/>
      <c r="F666" s="2426"/>
      <c r="G666" s="2426"/>
      <c r="H666" s="2426"/>
      <c r="I666" s="2426"/>
      <c r="J666" s="2426"/>
      <c r="K666" s="2426"/>
      <c r="L666" s="2426"/>
      <c r="M666" s="2426"/>
      <c r="N666" s="2426"/>
      <c r="O666" s="2426"/>
      <c r="P666" s="2426"/>
      <c r="Q666" s="2426"/>
      <c r="R666" s="2426"/>
      <c r="S666" s="2426"/>
      <c r="T666" s="2426"/>
      <c r="U666" s="2426"/>
      <c r="V666" s="2426"/>
      <c r="W666" s="2426"/>
      <c r="X666" s="2426"/>
      <c r="Y666" s="2426"/>
      <c r="Z666" s="2426"/>
      <c r="AA666" s="2426"/>
      <c r="AB666" s="2426"/>
      <c r="AC666" s="2426"/>
      <c r="AD666" s="436"/>
      <c r="AE666" s="2371"/>
      <c r="AF666" s="2371"/>
      <c r="AG666" s="2371"/>
      <c r="AH666" s="2371"/>
      <c r="AI666" s="2371"/>
      <c r="AJ666" s="2371"/>
      <c r="AK666" s="2371"/>
      <c r="AL666" s="494"/>
      <c r="AN666" s="497"/>
      <c r="AO666" s="450" t="s">
        <v>807</v>
      </c>
      <c r="AP666" s="573">
        <v>0</v>
      </c>
    </row>
    <row r="667" spans="1:42" s="450" customFormat="1" ht="12.75" customHeight="1">
      <c r="A667" s="579"/>
      <c r="B667" s="436"/>
      <c r="C667" s="436"/>
      <c r="D667" s="563"/>
      <c r="E667" s="2426"/>
      <c r="F667" s="2426"/>
      <c r="G667" s="2426"/>
      <c r="H667" s="2426"/>
      <c r="I667" s="2426"/>
      <c r="J667" s="2426"/>
      <c r="K667" s="2426"/>
      <c r="L667" s="2426"/>
      <c r="M667" s="2426"/>
      <c r="N667" s="2426"/>
      <c r="O667" s="2426"/>
      <c r="P667" s="2426"/>
      <c r="Q667" s="2426"/>
      <c r="R667" s="2426"/>
      <c r="S667" s="2426"/>
      <c r="T667" s="2426"/>
      <c r="U667" s="2426"/>
      <c r="V667" s="2426"/>
      <c r="W667" s="2426"/>
      <c r="X667" s="2426"/>
      <c r="Y667" s="2426"/>
      <c r="Z667" s="2426"/>
      <c r="AA667" s="2426"/>
      <c r="AB667" s="2426"/>
      <c r="AC667" s="2426"/>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2462</v>
      </c>
      <c r="E669" s="2426" t="s">
        <v>2506</v>
      </c>
      <c r="F669" s="2426"/>
      <c r="G669" s="2426"/>
      <c r="H669" s="2426"/>
      <c r="I669" s="2426"/>
      <c r="J669" s="2426"/>
      <c r="K669" s="2426"/>
      <c r="L669" s="2426"/>
      <c r="M669" s="2426"/>
      <c r="N669" s="2426"/>
      <c r="O669" s="2426"/>
      <c r="P669" s="2426"/>
      <c r="Q669" s="2426"/>
      <c r="R669" s="2426"/>
      <c r="S669" s="2426"/>
      <c r="T669" s="2426"/>
      <c r="U669" s="2426"/>
      <c r="V669" s="2426"/>
      <c r="W669" s="2426"/>
      <c r="X669" s="2426"/>
      <c r="Y669" s="2426"/>
      <c r="Z669" s="2426"/>
      <c r="AA669" s="2426"/>
      <c r="AB669" s="2426"/>
      <c r="AC669" s="2426"/>
      <c r="AD669" s="436"/>
      <c r="AE669" s="436"/>
      <c r="AF669" s="2371" t="s">
        <v>2470</v>
      </c>
      <c r="AG669" s="2371"/>
      <c r="AH669" s="2371"/>
      <c r="AI669" s="2371"/>
      <c r="AJ669" s="2371"/>
      <c r="AK669" s="2371"/>
      <c r="AL669" s="2371"/>
      <c r="AN669" s="497"/>
    </row>
    <row r="670" spans="1:42" s="450" customFormat="1" ht="12.75" customHeight="1">
      <c r="A670" s="570"/>
      <c r="B670" s="436"/>
      <c r="C670" s="841"/>
      <c r="D670" s="563"/>
      <c r="E670" s="2426"/>
      <c r="F670" s="2426"/>
      <c r="G670" s="2426"/>
      <c r="H670" s="2426"/>
      <c r="I670" s="2426"/>
      <c r="J670" s="2426"/>
      <c r="K670" s="2426"/>
      <c r="L670" s="2426"/>
      <c r="M670" s="2426"/>
      <c r="N670" s="2426"/>
      <c r="O670" s="2426"/>
      <c r="P670" s="2426"/>
      <c r="Q670" s="2426"/>
      <c r="R670" s="2426"/>
      <c r="S670" s="2426"/>
      <c r="T670" s="2426"/>
      <c r="U670" s="2426"/>
      <c r="V670" s="2426"/>
      <c r="W670" s="2426"/>
      <c r="X670" s="2426"/>
      <c r="Y670" s="2426"/>
      <c r="Z670" s="2426"/>
      <c r="AA670" s="2426"/>
      <c r="AB670" s="2426"/>
      <c r="AC670" s="2426"/>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26"/>
      <c r="F671" s="2426"/>
      <c r="G671" s="2426"/>
      <c r="H671" s="2426"/>
      <c r="I671" s="2426"/>
      <c r="J671" s="2426"/>
      <c r="K671" s="2426"/>
      <c r="L671" s="2426"/>
      <c r="M671" s="2426"/>
      <c r="N671" s="2426"/>
      <c r="O671" s="2426"/>
      <c r="P671" s="2426"/>
      <c r="Q671" s="2426"/>
      <c r="R671" s="2426"/>
      <c r="S671" s="2426"/>
      <c r="T671" s="2426"/>
      <c r="U671" s="2426"/>
      <c r="V671" s="2426"/>
      <c r="W671" s="2426"/>
      <c r="X671" s="2426"/>
      <c r="Y671" s="2426"/>
      <c r="Z671" s="2426"/>
      <c r="AA671" s="2426"/>
      <c r="AB671" s="2426"/>
      <c r="AC671" s="2426"/>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2465</v>
      </c>
      <c r="E673" s="2426" t="s">
        <v>2507</v>
      </c>
      <c r="F673" s="2426"/>
      <c r="G673" s="2426"/>
      <c r="H673" s="2426"/>
      <c r="I673" s="2426"/>
      <c r="J673" s="2426"/>
      <c r="K673" s="2426"/>
      <c r="L673" s="2426"/>
      <c r="M673" s="2426"/>
      <c r="N673" s="2426"/>
      <c r="O673" s="2426"/>
      <c r="P673" s="2426"/>
      <c r="Q673" s="2426"/>
      <c r="R673" s="2426"/>
      <c r="S673" s="2426"/>
      <c r="T673" s="2426"/>
      <c r="U673" s="2426"/>
      <c r="V673" s="2426"/>
      <c r="W673" s="2426"/>
      <c r="X673" s="2426"/>
      <c r="Y673" s="2426"/>
      <c r="Z673" s="2426"/>
      <c r="AA673" s="2426"/>
      <c r="AB673" s="2426"/>
      <c r="AC673" s="2426"/>
      <c r="AD673" s="436"/>
      <c r="AE673" s="436"/>
      <c r="AF673" s="2371" t="s">
        <v>2204</v>
      </c>
      <c r="AG673" s="2371"/>
      <c r="AH673" s="2371"/>
      <c r="AI673" s="2371"/>
      <c r="AJ673" s="2371"/>
      <c r="AK673" s="2371"/>
      <c r="AL673" s="2371"/>
      <c r="AM673" s="496"/>
      <c r="AN673" s="497"/>
    </row>
    <row r="674" spans="1:42" s="450" customFormat="1" ht="12.75" customHeight="1">
      <c r="B674" s="436"/>
      <c r="C674" s="825"/>
      <c r="D674" s="563"/>
      <c r="E674" s="2426"/>
      <c r="F674" s="2426"/>
      <c r="G674" s="2426"/>
      <c r="H674" s="2426"/>
      <c r="I674" s="2426"/>
      <c r="J674" s="2426"/>
      <c r="K674" s="2426"/>
      <c r="L674" s="2426"/>
      <c r="M674" s="2426"/>
      <c r="N674" s="2426"/>
      <c r="O674" s="2426"/>
      <c r="P674" s="2426"/>
      <c r="Q674" s="2426"/>
      <c r="R674" s="2426"/>
      <c r="S674" s="2426"/>
      <c r="T674" s="2426"/>
      <c r="U674" s="2426"/>
      <c r="V674" s="2426"/>
      <c r="W674" s="2426"/>
      <c r="X674" s="2426"/>
      <c r="Y674" s="2426"/>
      <c r="Z674" s="2426"/>
      <c r="AA674" s="2426"/>
      <c r="AB674" s="2426"/>
      <c r="AC674" s="2426"/>
      <c r="AD674" s="436"/>
      <c r="AE674" s="436"/>
      <c r="AF674" s="436"/>
      <c r="AG674" s="436"/>
      <c r="AH674" s="436"/>
      <c r="AI674" s="436"/>
      <c r="AJ674" s="436"/>
      <c r="AK674" s="436"/>
      <c r="AL674" s="436"/>
      <c r="AM674" s="496"/>
      <c r="AN674" s="497"/>
    </row>
    <row r="675" spans="1:42" s="450" customFormat="1" ht="12.75" customHeight="1">
      <c r="B675" s="436"/>
      <c r="C675" s="825"/>
      <c r="D675" s="563"/>
      <c r="E675" s="2426"/>
      <c r="F675" s="2426"/>
      <c r="G675" s="2426"/>
      <c r="H675" s="2426"/>
      <c r="I675" s="2426"/>
      <c r="J675" s="2426"/>
      <c r="K675" s="2426"/>
      <c r="L675" s="2426"/>
      <c r="M675" s="2426"/>
      <c r="N675" s="2426"/>
      <c r="O675" s="2426"/>
      <c r="P675" s="2426"/>
      <c r="Q675" s="2426"/>
      <c r="R675" s="2426"/>
      <c r="S675" s="2426"/>
      <c r="T675" s="2426"/>
      <c r="U675" s="2426"/>
      <c r="V675" s="2426"/>
      <c r="W675" s="2426"/>
      <c r="X675" s="2426"/>
      <c r="Y675" s="2426"/>
      <c r="Z675" s="2426"/>
      <c r="AA675" s="2426"/>
      <c r="AB675" s="2426"/>
      <c r="AC675" s="2426"/>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2493</v>
      </c>
      <c r="E677" s="2426" t="s">
        <v>2508</v>
      </c>
      <c r="F677" s="2426"/>
      <c r="G677" s="2426"/>
      <c r="H677" s="2426"/>
      <c r="I677" s="2426"/>
      <c r="J677" s="2426"/>
      <c r="K677" s="2426"/>
      <c r="L677" s="2426"/>
      <c r="M677" s="2426"/>
      <c r="N677" s="2426"/>
      <c r="O677" s="2426"/>
      <c r="P677" s="2426"/>
      <c r="Q677" s="2426"/>
      <c r="R677" s="2426"/>
      <c r="S677" s="2426"/>
      <c r="T677" s="2426"/>
      <c r="U677" s="2426"/>
      <c r="V677" s="2426"/>
      <c r="W677" s="2426"/>
      <c r="X677" s="2426"/>
      <c r="Y677" s="2426"/>
      <c r="Z677" s="2426"/>
      <c r="AA677" s="2426"/>
      <c r="AB677" s="2426"/>
      <c r="AC677" s="2426"/>
      <c r="AD677" s="436"/>
      <c r="AE677" s="436"/>
      <c r="AF677" s="2371" t="s">
        <v>2492</v>
      </c>
      <c r="AG677" s="2371"/>
      <c r="AH677" s="2371"/>
      <c r="AI677" s="2371"/>
      <c r="AJ677" s="2371"/>
      <c r="AK677" s="2371"/>
      <c r="AL677" s="2371"/>
      <c r="AM677" s="496"/>
      <c r="AN677" s="497"/>
    </row>
    <row r="678" spans="1:42" s="450" customFormat="1" ht="12.75" customHeight="1">
      <c r="A678" s="579"/>
      <c r="B678" s="436"/>
      <c r="C678" s="825"/>
      <c r="D678" s="563"/>
      <c r="E678" s="2426"/>
      <c r="F678" s="2426"/>
      <c r="G678" s="2426"/>
      <c r="H678" s="2426"/>
      <c r="I678" s="2426"/>
      <c r="J678" s="2426"/>
      <c r="K678" s="2426"/>
      <c r="L678" s="2426"/>
      <c r="M678" s="2426"/>
      <c r="N678" s="2426"/>
      <c r="O678" s="2426"/>
      <c r="P678" s="2426"/>
      <c r="Q678" s="2426"/>
      <c r="R678" s="2426"/>
      <c r="S678" s="2426"/>
      <c r="T678" s="2426"/>
      <c r="U678" s="2426"/>
      <c r="V678" s="2426"/>
      <c r="W678" s="2426"/>
      <c r="X678" s="2426"/>
      <c r="Y678" s="2426"/>
      <c r="Z678" s="2426"/>
      <c r="AA678" s="2426"/>
      <c r="AB678" s="2426"/>
      <c r="AC678" s="2426"/>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26"/>
      <c r="F679" s="2426"/>
      <c r="G679" s="2426"/>
      <c r="H679" s="2426"/>
      <c r="I679" s="2426"/>
      <c r="J679" s="2426"/>
      <c r="K679" s="2426"/>
      <c r="L679" s="2426"/>
      <c r="M679" s="2426"/>
      <c r="N679" s="2426"/>
      <c r="O679" s="2426"/>
      <c r="P679" s="2426"/>
      <c r="Q679" s="2426"/>
      <c r="R679" s="2426"/>
      <c r="S679" s="2426"/>
      <c r="T679" s="2426"/>
      <c r="U679" s="2426"/>
      <c r="V679" s="2426"/>
      <c r="W679" s="2426"/>
      <c r="X679" s="2426"/>
      <c r="Y679" s="2426"/>
      <c r="Z679" s="2426"/>
      <c r="AA679" s="2426"/>
      <c r="AB679" s="2426"/>
      <c r="AC679" s="2426"/>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807</v>
      </c>
      <c r="AP680" s="537">
        <v>0</v>
      </c>
    </row>
    <row r="681" spans="1:42" s="450" customFormat="1" ht="12.75" customHeight="1">
      <c r="A681" s="579"/>
      <c r="B681" s="436"/>
      <c r="C681" s="825"/>
      <c r="D681" s="563" t="s">
        <v>2495</v>
      </c>
      <c r="E681" s="2426" t="s">
        <v>2509</v>
      </c>
      <c r="F681" s="2426"/>
      <c r="G681" s="2426"/>
      <c r="H681" s="2426"/>
      <c r="I681" s="2426"/>
      <c r="J681" s="2426"/>
      <c r="K681" s="2426"/>
      <c r="L681" s="2426"/>
      <c r="M681" s="2426"/>
      <c r="N681" s="2426"/>
      <c r="O681" s="2426"/>
      <c r="P681" s="2426"/>
      <c r="Q681" s="2426"/>
      <c r="R681" s="2426"/>
      <c r="S681" s="2426"/>
      <c r="T681" s="2426"/>
      <c r="U681" s="2426"/>
      <c r="V681" s="2426"/>
      <c r="W681" s="2426"/>
      <c r="X681" s="2426"/>
      <c r="Y681" s="2426"/>
      <c r="Z681" s="2426"/>
      <c r="AA681" s="2426"/>
      <c r="AB681" s="2426"/>
      <c r="AC681" s="2426"/>
      <c r="AD681" s="436"/>
      <c r="AE681" s="436"/>
      <c r="AF681" s="2371" t="s">
        <v>2510</v>
      </c>
      <c r="AG681" s="2371"/>
      <c r="AH681" s="2371"/>
      <c r="AI681" s="2371"/>
      <c r="AJ681" s="2371"/>
      <c r="AK681" s="2371"/>
      <c r="AL681" s="2371"/>
      <c r="AM681" s="496"/>
      <c r="AN681" s="497"/>
      <c r="AO681" s="511" t="s">
        <v>22</v>
      </c>
      <c r="AP681" s="450">
        <v>3</v>
      </c>
    </row>
    <row r="682" spans="1:42" s="450" customFormat="1" ht="12.75" customHeight="1">
      <c r="A682" s="579"/>
      <c r="B682" s="436"/>
      <c r="C682" s="825"/>
      <c r="D682" s="563"/>
      <c r="E682" s="2426"/>
      <c r="F682" s="2426"/>
      <c r="G682" s="2426"/>
      <c r="H682" s="2426"/>
      <c r="I682" s="2426"/>
      <c r="J682" s="2426"/>
      <c r="K682" s="2426"/>
      <c r="L682" s="2426"/>
      <c r="M682" s="2426"/>
      <c r="N682" s="2426"/>
      <c r="O682" s="2426"/>
      <c r="P682" s="2426"/>
      <c r="Q682" s="2426"/>
      <c r="R682" s="2426"/>
      <c r="S682" s="2426"/>
      <c r="T682" s="2426"/>
      <c r="U682" s="2426"/>
      <c r="V682" s="2426"/>
      <c r="W682" s="2426"/>
      <c r="X682" s="2426"/>
      <c r="Y682" s="2426"/>
      <c r="Z682" s="2426"/>
      <c r="AA682" s="2426"/>
      <c r="AB682" s="2426"/>
      <c r="AC682" s="2426"/>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26"/>
      <c r="F683" s="2426"/>
      <c r="G683" s="2426"/>
      <c r="H683" s="2426"/>
      <c r="I683" s="2426"/>
      <c r="J683" s="2426"/>
      <c r="K683" s="2426"/>
      <c r="L683" s="2426"/>
      <c r="M683" s="2426"/>
      <c r="N683" s="2426"/>
      <c r="O683" s="2426"/>
      <c r="P683" s="2426"/>
      <c r="Q683" s="2426"/>
      <c r="R683" s="2426"/>
      <c r="S683" s="2426"/>
      <c r="T683" s="2426"/>
      <c r="U683" s="2426"/>
      <c r="V683" s="2426"/>
      <c r="W683" s="2426"/>
      <c r="X683" s="2426"/>
      <c r="Y683" s="2426"/>
      <c r="Z683" s="2426"/>
      <c r="AA683" s="2426"/>
      <c r="AB683" s="2426"/>
      <c r="AC683" s="2426"/>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2478</v>
      </c>
      <c r="E685" s="830"/>
      <c r="F685" s="830"/>
      <c r="G685" s="830"/>
      <c r="H685" s="2455" t="s">
        <v>22</v>
      </c>
      <c r="I685" s="2455"/>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2511</v>
      </c>
      <c r="AJ687" s="2406">
        <f>VLOOKUP($H$685,$AO$633:$AP$640,2,FALSE)</f>
        <v>5</v>
      </c>
      <c r="AK687" s="2408"/>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2512</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2513</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2514</v>
      </c>
      <c r="AX690" s="1041">
        <f>Application!G753</f>
        <v>193</v>
      </c>
    </row>
    <row r="691" spans="1:51" s="450" customFormat="1" ht="12.75" customHeight="1">
      <c r="A691" s="579"/>
      <c r="B691" s="436"/>
      <c r="C691" s="842"/>
      <c r="D691" s="563" t="s">
        <v>22</v>
      </c>
      <c r="E691" s="2462" t="s">
        <v>2515</v>
      </c>
      <c r="F691" s="2462"/>
      <c r="G691" s="2462"/>
      <c r="H691" s="2462"/>
      <c r="I691" s="2462"/>
      <c r="J691" s="2462"/>
      <c r="K691" s="2462"/>
      <c r="L691" s="2462"/>
      <c r="M691" s="2462"/>
      <c r="N691" s="2462"/>
      <c r="O691" s="2462"/>
      <c r="P691" s="2462"/>
      <c r="Q691" s="2462"/>
      <c r="R691" s="2462"/>
      <c r="S691" s="2462"/>
      <c r="T691" s="2462"/>
      <c r="U691" s="2462"/>
      <c r="V691" s="2462"/>
      <c r="W691" s="2462"/>
      <c r="X691" s="2462"/>
      <c r="Y691" s="2462"/>
      <c r="Z691" s="2462"/>
      <c r="AA691" s="2462"/>
      <c r="AB691" s="2462"/>
      <c r="AC691" s="436"/>
      <c r="AD691" s="436"/>
      <c r="AE691" s="436"/>
      <c r="AF691" s="2371" t="s">
        <v>2204</v>
      </c>
      <c r="AG691" s="2371"/>
      <c r="AH691" s="2371"/>
      <c r="AI691" s="2371"/>
      <c r="AJ691" s="2371"/>
      <c r="AK691" s="2371"/>
      <c r="AL691" s="2371"/>
      <c r="AN691" s="497"/>
      <c r="AW691" s="19" t="s">
        <v>2516</v>
      </c>
      <c r="AX691" s="450">
        <f>Application!DE753</f>
        <v>55</v>
      </c>
    </row>
    <row r="692" spans="1:51" s="450" customFormat="1" ht="12.75" customHeight="1">
      <c r="A692" s="579"/>
      <c r="B692" s="436"/>
      <c r="C692" s="842"/>
      <c r="D692" s="563"/>
      <c r="E692" s="2462"/>
      <c r="F692" s="2462"/>
      <c r="G692" s="2462"/>
      <c r="H692" s="2462"/>
      <c r="I692" s="2462"/>
      <c r="J692" s="2462"/>
      <c r="K692" s="2462"/>
      <c r="L692" s="2462"/>
      <c r="M692" s="2462"/>
      <c r="N692" s="2462"/>
      <c r="O692" s="2462"/>
      <c r="P692" s="2462"/>
      <c r="Q692" s="2462"/>
      <c r="R692" s="2462"/>
      <c r="S692" s="2462"/>
      <c r="T692" s="2462"/>
      <c r="U692" s="2462"/>
      <c r="V692" s="2462"/>
      <c r="W692" s="2462"/>
      <c r="X692" s="2462"/>
      <c r="Y692" s="2462"/>
      <c r="Z692" s="2462"/>
      <c r="AA692" s="2462"/>
      <c r="AB692" s="2462"/>
      <c r="AC692" s="436"/>
      <c r="AD692" s="436"/>
      <c r="AE692" s="436"/>
      <c r="AF692" s="436"/>
      <c r="AG692" s="436"/>
      <c r="AH692" s="436"/>
      <c r="AI692" s="436"/>
      <c r="AJ692" s="436"/>
      <c r="AK692" s="436"/>
      <c r="AL692" s="436"/>
      <c r="AN692" s="497"/>
      <c r="AW692" s="19" t="s">
        <v>2517</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2518</v>
      </c>
      <c r="AX693" s="450">
        <f>Application!DO753</f>
        <v>0</v>
      </c>
    </row>
    <row r="694" spans="1:51" s="450" customFormat="1" ht="12.75" customHeight="1">
      <c r="B694" s="436"/>
      <c r="C694" s="825"/>
      <c r="D694" s="563" t="s">
        <v>27</v>
      </c>
      <c r="E694" s="2426" t="s">
        <v>2519</v>
      </c>
      <c r="F694" s="2426"/>
      <c r="G694" s="2426"/>
      <c r="H694" s="2426"/>
      <c r="I694" s="2426"/>
      <c r="J694" s="2426"/>
      <c r="K694" s="2426"/>
      <c r="L694" s="2426"/>
      <c r="M694" s="2426"/>
      <c r="N694" s="2426"/>
      <c r="O694" s="2426"/>
      <c r="P694" s="2426"/>
      <c r="Q694" s="2426"/>
      <c r="R694" s="2426"/>
      <c r="S694" s="2426"/>
      <c r="T694" s="2426"/>
      <c r="U694" s="2426"/>
      <c r="V694" s="2426"/>
      <c r="W694" s="2426"/>
      <c r="X694" s="2426"/>
      <c r="Y694" s="2426"/>
      <c r="Z694" s="2426"/>
      <c r="AA694" s="2426"/>
      <c r="AB694" s="2426"/>
      <c r="AC694" s="436"/>
      <c r="AD694" s="436"/>
      <c r="AE694" s="436"/>
      <c r="AF694" s="2371" t="s">
        <v>2204</v>
      </c>
      <c r="AG694" s="2371"/>
      <c r="AH694" s="2371"/>
      <c r="AI694" s="2371"/>
      <c r="AJ694" s="2371"/>
      <c r="AK694" s="2371"/>
      <c r="AL694" s="2371"/>
      <c r="AN694" s="497"/>
      <c r="AW694" s="19" t="s">
        <v>2520</v>
      </c>
      <c r="AX694" s="450">
        <f>AX691+AX692+AX693</f>
        <v>55</v>
      </c>
    </row>
    <row r="695" spans="1:51" s="450" customFormat="1" ht="12.75" customHeight="1">
      <c r="B695" s="436"/>
      <c r="C695" s="834"/>
      <c r="D695" s="563"/>
      <c r="E695" s="2426"/>
      <c r="F695" s="2426"/>
      <c r="G695" s="2426"/>
      <c r="H695" s="2426"/>
      <c r="I695" s="2426"/>
      <c r="J695" s="2426"/>
      <c r="K695" s="2426"/>
      <c r="L695" s="2426"/>
      <c r="M695" s="2426"/>
      <c r="N695" s="2426"/>
      <c r="O695" s="2426"/>
      <c r="P695" s="2426"/>
      <c r="Q695" s="2426"/>
      <c r="R695" s="2426"/>
      <c r="S695" s="2426"/>
      <c r="T695" s="2426"/>
      <c r="U695" s="2426"/>
      <c r="V695" s="2426"/>
      <c r="W695" s="2426"/>
      <c r="X695" s="2426"/>
      <c r="Y695" s="2426"/>
      <c r="Z695" s="2426"/>
      <c r="AA695" s="2426"/>
      <c r="AB695" s="2426"/>
      <c r="AC695" s="436"/>
      <c r="AD695" s="436"/>
      <c r="AE695" s="516"/>
      <c r="AF695" s="436"/>
      <c r="AG695" s="436"/>
      <c r="AH695" s="436"/>
      <c r="AI695" s="436"/>
      <c r="AJ695" s="436"/>
      <c r="AK695" s="436"/>
      <c r="AL695" s="436"/>
      <c r="AN695" s="497"/>
      <c r="AO695" s="2461" t="b">
        <f>IF(Application!D211="Special Needs",IF(AY695&gt;=0.25,TRUE,FALSE),IF(AX695&gt;=0.25,TRUE,FALSE))</f>
        <v>1</v>
      </c>
      <c r="AP695" s="2461"/>
      <c r="AW695" s="19" t="s">
        <v>1966</v>
      </c>
      <c r="AX695" s="450">
        <f>IFERROR(AX694/AX690,0)</f>
        <v>0.28497409326424872</v>
      </c>
      <c r="AY695" s="450">
        <f>IFERROR(AX694/(AX690-AX689),0)</f>
        <v>0.28497409326424872</v>
      </c>
    </row>
    <row r="696" spans="1:51" s="450" customFormat="1" ht="12.75" customHeight="1">
      <c r="B696" s="436"/>
      <c r="C696" s="834"/>
      <c r="E696" s="2426"/>
      <c r="F696" s="2426"/>
      <c r="G696" s="2426"/>
      <c r="H696" s="2426"/>
      <c r="I696" s="2426"/>
      <c r="J696" s="2426"/>
      <c r="K696" s="2426"/>
      <c r="L696" s="2426"/>
      <c r="M696" s="2426"/>
      <c r="N696" s="2426"/>
      <c r="O696" s="2426"/>
      <c r="P696" s="2426"/>
      <c r="Q696" s="2426"/>
      <c r="R696" s="2426"/>
      <c r="S696" s="2426"/>
      <c r="T696" s="2426"/>
      <c r="U696" s="2426"/>
      <c r="V696" s="2426"/>
      <c r="W696" s="2426"/>
      <c r="X696" s="2426"/>
      <c r="Y696" s="2426"/>
      <c r="Z696" s="2426"/>
      <c r="AA696" s="2426"/>
      <c r="AB696" s="2426"/>
      <c r="AC696" s="436"/>
      <c r="AD696" s="436"/>
      <c r="AE696" s="516"/>
      <c r="AF696" s="516"/>
      <c r="AG696" s="516"/>
      <c r="AH696" s="516"/>
      <c r="AI696" s="516"/>
      <c r="AJ696" s="516"/>
      <c r="AK696" s="516"/>
      <c r="AL696" s="516"/>
      <c r="AN696" s="497"/>
      <c r="AW696" s="13"/>
    </row>
    <row r="697" spans="1:51" s="450" customFormat="1" ht="28.5" customHeight="1">
      <c r="B697" s="436"/>
      <c r="C697" s="834"/>
      <c r="D697" s="436"/>
      <c r="E697" s="2426"/>
      <c r="F697" s="2426"/>
      <c r="G697" s="2426"/>
      <c r="H697" s="2426"/>
      <c r="I697" s="2426"/>
      <c r="J697" s="2426"/>
      <c r="K697" s="2426"/>
      <c r="L697" s="2426"/>
      <c r="M697" s="2426"/>
      <c r="N697" s="2426"/>
      <c r="O697" s="2426"/>
      <c r="P697" s="2426"/>
      <c r="Q697" s="2426"/>
      <c r="R697" s="2426"/>
      <c r="S697" s="2426"/>
      <c r="T697" s="2426"/>
      <c r="U697" s="2426"/>
      <c r="V697" s="2426"/>
      <c r="W697" s="2426"/>
      <c r="X697" s="2426"/>
      <c r="Y697" s="2426"/>
      <c r="Z697" s="2426"/>
      <c r="AA697" s="2426"/>
      <c r="AB697" s="2426"/>
      <c r="AC697" s="436"/>
      <c r="AD697" s="436"/>
      <c r="AE697" s="516"/>
      <c r="AF697" s="516"/>
      <c r="AG697" s="516"/>
      <c r="AH697" s="516"/>
      <c r="AI697" s="516"/>
      <c r="AJ697" s="516"/>
      <c r="AK697" s="516"/>
      <c r="AL697" s="516"/>
      <c r="AN697" s="497"/>
      <c r="AO697" s="450" t="s">
        <v>807</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26" t="s">
        <v>2521</v>
      </c>
      <c r="F699" s="2426"/>
      <c r="G699" s="2426"/>
      <c r="H699" s="2426"/>
      <c r="I699" s="2426"/>
      <c r="J699" s="2426"/>
      <c r="K699" s="2426"/>
      <c r="L699" s="2426"/>
      <c r="M699" s="2426"/>
      <c r="N699" s="2426"/>
      <c r="O699" s="2426"/>
      <c r="P699" s="2426"/>
      <c r="Q699" s="2426"/>
      <c r="R699" s="2426"/>
      <c r="S699" s="2426"/>
      <c r="T699" s="2426"/>
      <c r="U699" s="2426"/>
      <c r="V699" s="2426"/>
      <c r="W699" s="2426"/>
      <c r="X699" s="2426"/>
      <c r="Y699" s="2426"/>
      <c r="Z699" s="2426"/>
      <c r="AA699" s="2426"/>
      <c r="AB699" s="2426"/>
      <c r="AC699" s="436"/>
      <c r="AD699" s="436"/>
      <c r="AE699" s="436"/>
      <c r="AF699" s="2371" t="s">
        <v>2492</v>
      </c>
      <c r="AG699" s="2371"/>
      <c r="AH699" s="2371"/>
      <c r="AI699" s="2371"/>
      <c r="AJ699" s="2371"/>
      <c r="AK699" s="2371"/>
      <c r="AL699" s="2371"/>
      <c r="AN699" s="497"/>
      <c r="AO699" s="511" t="s">
        <v>27</v>
      </c>
      <c r="AP699" s="450">
        <v>1</v>
      </c>
    </row>
    <row r="700" spans="1:51" s="450" customFormat="1" ht="12" customHeight="1">
      <c r="B700" s="436"/>
      <c r="C700" s="825"/>
      <c r="E700" s="2426"/>
      <c r="F700" s="2426"/>
      <c r="G700" s="2426"/>
      <c r="H700" s="2426"/>
      <c r="I700" s="2426"/>
      <c r="J700" s="2426"/>
      <c r="K700" s="2426"/>
      <c r="L700" s="2426"/>
      <c r="M700" s="2426"/>
      <c r="N700" s="2426"/>
      <c r="O700" s="2426"/>
      <c r="P700" s="2426"/>
      <c r="Q700" s="2426"/>
      <c r="R700" s="2426"/>
      <c r="S700" s="2426"/>
      <c r="T700" s="2426"/>
      <c r="U700" s="2426"/>
      <c r="V700" s="2426"/>
      <c r="W700" s="2426"/>
      <c r="X700" s="2426"/>
      <c r="Y700" s="2426"/>
      <c r="Z700" s="2426"/>
      <c r="AA700" s="2426"/>
      <c r="AB700" s="2426"/>
      <c r="AC700" s="436"/>
      <c r="AD700" s="436"/>
      <c r="AE700" s="516"/>
      <c r="AF700" s="436"/>
      <c r="AG700" s="436"/>
      <c r="AH700" s="436"/>
      <c r="AI700" s="436"/>
      <c r="AJ700" s="436"/>
      <c r="AK700" s="436"/>
      <c r="AL700" s="436"/>
      <c r="AN700" s="497"/>
    </row>
    <row r="701" spans="1:51" s="450" customFormat="1" ht="12" customHeight="1">
      <c r="B701" s="436"/>
      <c r="C701" s="825"/>
      <c r="D701" s="436"/>
      <c r="E701" s="2426"/>
      <c r="F701" s="2426"/>
      <c r="G701" s="2426"/>
      <c r="H701" s="2426"/>
      <c r="I701" s="2426"/>
      <c r="J701" s="2426"/>
      <c r="K701" s="2426"/>
      <c r="L701" s="2426"/>
      <c r="M701" s="2426"/>
      <c r="N701" s="2426"/>
      <c r="O701" s="2426"/>
      <c r="P701" s="2426"/>
      <c r="Q701" s="2426"/>
      <c r="R701" s="2426"/>
      <c r="S701" s="2426"/>
      <c r="T701" s="2426"/>
      <c r="U701" s="2426"/>
      <c r="V701" s="2426"/>
      <c r="W701" s="2426"/>
      <c r="X701" s="2426"/>
      <c r="Y701" s="2426"/>
      <c r="Z701" s="2426"/>
      <c r="AA701" s="2426"/>
      <c r="AB701" s="2426"/>
      <c r="AC701" s="436"/>
      <c r="AD701" s="436"/>
      <c r="AE701" s="516"/>
      <c r="AF701" s="436"/>
      <c r="AG701" s="436"/>
      <c r="AH701" s="436"/>
      <c r="AI701" s="436"/>
      <c r="AJ701" s="436"/>
      <c r="AK701" s="436"/>
      <c r="AL701" s="436"/>
      <c r="AN701" s="497"/>
    </row>
    <row r="702" spans="1:51" s="450" customFormat="1" ht="12" customHeight="1">
      <c r="B702" s="436"/>
      <c r="C702" s="825"/>
      <c r="D702" s="436"/>
      <c r="E702" s="2426"/>
      <c r="F702" s="2426"/>
      <c r="G702" s="2426"/>
      <c r="H702" s="2426"/>
      <c r="I702" s="2426"/>
      <c r="J702" s="2426"/>
      <c r="K702" s="2426"/>
      <c r="L702" s="2426"/>
      <c r="M702" s="2426"/>
      <c r="N702" s="2426"/>
      <c r="O702" s="2426"/>
      <c r="P702" s="2426"/>
      <c r="Q702" s="2426"/>
      <c r="R702" s="2426"/>
      <c r="S702" s="2426"/>
      <c r="T702" s="2426"/>
      <c r="U702" s="2426"/>
      <c r="V702" s="2426"/>
      <c r="W702" s="2426"/>
      <c r="X702" s="2426"/>
      <c r="Y702" s="2426"/>
      <c r="Z702" s="2426"/>
      <c r="AA702" s="2426"/>
      <c r="AB702" s="2426"/>
      <c r="AC702" s="436"/>
      <c r="AD702" s="436"/>
      <c r="AE702" s="516"/>
      <c r="AF702" s="436"/>
      <c r="AG702" s="436"/>
      <c r="AH702" s="436"/>
      <c r="AI702" s="436"/>
      <c r="AJ702" s="436"/>
      <c r="AK702" s="436"/>
      <c r="AL702" s="436"/>
      <c r="AN702" s="497"/>
    </row>
    <row r="703" spans="1:51" s="470" customFormat="1" ht="13.15" customHeight="1">
      <c r="A703" s="450"/>
      <c r="B703" s="436"/>
      <c r="C703" s="825"/>
      <c r="D703" s="436"/>
      <c r="E703" s="2426"/>
      <c r="F703" s="2426"/>
      <c r="G703" s="2426"/>
      <c r="H703" s="2426"/>
      <c r="I703" s="2426"/>
      <c r="J703" s="2426"/>
      <c r="K703" s="2426"/>
      <c r="L703" s="2426"/>
      <c r="M703" s="2426"/>
      <c r="N703" s="2426"/>
      <c r="O703" s="2426"/>
      <c r="P703" s="2426"/>
      <c r="Q703" s="2426"/>
      <c r="R703" s="2426"/>
      <c r="S703" s="2426"/>
      <c r="T703" s="2426"/>
      <c r="U703" s="2426"/>
      <c r="V703" s="2426"/>
      <c r="W703" s="2426"/>
      <c r="X703" s="2426"/>
      <c r="Y703" s="2426"/>
      <c r="Z703" s="2426"/>
      <c r="AA703" s="2426"/>
      <c r="AB703" s="2426"/>
      <c r="AC703" s="436"/>
      <c r="AD703" s="436"/>
      <c r="AE703" s="516"/>
      <c r="AF703" s="516"/>
      <c r="AG703" s="516"/>
      <c r="AH703" s="516"/>
      <c r="AI703" s="516"/>
      <c r="AJ703" s="436"/>
      <c r="AK703" s="436"/>
      <c r="AL703" s="436"/>
      <c r="AM703" s="450"/>
      <c r="AN703" s="584"/>
      <c r="AO703" s="450" t="s">
        <v>807</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26" t="s">
        <v>2522</v>
      </c>
      <c r="F705" s="2426"/>
      <c r="G705" s="2426"/>
      <c r="H705" s="2426"/>
      <c r="I705" s="2426"/>
      <c r="J705" s="2426"/>
      <c r="K705" s="2426"/>
      <c r="L705" s="2426"/>
      <c r="M705" s="2426"/>
      <c r="N705" s="2426"/>
      <c r="O705" s="2426"/>
      <c r="P705" s="2426"/>
      <c r="Q705" s="2426"/>
      <c r="R705" s="2426"/>
      <c r="S705" s="2426"/>
      <c r="T705" s="2426"/>
      <c r="U705" s="2426"/>
      <c r="V705" s="2426"/>
      <c r="W705" s="2426"/>
      <c r="X705" s="2426"/>
      <c r="Y705" s="2426"/>
      <c r="Z705" s="2426"/>
      <c r="AA705" s="2426"/>
      <c r="AB705" s="2426"/>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426"/>
      <c r="F706" s="2426"/>
      <c r="G706" s="2426"/>
      <c r="H706" s="2426"/>
      <c r="I706" s="2426"/>
      <c r="J706" s="2426"/>
      <c r="K706" s="2426"/>
      <c r="L706" s="2426"/>
      <c r="M706" s="2426"/>
      <c r="N706" s="2426"/>
      <c r="O706" s="2426"/>
      <c r="P706" s="2426"/>
      <c r="Q706" s="2426"/>
      <c r="R706" s="2426"/>
      <c r="S706" s="2426"/>
      <c r="T706" s="2426"/>
      <c r="U706" s="2426"/>
      <c r="V706" s="2426"/>
      <c r="W706" s="2426"/>
      <c r="X706" s="2426"/>
      <c r="Y706" s="2426"/>
      <c r="Z706" s="2426"/>
      <c r="AA706" s="2426"/>
      <c r="AB706" s="2426"/>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426"/>
      <c r="F707" s="2426"/>
      <c r="G707" s="2426"/>
      <c r="H707" s="2426"/>
      <c r="I707" s="2426"/>
      <c r="J707" s="2426"/>
      <c r="K707" s="2426"/>
      <c r="L707" s="2426"/>
      <c r="M707" s="2426"/>
      <c r="N707" s="2426"/>
      <c r="O707" s="2426"/>
      <c r="P707" s="2426"/>
      <c r="Q707" s="2426"/>
      <c r="R707" s="2426"/>
      <c r="S707" s="2426"/>
      <c r="T707" s="2426"/>
      <c r="U707" s="2426"/>
      <c r="V707" s="2426"/>
      <c r="W707" s="2426"/>
      <c r="X707" s="2426"/>
      <c r="Y707" s="2426"/>
      <c r="Z707" s="2426"/>
      <c r="AA707" s="2426"/>
      <c r="AB707" s="2426"/>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2478</v>
      </c>
      <c r="E709" s="830"/>
      <c r="F709" s="830"/>
      <c r="G709" s="830"/>
      <c r="H709" s="2455" t="s">
        <v>27</v>
      </c>
      <c r="I709" s="2455"/>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2523</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2488</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2524</v>
      </c>
      <c r="AJ711" s="2406">
        <f>VLOOKUP($H$709,$AO$703:$AP$706,2,FALSE)</f>
        <v>3</v>
      </c>
      <c r="AK711" s="2408"/>
      <c r="AL711" s="495"/>
      <c r="AM711" s="450"/>
      <c r="AN711" s="584"/>
      <c r="AP711" s="470" t="s">
        <v>2496</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2525</v>
      </c>
    </row>
    <row r="713" spans="1:43" s="470" customFormat="1" ht="12.75" customHeight="1">
      <c r="A713" s="450"/>
      <c r="B713" s="436"/>
      <c r="C713" s="439" t="s">
        <v>2526</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2527</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2528</v>
      </c>
    </row>
    <row r="715" spans="1:43" s="470" customFormat="1" ht="12.75" customHeight="1">
      <c r="A715" s="537"/>
      <c r="B715" s="436"/>
      <c r="C715" s="825"/>
      <c r="D715" s="563" t="s">
        <v>22</v>
      </c>
      <c r="E715" s="2463" t="s">
        <v>2529</v>
      </c>
      <c r="F715" s="2463"/>
      <c r="G715" s="2463"/>
      <c r="H715" s="2463"/>
      <c r="I715" s="2463"/>
      <c r="J715" s="2463"/>
      <c r="K715" s="2463"/>
      <c r="L715" s="2463"/>
      <c r="M715" s="2463"/>
      <c r="N715" s="2463"/>
      <c r="O715" s="2463"/>
      <c r="P715" s="2463"/>
      <c r="Q715" s="2463"/>
      <c r="R715" s="2463"/>
      <c r="S715" s="2463"/>
      <c r="T715" s="2463"/>
      <c r="U715" s="2463"/>
      <c r="V715" s="2463"/>
      <c r="W715" s="2463"/>
      <c r="X715" s="2463"/>
      <c r="Y715" s="2463"/>
      <c r="Z715" s="2463"/>
      <c r="AA715" s="2463"/>
      <c r="AB715" s="2463"/>
      <c r="AC715" s="436"/>
      <c r="AD715" s="436"/>
      <c r="AE715" s="436"/>
      <c r="AF715" s="2371" t="s">
        <v>2204</v>
      </c>
      <c r="AG715" s="2371"/>
      <c r="AH715" s="2371"/>
      <c r="AI715" s="2371"/>
      <c r="AJ715" s="2371"/>
      <c r="AK715" s="2371"/>
      <c r="AL715" s="2371"/>
      <c r="AM715" s="450"/>
      <c r="AN715" s="584"/>
      <c r="AP715" s="470" t="s">
        <v>2530</v>
      </c>
    </row>
    <row r="716" spans="1:43" s="470" customFormat="1" ht="12" customHeight="1">
      <c r="A716" s="450"/>
      <c r="B716" s="436"/>
      <c r="C716" s="827"/>
      <c r="D716" s="563"/>
      <c r="E716" s="2463"/>
      <c r="F716" s="2463"/>
      <c r="G716" s="2463"/>
      <c r="H716" s="2463"/>
      <c r="I716" s="2463"/>
      <c r="J716" s="2463"/>
      <c r="K716" s="2463"/>
      <c r="L716" s="2463"/>
      <c r="M716" s="2463"/>
      <c r="N716" s="2463"/>
      <c r="O716" s="2463"/>
      <c r="P716" s="2463"/>
      <c r="Q716" s="2463"/>
      <c r="R716" s="2463"/>
      <c r="S716" s="2463"/>
      <c r="T716" s="2463"/>
      <c r="U716" s="2463"/>
      <c r="V716" s="2463"/>
      <c r="W716" s="2463"/>
      <c r="X716" s="2463"/>
      <c r="Y716" s="2463"/>
      <c r="Z716" s="2463"/>
      <c r="AA716" s="2463"/>
      <c r="AB716" s="2463"/>
      <c r="AC716" s="436"/>
      <c r="AD716" s="436"/>
      <c r="AE716" s="436"/>
      <c r="AF716" s="436"/>
      <c r="AG716" s="436"/>
      <c r="AH716" s="436"/>
      <c r="AI716" s="436"/>
      <c r="AJ716" s="436"/>
      <c r="AK716" s="436"/>
      <c r="AL716" s="436"/>
      <c r="AM716" s="450"/>
      <c r="AN716" s="584"/>
      <c r="AP716" s="470" t="s">
        <v>2531</v>
      </c>
    </row>
    <row r="717" spans="1:43" s="470" customFormat="1" ht="13.9" customHeight="1">
      <c r="A717" s="450"/>
      <c r="B717" s="510"/>
      <c r="C717" s="825"/>
      <c r="D717" s="563"/>
      <c r="E717" s="2463"/>
      <c r="F717" s="2463"/>
      <c r="G717" s="2463"/>
      <c r="H717" s="2463"/>
      <c r="I717" s="2463"/>
      <c r="J717" s="2463"/>
      <c r="K717" s="2463"/>
      <c r="L717" s="2463"/>
      <c r="M717" s="2463"/>
      <c r="N717" s="2463"/>
      <c r="O717" s="2463"/>
      <c r="P717" s="2463"/>
      <c r="Q717" s="2463"/>
      <c r="R717" s="2463"/>
      <c r="S717" s="2463"/>
      <c r="T717" s="2463"/>
      <c r="U717" s="2463"/>
      <c r="V717" s="2463"/>
      <c r="W717" s="2463"/>
      <c r="X717" s="2463"/>
      <c r="Y717" s="2463"/>
      <c r="Z717" s="2463"/>
      <c r="AA717" s="2463"/>
      <c r="AB717" s="2463"/>
      <c r="AC717" s="436"/>
      <c r="AD717" s="436"/>
      <c r="AE717" s="516"/>
      <c r="AF717" s="436"/>
      <c r="AG717" s="436"/>
      <c r="AH717" s="436"/>
      <c r="AI717" s="436"/>
      <c r="AJ717" s="436"/>
      <c r="AK717" s="436"/>
      <c r="AL717" s="436"/>
      <c r="AM717" s="450"/>
      <c r="AN717" s="584"/>
      <c r="AP717" s="470" t="s">
        <v>2532</v>
      </c>
    </row>
    <row r="718" spans="1:43" s="470" customFormat="1" ht="13.9"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2533</v>
      </c>
    </row>
    <row r="719" spans="1:43" s="470" customFormat="1" ht="13.9" customHeight="1">
      <c r="A719" s="450"/>
      <c r="B719" s="436"/>
      <c r="C719" s="825"/>
      <c r="D719" s="563" t="s">
        <v>27</v>
      </c>
      <c r="E719" s="2464" t="s">
        <v>2534</v>
      </c>
      <c r="F719" s="2464"/>
      <c r="G719" s="2464"/>
      <c r="H719" s="2464"/>
      <c r="I719" s="2464"/>
      <c r="J719" s="2464"/>
      <c r="K719" s="2464"/>
      <c r="L719" s="2464"/>
      <c r="M719" s="2464"/>
      <c r="N719" s="2464"/>
      <c r="O719" s="2464"/>
      <c r="P719" s="2464"/>
      <c r="Q719" s="2464"/>
      <c r="R719" s="2464"/>
      <c r="S719" s="2464"/>
      <c r="T719" s="2464"/>
      <c r="U719" s="2464"/>
      <c r="V719" s="2464"/>
      <c r="W719" s="2464"/>
      <c r="X719" s="2464"/>
      <c r="Y719" s="2464"/>
      <c r="Z719" s="2464"/>
      <c r="AA719" s="2464"/>
      <c r="AB719" s="2464"/>
      <c r="AC719" s="436"/>
      <c r="AD719" s="436"/>
      <c r="AE719" s="436"/>
      <c r="AF719" s="2371" t="s">
        <v>2492</v>
      </c>
      <c r="AG719" s="2371"/>
      <c r="AH719" s="2371"/>
      <c r="AI719" s="2371"/>
      <c r="AJ719" s="2371"/>
      <c r="AK719" s="2371"/>
      <c r="AL719" s="2371"/>
      <c r="AM719" s="450"/>
      <c r="AN719" s="585"/>
    </row>
    <row r="720" spans="1:43" s="470" customFormat="1" ht="12.75" customHeight="1">
      <c r="A720" s="450"/>
      <c r="B720" s="436"/>
      <c r="C720" s="827"/>
      <c r="D720" s="436"/>
      <c r="E720" s="2464"/>
      <c r="F720" s="2464"/>
      <c r="G720" s="2464"/>
      <c r="H720" s="2464"/>
      <c r="I720" s="2464"/>
      <c r="J720" s="2464"/>
      <c r="K720" s="2464"/>
      <c r="L720" s="2464"/>
      <c r="M720" s="2464"/>
      <c r="N720" s="2464"/>
      <c r="O720" s="2464"/>
      <c r="P720" s="2464"/>
      <c r="Q720" s="2464"/>
      <c r="R720" s="2464"/>
      <c r="S720" s="2464"/>
      <c r="T720" s="2464"/>
      <c r="U720" s="2464"/>
      <c r="V720" s="2464"/>
      <c r="W720" s="2464"/>
      <c r="X720" s="2464"/>
      <c r="Y720" s="2464"/>
      <c r="Z720" s="2464"/>
      <c r="AA720" s="2464"/>
      <c r="AB720" s="2464"/>
      <c r="AC720" s="436"/>
      <c r="AD720" s="436"/>
      <c r="AE720" s="436"/>
      <c r="AF720" s="436"/>
      <c r="AG720" s="436"/>
      <c r="AH720" s="436"/>
      <c r="AI720" s="436"/>
      <c r="AJ720" s="436"/>
      <c r="AK720" s="436"/>
      <c r="AL720" s="436"/>
      <c r="AM720" s="450"/>
      <c r="AN720" s="584"/>
      <c r="AP720" s="450" t="s">
        <v>807</v>
      </c>
      <c r="AQ720" s="573">
        <v>0</v>
      </c>
    </row>
    <row r="721" spans="1:81" s="470" customFormat="1" ht="13.9" customHeight="1">
      <c r="A721" s="450"/>
      <c r="B721" s="436"/>
      <c r="C721" s="827"/>
      <c r="D721" s="436"/>
      <c r="E721" s="2464"/>
      <c r="F721" s="2464"/>
      <c r="G721" s="2464"/>
      <c r="H721" s="2464"/>
      <c r="I721" s="2464"/>
      <c r="J721" s="2464"/>
      <c r="K721" s="2464"/>
      <c r="L721" s="2464"/>
      <c r="M721" s="2464"/>
      <c r="N721" s="2464"/>
      <c r="O721" s="2464"/>
      <c r="P721" s="2464"/>
      <c r="Q721" s="2464"/>
      <c r="R721" s="2464"/>
      <c r="S721" s="2464"/>
      <c r="T721" s="2464"/>
      <c r="U721" s="2464"/>
      <c r="V721" s="2464"/>
      <c r="W721" s="2464"/>
      <c r="X721" s="2464"/>
      <c r="Y721" s="2464"/>
      <c r="Z721" s="2464"/>
      <c r="AA721" s="2464"/>
      <c r="AB721" s="2464"/>
      <c r="AC721" s="436"/>
      <c r="AD721" s="436"/>
      <c r="AE721" s="436"/>
      <c r="AF721" s="436"/>
      <c r="AG721" s="436"/>
      <c r="AH721" s="436"/>
      <c r="AI721" s="436"/>
      <c r="AJ721" s="436"/>
      <c r="AK721" s="436"/>
      <c r="AL721" s="436"/>
      <c r="AM721" s="450"/>
      <c r="AN721" s="584"/>
      <c r="AP721" s="511" t="s">
        <v>22</v>
      </c>
      <c r="AQ721" s="450">
        <v>3</v>
      </c>
    </row>
    <row r="722" spans="1:81" s="470" customFormat="1" ht="13.9"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3.9" customHeight="1">
      <c r="A723" s="450"/>
      <c r="B723" s="436"/>
      <c r="C723" s="827"/>
      <c r="D723" s="436" t="s">
        <v>2478</v>
      </c>
      <c r="E723" s="830"/>
      <c r="F723" s="830"/>
      <c r="G723" s="830"/>
      <c r="H723" s="2455" t="s">
        <v>807</v>
      </c>
      <c r="I723" s="2455"/>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2535</v>
      </c>
      <c r="AJ725" s="2406">
        <f>VLOOKUP($H$723,$AP$720:$AQ$722,2,FALSE)</f>
        <v>0</v>
      </c>
      <c r="AK725" s="2408"/>
      <c r="AL725" s="495"/>
      <c r="AM725" s="450"/>
      <c r="AN725" s="584"/>
      <c r="AP725" s="2406"/>
      <c r="AQ725" s="2408"/>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2536</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426" t="s">
        <v>2537</v>
      </c>
      <c r="F729" s="2426"/>
      <c r="G729" s="2426"/>
      <c r="H729" s="2426"/>
      <c r="I729" s="2426"/>
      <c r="J729" s="2426"/>
      <c r="K729" s="2426"/>
      <c r="L729" s="2426"/>
      <c r="M729" s="2426"/>
      <c r="N729" s="2426"/>
      <c r="O729" s="2426"/>
      <c r="P729" s="2426"/>
      <c r="Q729" s="2426"/>
      <c r="R729" s="2426"/>
      <c r="S729" s="2426"/>
      <c r="T729" s="2426"/>
      <c r="U729" s="2426"/>
      <c r="V729" s="2426"/>
      <c r="W729" s="2426"/>
      <c r="X729" s="2426"/>
      <c r="Y729" s="2426"/>
      <c r="Z729" s="2426"/>
      <c r="AA729" s="2426"/>
      <c r="AB729" s="2426"/>
      <c r="AC729" s="436"/>
      <c r="AD729" s="436"/>
      <c r="AE729" s="436"/>
      <c r="AF729" s="2371" t="s">
        <v>2204</v>
      </c>
      <c r="AG729" s="2371"/>
      <c r="AH729" s="2371"/>
      <c r="AI729" s="2371"/>
      <c r="AJ729" s="2371"/>
      <c r="AK729" s="2371"/>
      <c r="AL729" s="2371"/>
      <c r="AM729" s="450"/>
      <c r="AN729" s="584"/>
      <c r="AT729" s="13"/>
      <c r="AU729" s="13"/>
      <c r="AV729" s="13"/>
      <c r="AW729" s="13"/>
      <c r="AX729" s="13"/>
      <c r="AY729" s="13"/>
      <c r="AZ729" s="13"/>
    </row>
    <row r="730" spans="1:81" s="470" customFormat="1">
      <c r="A730" s="450"/>
      <c r="B730" s="436"/>
      <c r="C730" s="827"/>
      <c r="D730" s="563"/>
      <c r="E730" s="2426"/>
      <c r="F730" s="2426"/>
      <c r="G730" s="2426"/>
      <c r="H730" s="2426"/>
      <c r="I730" s="2426"/>
      <c r="J730" s="2426"/>
      <c r="K730" s="2426"/>
      <c r="L730" s="2426"/>
      <c r="M730" s="2426"/>
      <c r="N730" s="2426"/>
      <c r="O730" s="2426"/>
      <c r="P730" s="2426"/>
      <c r="Q730" s="2426"/>
      <c r="R730" s="2426"/>
      <c r="S730" s="2426"/>
      <c r="T730" s="2426"/>
      <c r="U730" s="2426"/>
      <c r="V730" s="2426"/>
      <c r="W730" s="2426"/>
      <c r="X730" s="2426"/>
      <c r="Y730" s="2426"/>
      <c r="Z730" s="2426"/>
      <c r="AA730" s="2426"/>
      <c r="AB730" s="2426"/>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26" t="s">
        <v>2538</v>
      </c>
      <c r="F732" s="2426"/>
      <c r="G732" s="2426"/>
      <c r="H732" s="2426"/>
      <c r="I732" s="2426"/>
      <c r="J732" s="2426"/>
      <c r="K732" s="2426"/>
      <c r="L732" s="2426"/>
      <c r="M732" s="2426"/>
      <c r="N732" s="2426"/>
      <c r="O732" s="2426"/>
      <c r="P732" s="2426"/>
      <c r="Q732" s="2426"/>
      <c r="R732" s="2426"/>
      <c r="S732" s="2426"/>
      <c r="T732" s="2426"/>
      <c r="U732" s="2426"/>
      <c r="V732" s="2426"/>
      <c r="W732" s="2426"/>
      <c r="X732" s="2426"/>
      <c r="Y732" s="2426"/>
      <c r="Z732" s="2426"/>
      <c r="AA732" s="2426"/>
      <c r="AB732" s="2426"/>
      <c r="AC732" s="436"/>
      <c r="AD732" s="436"/>
      <c r="AE732" s="436"/>
      <c r="AF732" s="2371" t="s">
        <v>2492</v>
      </c>
      <c r="AG732" s="2371"/>
      <c r="AH732" s="2371"/>
      <c r="AI732" s="2371"/>
      <c r="AJ732" s="2371"/>
      <c r="AK732" s="2371"/>
      <c r="AL732" s="2371"/>
      <c r="AM732" s="450"/>
      <c r="AN732" s="584"/>
      <c r="AT732" s="13"/>
      <c r="AU732" s="13"/>
      <c r="AV732" s="13"/>
      <c r="AW732" s="13"/>
      <c r="AX732" s="13"/>
      <c r="AY732" s="13"/>
      <c r="AZ732" s="13"/>
    </row>
    <row r="733" spans="1:81" s="470" customFormat="1">
      <c r="A733" s="450"/>
      <c r="B733" s="436"/>
      <c r="C733" s="827"/>
      <c r="D733" s="436"/>
      <c r="E733" s="2426"/>
      <c r="F733" s="2426"/>
      <c r="G733" s="2426"/>
      <c r="H733" s="2426"/>
      <c r="I733" s="2426"/>
      <c r="J733" s="2426"/>
      <c r="K733" s="2426"/>
      <c r="L733" s="2426"/>
      <c r="M733" s="2426"/>
      <c r="N733" s="2426"/>
      <c r="O733" s="2426"/>
      <c r="P733" s="2426"/>
      <c r="Q733" s="2426"/>
      <c r="R733" s="2426"/>
      <c r="S733" s="2426"/>
      <c r="T733" s="2426"/>
      <c r="U733" s="2426"/>
      <c r="V733" s="2426"/>
      <c r="W733" s="2426"/>
      <c r="X733" s="2426"/>
      <c r="Y733" s="2426"/>
      <c r="Z733" s="2426"/>
      <c r="AA733" s="2426"/>
      <c r="AB733" s="2426"/>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2478</v>
      </c>
      <c r="E735" s="830"/>
      <c r="F735" s="830"/>
      <c r="G735" s="830"/>
      <c r="H735" s="2455" t="s">
        <v>807</v>
      </c>
      <c r="I735" s="2455"/>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2539</v>
      </c>
      <c r="AJ737" s="2406">
        <f>VLOOKUP($H$735,$AO$666:$AP$668,2,FALSE)</f>
        <v>0</v>
      </c>
      <c r="AK737" s="2408"/>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2540</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426" t="s">
        <v>2541</v>
      </c>
      <c r="F741" s="2426"/>
      <c r="G741" s="2426"/>
      <c r="H741" s="2426"/>
      <c r="I741" s="2426"/>
      <c r="J741" s="2426"/>
      <c r="K741" s="2426"/>
      <c r="L741" s="2426"/>
      <c r="M741" s="2426"/>
      <c r="N741" s="2426"/>
      <c r="O741" s="2426"/>
      <c r="P741" s="2426"/>
      <c r="Q741" s="2426"/>
      <c r="R741" s="2426"/>
      <c r="S741" s="2426"/>
      <c r="T741" s="2426"/>
      <c r="U741" s="2426"/>
      <c r="V741" s="2426"/>
      <c r="W741" s="2426"/>
      <c r="X741" s="2426"/>
      <c r="Y741" s="2426"/>
      <c r="Z741" s="2426"/>
      <c r="AA741" s="2426"/>
      <c r="AB741" s="2426"/>
      <c r="AC741" s="436"/>
      <c r="AD741" s="436"/>
      <c r="AE741" s="436"/>
      <c r="AF741" s="2371" t="s">
        <v>2204</v>
      </c>
      <c r="AG741" s="2371"/>
      <c r="AH741" s="2371"/>
      <c r="AI741" s="2371"/>
      <c r="AJ741" s="2371"/>
      <c r="AK741" s="2371"/>
      <c r="AL741" s="2371"/>
      <c r="AM741" s="450"/>
      <c r="AN741" s="584"/>
      <c r="AT741" s="13"/>
      <c r="AU741" s="13"/>
      <c r="AV741" s="13"/>
      <c r="AW741" s="13"/>
      <c r="AX741" s="13"/>
      <c r="AY741" s="13"/>
      <c r="AZ741" s="13"/>
    </row>
    <row r="742" spans="1:81" s="470" customFormat="1">
      <c r="A742" s="450"/>
      <c r="B742" s="436"/>
      <c r="C742" s="825"/>
      <c r="D742" s="563"/>
      <c r="E742" s="2426"/>
      <c r="F742" s="2426"/>
      <c r="G742" s="2426"/>
      <c r="H742" s="2426"/>
      <c r="I742" s="2426"/>
      <c r="J742" s="2426"/>
      <c r="K742" s="2426"/>
      <c r="L742" s="2426"/>
      <c r="M742" s="2426"/>
      <c r="N742" s="2426"/>
      <c r="O742" s="2426"/>
      <c r="P742" s="2426"/>
      <c r="Q742" s="2426"/>
      <c r="R742" s="2426"/>
      <c r="S742" s="2426"/>
      <c r="T742" s="2426"/>
      <c r="U742" s="2426"/>
      <c r="V742" s="2426"/>
      <c r="W742" s="2426"/>
      <c r="X742" s="2426"/>
      <c r="Y742" s="2426"/>
      <c r="Z742" s="2426"/>
      <c r="AA742" s="2426"/>
      <c r="AB742" s="2426"/>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426"/>
      <c r="F743" s="2426"/>
      <c r="G743" s="2426"/>
      <c r="H743" s="2426"/>
      <c r="I743" s="2426"/>
      <c r="J743" s="2426"/>
      <c r="K743" s="2426"/>
      <c r="L743" s="2426"/>
      <c r="M743" s="2426"/>
      <c r="N743" s="2426"/>
      <c r="O743" s="2426"/>
      <c r="P743" s="2426"/>
      <c r="Q743" s="2426"/>
      <c r="R743" s="2426"/>
      <c r="S743" s="2426"/>
      <c r="T743" s="2426"/>
      <c r="U743" s="2426"/>
      <c r="V743" s="2426"/>
      <c r="W743" s="2426"/>
      <c r="X743" s="2426"/>
      <c r="Y743" s="2426"/>
      <c r="Z743" s="2426"/>
      <c r="AA743" s="2426"/>
      <c r="AB743" s="2426"/>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26"/>
      <c r="F744" s="2426"/>
      <c r="G744" s="2426"/>
      <c r="H744" s="2426"/>
      <c r="I744" s="2426"/>
      <c r="J744" s="2426"/>
      <c r="K744" s="2426"/>
      <c r="L744" s="2426"/>
      <c r="M744" s="2426"/>
      <c r="N744" s="2426"/>
      <c r="O744" s="2426"/>
      <c r="P744" s="2426"/>
      <c r="Q744" s="2426"/>
      <c r="R744" s="2426"/>
      <c r="S744" s="2426"/>
      <c r="T744" s="2426"/>
      <c r="U744" s="2426"/>
      <c r="V744" s="2426"/>
      <c r="W744" s="2426"/>
      <c r="X744" s="2426"/>
      <c r="Y744" s="2426"/>
      <c r="Z744" s="2426"/>
      <c r="AA744" s="2426"/>
      <c r="AB744" s="2426"/>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426" t="s">
        <v>2542</v>
      </c>
      <c r="F746" s="2426"/>
      <c r="G746" s="2426"/>
      <c r="H746" s="2426"/>
      <c r="I746" s="2426"/>
      <c r="J746" s="2426"/>
      <c r="K746" s="2426"/>
      <c r="L746" s="2426"/>
      <c r="M746" s="2426"/>
      <c r="N746" s="2426"/>
      <c r="O746" s="2426"/>
      <c r="P746" s="2426"/>
      <c r="Q746" s="2426"/>
      <c r="R746" s="2426"/>
      <c r="S746" s="2426"/>
      <c r="T746" s="2426"/>
      <c r="U746" s="2426"/>
      <c r="V746" s="2426"/>
      <c r="W746" s="2426"/>
      <c r="X746" s="2426"/>
      <c r="Y746" s="2426"/>
      <c r="Z746" s="2426"/>
      <c r="AA746" s="2426"/>
      <c r="AB746" s="475"/>
      <c r="AC746" s="436"/>
      <c r="AD746" s="436"/>
      <c r="AE746" s="436"/>
      <c r="AF746" s="2371" t="s">
        <v>2492</v>
      </c>
      <c r="AG746" s="2371"/>
      <c r="AH746" s="2371"/>
      <c r="AI746" s="2371"/>
      <c r="AJ746" s="2371"/>
      <c r="AK746" s="2371"/>
      <c r="AL746" s="2371"/>
      <c r="AM746" s="450"/>
      <c r="AN746" s="584"/>
      <c r="AO746" s="25"/>
      <c r="AP746" s="13"/>
    </row>
    <row r="747" spans="1:81" s="470" customFormat="1">
      <c r="A747" s="450"/>
      <c r="B747" s="436"/>
      <c r="C747" s="825"/>
      <c r="D747" s="563"/>
      <c r="E747" s="2426"/>
      <c r="F747" s="2426"/>
      <c r="G747" s="2426"/>
      <c r="H747" s="2426"/>
      <c r="I747" s="2426"/>
      <c r="J747" s="2426"/>
      <c r="K747" s="2426"/>
      <c r="L747" s="2426"/>
      <c r="M747" s="2426"/>
      <c r="N747" s="2426"/>
      <c r="O747" s="2426"/>
      <c r="P747" s="2426"/>
      <c r="Q747" s="2426"/>
      <c r="R747" s="2426"/>
      <c r="S747" s="2426"/>
      <c r="T747" s="2426"/>
      <c r="U747" s="2426"/>
      <c r="V747" s="2426"/>
      <c r="W747" s="2426"/>
      <c r="X747" s="2426"/>
      <c r="Y747" s="2426"/>
      <c r="Z747" s="2426"/>
      <c r="AA747" s="2426"/>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426"/>
      <c r="F748" s="2426"/>
      <c r="G748" s="2426"/>
      <c r="H748" s="2426"/>
      <c r="I748" s="2426"/>
      <c r="J748" s="2426"/>
      <c r="K748" s="2426"/>
      <c r="L748" s="2426"/>
      <c r="M748" s="2426"/>
      <c r="N748" s="2426"/>
      <c r="O748" s="2426"/>
      <c r="P748" s="2426"/>
      <c r="Q748" s="2426"/>
      <c r="R748" s="2426"/>
      <c r="S748" s="2426"/>
      <c r="T748" s="2426"/>
      <c r="U748" s="2426"/>
      <c r="V748" s="2426"/>
      <c r="W748" s="2426"/>
      <c r="X748" s="2426"/>
      <c r="Y748" s="2426"/>
      <c r="Z748" s="2426"/>
      <c r="AA748" s="2426"/>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426"/>
      <c r="F749" s="2426"/>
      <c r="G749" s="2426"/>
      <c r="H749" s="2426"/>
      <c r="I749" s="2426"/>
      <c r="J749" s="2426"/>
      <c r="K749" s="2426"/>
      <c r="L749" s="2426"/>
      <c r="M749" s="2426"/>
      <c r="N749" s="2426"/>
      <c r="O749" s="2426"/>
      <c r="P749" s="2426"/>
      <c r="Q749" s="2426"/>
      <c r="R749" s="2426"/>
      <c r="S749" s="2426"/>
      <c r="T749" s="2426"/>
      <c r="U749" s="2426"/>
      <c r="V749" s="2426"/>
      <c r="W749" s="2426"/>
      <c r="X749" s="2426"/>
      <c r="Y749" s="2426"/>
      <c r="Z749" s="2426"/>
      <c r="AA749" s="2426"/>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2478</v>
      </c>
      <c r="E751" s="830"/>
      <c r="F751" s="830"/>
      <c r="G751" s="830"/>
      <c r="H751" s="2455" t="s">
        <v>22</v>
      </c>
      <c r="I751" s="2455"/>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2543</v>
      </c>
      <c r="AJ753" s="2406">
        <f>VLOOKUP($H$751,$AO$680:$AP$682,2,FALSE)</f>
        <v>3</v>
      </c>
      <c r="AK753" s="2408"/>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2532</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426" t="s">
        <v>2544</v>
      </c>
      <c r="F757" s="2426"/>
      <c r="G757" s="2426"/>
      <c r="H757" s="2426"/>
      <c r="I757" s="2426"/>
      <c r="J757" s="2426"/>
      <c r="K757" s="2426"/>
      <c r="L757" s="2426"/>
      <c r="M757" s="2426"/>
      <c r="N757" s="2426"/>
      <c r="O757" s="2426"/>
      <c r="P757" s="2426"/>
      <c r="Q757" s="2426"/>
      <c r="R757" s="2426"/>
      <c r="S757" s="2426"/>
      <c r="T757" s="2426"/>
      <c r="U757" s="2426"/>
      <c r="V757" s="2426"/>
      <c r="W757" s="2426"/>
      <c r="X757" s="2426"/>
      <c r="Y757" s="2426"/>
      <c r="Z757" s="2426"/>
      <c r="AA757" s="2426"/>
      <c r="AB757" s="2426"/>
      <c r="AC757" s="436"/>
      <c r="AD757" s="436"/>
      <c r="AE757" s="436"/>
      <c r="AF757" s="2371" t="s">
        <v>2492</v>
      </c>
      <c r="AG757" s="2371"/>
      <c r="AH757" s="2371"/>
      <c r="AI757" s="2371"/>
      <c r="AJ757" s="2371"/>
      <c r="AK757" s="2371"/>
      <c r="AL757" s="2371"/>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426"/>
      <c r="F758" s="2426"/>
      <c r="G758" s="2426"/>
      <c r="H758" s="2426"/>
      <c r="I758" s="2426"/>
      <c r="J758" s="2426"/>
      <c r="K758" s="2426"/>
      <c r="L758" s="2426"/>
      <c r="M758" s="2426"/>
      <c r="N758" s="2426"/>
      <c r="O758" s="2426"/>
      <c r="P758" s="2426"/>
      <c r="Q758" s="2426"/>
      <c r="R758" s="2426"/>
      <c r="S758" s="2426"/>
      <c r="T758" s="2426"/>
      <c r="U758" s="2426"/>
      <c r="V758" s="2426"/>
      <c r="W758" s="2426"/>
      <c r="X758" s="2426"/>
      <c r="Y758" s="2426"/>
      <c r="Z758" s="2426"/>
      <c r="AA758" s="2426"/>
      <c r="AB758" s="2426"/>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426" t="s">
        <v>2545</v>
      </c>
      <c r="F760" s="2426"/>
      <c r="G760" s="2426"/>
      <c r="H760" s="2426"/>
      <c r="I760" s="2426"/>
      <c r="J760" s="2426"/>
      <c r="K760" s="2426"/>
      <c r="L760" s="2426"/>
      <c r="M760" s="2426"/>
      <c r="N760" s="2426"/>
      <c r="O760" s="2426"/>
      <c r="P760" s="2426"/>
      <c r="Q760" s="2426"/>
      <c r="R760" s="2426"/>
      <c r="S760" s="2426"/>
      <c r="T760" s="2426"/>
      <c r="U760" s="2426"/>
      <c r="V760" s="2426"/>
      <c r="W760" s="2426"/>
      <c r="X760" s="2426"/>
      <c r="Y760" s="2426"/>
      <c r="Z760" s="2426"/>
      <c r="AA760" s="2426"/>
      <c r="AB760" s="2426"/>
      <c r="AC760" s="436"/>
      <c r="AD760" s="436"/>
      <c r="AE760" s="436"/>
      <c r="AF760" s="2371" t="s">
        <v>2510</v>
      </c>
      <c r="AG760" s="2371"/>
      <c r="AH760" s="2371"/>
      <c r="AI760" s="2371"/>
      <c r="AJ760" s="2371"/>
      <c r="AK760" s="2371"/>
      <c r="AL760" s="2371"/>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26"/>
      <c r="F761" s="2426"/>
      <c r="G761" s="2426"/>
      <c r="H761" s="2426"/>
      <c r="I761" s="2426"/>
      <c r="J761" s="2426"/>
      <c r="K761" s="2426"/>
      <c r="L761" s="2426"/>
      <c r="M761" s="2426"/>
      <c r="N761" s="2426"/>
      <c r="O761" s="2426"/>
      <c r="P761" s="2426"/>
      <c r="Q761" s="2426"/>
      <c r="R761" s="2426"/>
      <c r="S761" s="2426"/>
      <c r="T761" s="2426"/>
      <c r="U761" s="2426"/>
      <c r="V761" s="2426"/>
      <c r="W761" s="2426"/>
      <c r="X761" s="2426"/>
      <c r="Y761" s="2426"/>
      <c r="Z761" s="2426"/>
      <c r="AA761" s="2426"/>
      <c r="AB761" s="2426"/>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2478</v>
      </c>
      <c r="E763" s="830"/>
      <c r="F763" s="830"/>
      <c r="G763" s="830"/>
      <c r="H763" s="2455" t="s">
        <v>22</v>
      </c>
      <c r="I763" s="2455"/>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3.9"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2546</v>
      </c>
      <c r="AJ765" s="2406">
        <f>VLOOKUP($H$763,$AO$697:$AP$699,2,FALSE)</f>
        <v>2</v>
      </c>
      <c r="AK765" s="2408"/>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2533</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9" customHeight="1">
      <c r="A769" s="450"/>
      <c r="B769" s="516"/>
      <c r="C769" s="834"/>
      <c r="D769" s="563" t="s">
        <v>22</v>
      </c>
      <c r="E769" s="2426" t="s">
        <v>2547</v>
      </c>
      <c r="F769" s="2426"/>
      <c r="G769" s="2426"/>
      <c r="H769" s="2426"/>
      <c r="I769" s="2426"/>
      <c r="J769" s="2426"/>
      <c r="K769" s="2426"/>
      <c r="L769" s="2426"/>
      <c r="M769" s="2426"/>
      <c r="N769" s="2426"/>
      <c r="O769" s="2426"/>
      <c r="P769" s="2426"/>
      <c r="Q769" s="2426"/>
      <c r="R769" s="2426"/>
      <c r="S769" s="2426"/>
      <c r="T769" s="2426"/>
      <c r="U769" s="2426"/>
      <c r="V769" s="2426"/>
      <c r="W769" s="2426"/>
      <c r="X769" s="2426"/>
      <c r="Y769" s="2426"/>
      <c r="Z769" s="2426"/>
      <c r="AA769" s="2426"/>
      <c r="AB769" s="2426"/>
      <c r="AC769" s="2426"/>
      <c r="AD769" s="2426"/>
      <c r="AE769" s="436"/>
      <c r="AF769" s="2371" t="s">
        <v>2492</v>
      </c>
      <c r="AG769" s="2371"/>
      <c r="AH769" s="2371"/>
      <c r="AI769" s="2371"/>
      <c r="AJ769" s="2371"/>
      <c r="AK769" s="2371"/>
      <c r="AL769" s="2371"/>
      <c r="AM769" s="513"/>
      <c r="AN769" s="584"/>
      <c r="AO769" s="450" t="s">
        <v>807</v>
      </c>
      <c r="AP769" s="573">
        <v>0</v>
      </c>
    </row>
    <row r="770" spans="1:81" s="470" customFormat="1" ht="13.9" customHeight="1">
      <c r="A770" s="450"/>
      <c r="B770" s="516"/>
      <c r="C770" s="834"/>
      <c r="D770" s="563"/>
      <c r="E770" s="2426"/>
      <c r="F770" s="2426"/>
      <c r="G770" s="2426"/>
      <c r="H770" s="2426"/>
      <c r="I770" s="2426"/>
      <c r="J770" s="2426"/>
      <c r="K770" s="2426"/>
      <c r="L770" s="2426"/>
      <c r="M770" s="2426"/>
      <c r="N770" s="2426"/>
      <c r="O770" s="2426"/>
      <c r="P770" s="2426"/>
      <c r="Q770" s="2426"/>
      <c r="R770" s="2426"/>
      <c r="S770" s="2426"/>
      <c r="T770" s="2426"/>
      <c r="U770" s="2426"/>
      <c r="V770" s="2426"/>
      <c r="W770" s="2426"/>
      <c r="X770" s="2426"/>
      <c r="Y770" s="2426"/>
      <c r="Z770" s="2426"/>
      <c r="AA770" s="2426"/>
      <c r="AB770" s="2426"/>
      <c r="AC770" s="2426"/>
      <c r="AD770" s="2426"/>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426"/>
      <c r="F771" s="2426"/>
      <c r="G771" s="2426"/>
      <c r="H771" s="2426"/>
      <c r="I771" s="2426"/>
      <c r="J771" s="2426"/>
      <c r="K771" s="2426"/>
      <c r="L771" s="2426"/>
      <c r="M771" s="2426"/>
      <c r="N771" s="2426"/>
      <c r="O771" s="2426"/>
      <c r="P771" s="2426"/>
      <c r="Q771" s="2426"/>
      <c r="R771" s="2426"/>
      <c r="S771" s="2426"/>
      <c r="T771" s="2426"/>
      <c r="U771" s="2426"/>
      <c r="V771" s="2426"/>
      <c r="W771" s="2426"/>
      <c r="X771" s="2426"/>
      <c r="Y771" s="2426"/>
      <c r="Z771" s="2426"/>
      <c r="AA771" s="2426"/>
      <c r="AB771" s="2426"/>
      <c r="AC771" s="2426"/>
      <c r="AD771" s="2426"/>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75" customHeight="1">
      <c r="A772" s="450"/>
      <c r="B772" s="516"/>
      <c r="C772" s="834"/>
      <c r="D772" s="563"/>
      <c r="E772" s="2426"/>
      <c r="F772" s="2426"/>
      <c r="G772" s="2426"/>
      <c r="H772" s="2426"/>
      <c r="I772" s="2426"/>
      <c r="J772" s="2426"/>
      <c r="K772" s="2426"/>
      <c r="L772" s="2426"/>
      <c r="M772" s="2426"/>
      <c r="N772" s="2426"/>
      <c r="O772" s="2426"/>
      <c r="P772" s="2426"/>
      <c r="Q772" s="2426"/>
      <c r="R772" s="2426"/>
      <c r="S772" s="2426"/>
      <c r="T772" s="2426"/>
      <c r="U772" s="2426"/>
      <c r="V772" s="2426"/>
      <c r="W772" s="2426"/>
      <c r="X772" s="2426"/>
      <c r="Y772" s="2426"/>
      <c r="Z772" s="2426"/>
      <c r="AA772" s="2426"/>
      <c r="AB772" s="2426"/>
      <c r="AC772" s="2426"/>
      <c r="AD772" s="2426"/>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5" t="s">
        <v>2548</v>
      </c>
      <c r="F774" s="2465"/>
      <c r="G774" s="2465"/>
      <c r="H774" s="2465"/>
      <c r="I774" s="2465"/>
      <c r="J774" s="2465"/>
      <c r="K774" s="2465"/>
      <c r="L774" s="2465"/>
      <c r="M774" s="2465"/>
      <c r="N774" s="2465"/>
      <c r="O774" s="2465"/>
      <c r="P774" s="2465"/>
      <c r="Q774" s="2465"/>
      <c r="R774" s="2465"/>
      <c r="S774" s="2465"/>
      <c r="T774" s="2465"/>
      <c r="U774" s="2465"/>
      <c r="V774" s="2465"/>
      <c r="W774" s="2465"/>
      <c r="X774" s="2465"/>
      <c r="Y774" s="2465"/>
      <c r="Z774" s="2465"/>
      <c r="AA774" s="2465"/>
      <c r="AB774" s="2465"/>
      <c r="AC774" s="2465"/>
      <c r="AD774" s="2465"/>
      <c r="AE774" s="436"/>
      <c r="AF774" s="2371" t="s">
        <v>2204</v>
      </c>
      <c r="AG774" s="2371"/>
      <c r="AH774" s="2371"/>
      <c r="AI774" s="2371"/>
      <c r="AJ774" s="2371"/>
      <c r="AK774" s="2371"/>
      <c r="AL774" s="2371"/>
      <c r="AM774" s="513"/>
      <c r="AN774" s="497"/>
    </row>
    <row r="775" spans="1:81" s="450" customFormat="1" ht="12.75" customHeight="1">
      <c r="B775" s="516"/>
      <c r="C775" s="834"/>
      <c r="D775" s="563"/>
      <c r="E775" s="2465"/>
      <c r="F775" s="2465"/>
      <c r="G775" s="2465"/>
      <c r="H775" s="2465"/>
      <c r="I775" s="2465"/>
      <c r="J775" s="2465"/>
      <c r="K775" s="2465"/>
      <c r="L775" s="2465"/>
      <c r="M775" s="2465"/>
      <c r="N775" s="2465"/>
      <c r="O775" s="2465"/>
      <c r="P775" s="2465"/>
      <c r="Q775" s="2465"/>
      <c r="R775" s="2465"/>
      <c r="S775" s="2465"/>
      <c r="T775" s="2465"/>
      <c r="U775" s="2465"/>
      <c r="V775" s="2465"/>
      <c r="W775" s="2465"/>
      <c r="X775" s="2465"/>
      <c r="Y775" s="2465"/>
      <c r="Z775" s="2465"/>
      <c r="AA775" s="2465"/>
      <c r="AB775" s="2465"/>
      <c r="AC775" s="2465"/>
      <c r="AD775" s="2465"/>
      <c r="AE775" s="494"/>
      <c r="AF775" s="494"/>
      <c r="AG775" s="494"/>
      <c r="AH775" s="494"/>
      <c r="AI775" s="494"/>
      <c r="AJ775" s="494"/>
      <c r="AK775" s="494"/>
      <c r="AL775" s="494"/>
      <c r="AM775" s="513"/>
      <c r="AN775" s="497"/>
    </row>
    <row r="776" spans="1:81" s="450" customFormat="1" ht="12.75" customHeight="1">
      <c r="B776" s="516"/>
      <c r="C776" s="834"/>
      <c r="D776" s="563"/>
      <c r="E776" s="2465"/>
      <c r="F776" s="2465"/>
      <c r="G776" s="2465"/>
      <c r="H776" s="2465"/>
      <c r="I776" s="2465"/>
      <c r="J776" s="2465"/>
      <c r="K776" s="2465"/>
      <c r="L776" s="2465"/>
      <c r="M776" s="2465"/>
      <c r="N776" s="2465"/>
      <c r="O776" s="2465"/>
      <c r="P776" s="2465"/>
      <c r="Q776" s="2465"/>
      <c r="R776" s="2465"/>
      <c r="S776" s="2465"/>
      <c r="T776" s="2465"/>
      <c r="U776" s="2465"/>
      <c r="V776" s="2465"/>
      <c r="W776" s="2465"/>
      <c r="X776" s="2465"/>
      <c r="Y776" s="2465"/>
      <c r="Z776" s="2465"/>
      <c r="AA776" s="2465"/>
      <c r="AB776" s="2465"/>
      <c r="AC776" s="2465"/>
      <c r="AD776" s="2465"/>
      <c r="AE776" s="494"/>
      <c r="AF776" s="494"/>
      <c r="AG776" s="494"/>
      <c r="AH776" s="494"/>
      <c r="AI776" s="494"/>
      <c r="AJ776" s="494"/>
      <c r="AK776" s="494"/>
      <c r="AL776" s="494"/>
      <c r="AM776" s="513"/>
      <c r="AN776" s="497"/>
    </row>
    <row r="777" spans="1:81" s="450" customFormat="1" ht="12.75" customHeight="1">
      <c r="B777" s="516"/>
      <c r="C777" s="834"/>
      <c r="D777" s="563"/>
      <c r="E777" s="2465"/>
      <c r="F777" s="2465"/>
      <c r="G777" s="2465"/>
      <c r="H777" s="2465"/>
      <c r="I777" s="2465"/>
      <c r="J777" s="2465"/>
      <c r="K777" s="2465"/>
      <c r="L777" s="2465"/>
      <c r="M777" s="2465"/>
      <c r="N777" s="2465"/>
      <c r="O777" s="2465"/>
      <c r="P777" s="2465"/>
      <c r="Q777" s="2465"/>
      <c r="R777" s="2465"/>
      <c r="S777" s="2465"/>
      <c r="T777" s="2465"/>
      <c r="U777" s="2465"/>
      <c r="V777" s="2465"/>
      <c r="W777" s="2465"/>
      <c r="X777" s="2465"/>
      <c r="Y777" s="2465"/>
      <c r="Z777" s="2465"/>
      <c r="AA777" s="2465"/>
      <c r="AB777" s="2465"/>
      <c r="AC777" s="2465"/>
      <c r="AD777" s="2465"/>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2478</v>
      </c>
      <c r="E779" s="830"/>
      <c r="F779" s="830"/>
      <c r="G779" s="830"/>
      <c r="H779" s="2455" t="s">
        <v>807</v>
      </c>
      <c r="I779" s="2455"/>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2549</v>
      </c>
      <c r="AJ781" s="2406">
        <f>VLOOKUP($H$779,$AO$769:$AP$771,2,FALSE)</f>
        <v>0</v>
      </c>
      <c r="AK781" s="2408"/>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2550</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807</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9" customHeight="1">
      <c r="A785" s="450"/>
      <c r="B785" s="516"/>
      <c r="C785" s="834"/>
      <c r="D785" s="563" t="s">
        <v>22</v>
      </c>
      <c r="E785" s="2426" t="s">
        <v>2551</v>
      </c>
      <c r="F785" s="2426"/>
      <c r="G785" s="2426"/>
      <c r="H785" s="2426"/>
      <c r="I785" s="2426"/>
      <c r="J785" s="2426"/>
      <c r="K785" s="2426"/>
      <c r="L785" s="2426"/>
      <c r="M785" s="2426"/>
      <c r="N785" s="2426"/>
      <c r="O785" s="2426"/>
      <c r="P785" s="2426"/>
      <c r="Q785" s="2426"/>
      <c r="R785" s="2426"/>
      <c r="S785" s="2426"/>
      <c r="T785" s="2426"/>
      <c r="U785" s="2426"/>
      <c r="V785" s="2426"/>
      <c r="W785" s="2426"/>
      <c r="X785" s="2426"/>
      <c r="Y785" s="2426"/>
      <c r="Z785" s="2426"/>
      <c r="AA785" s="2426"/>
      <c r="AB785" s="2426"/>
      <c r="AC785" s="2426"/>
      <c r="AD785" s="2426"/>
      <c r="AE785" s="436"/>
      <c r="AF785" s="2371" t="s">
        <v>2204</v>
      </c>
      <c r="AG785" s="2371"/>
      <c r="AH785" s="2371"/>
      <c r="AI785" s="2371"/>
      <c r="AJ785" s="2371"/>
      <c r="AK785" s="2371"/>
      <c r="AL785" s="2371"/>
      <c r="AM785" s="513"/>
      <c r="AN785" s="584"/>
      <c r="AO785" s="511" t="s">
        <v>843</v>
      </c>
      <c r="AP785" s="450">
        <v>3</v>
      </c>
      <c r="AT785" s="574"/>
      <c r="AU785" s="574"/>
      <c r="AV785" s="574"/>
      <c r="AW785" s="574"/>
      <c r="AX785" s="574"/>
      <c r="AY785" s="574"/>
      <c r="AZ785" s="574"/>
    </row>
    <row r="786" spans="1:81" s="470" customFormat="1" ht="13.9" customHeight="1">
      <c r="A786" s="450"/>
      <c r="B786" s="516"/>
      <c r="C786" s="834"/>
      <c r="D786" s="563"/>
      <c r="E786" s="2426"/>
      <c r="F786" s="2426"/>
      <c r="G786" s="2426"/>
      <c r="H786" s="2426"/>
      <c r="I786" s="2426"/>
      <c r="J786" s="2426"/>
      <c r="K786" s="2426"/>
      <c r="L786" s="2426"/>
      <c r="M786" s="2426"/>
      <c r="N786" s="2426"/>
      <c r="O786" s="2426"/>
      <c r="P786" s="2426"/>
      <c r="Q786" s="2426"/>
      <c r="R786" s="2426"/>
      <c r="S786" s="2426"/>
      <c r="T786" s="2426"/>
      <c r="U786" s="2426"/>
      <c r="V786" s="2426"/>
      <c r="W786" s="2426"/>
      <c r="X786" s="2426"/>
      <c r="Y786" s="2426"/>
      <c r="Z786" s="2426"/>
      <c r="AA786" s="2426"/>
      <c r="AB786" s="2426"/>
      <c r="AC786" s="2426"/>
      <c r="AD786" s="2426"/>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426"/>
      <c r="F787" s="2426"/>
      <c r="G787" s="2426"/>
      <c r="H787" s="2426"/>
      <c r="I787" s="2426"/>
      <c r="J787" s="2426"/>
      <c r="K787" s="2426"/>
      <c r="L787" s="2426"/>
      <c r="M787" s="2426"/>
      <c r="N787" s="2426"/>
      <c r="O787" s="2426"/>
      <c r="P787" s="2426"/>
      <c r="Q787" s="2426"/>
      <c r="R787" s="2426"/>
      <c r="S787" s="2426"/>
      <c r="T787" s="2426"/>
      <c r="U787" s="2426"/>
      <c r="V787" s="2426"/>
      <c r="W787" s="2426"/>
      <c r="X787" s="2426"/>
      <c r="Y787" s="2426"/>
      <c r="Z787" s="2426"/>
      <c r="AA787" s="2426"/>
      <c r="AB787" s="2426"/>
      <c r="AC787" s="2426"/>
      <c r="AD787" s="2426"/>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426"/>
      <c r="F788" s="2426"/>
      <c r="G788" s="2426"/>
      <c r="H788" s="2426"/>
      <c r="I788" s="2426"/>
      <c r="J788" s="2426"/>
      <c r="K788" s="2426"/>
      <c r="L788" s="2426"/>
      <c r="M788" s="2426"/>
      <c r="N788" s="2426"/>
      <c r="O788" s="2426"/>
      <c r="P788" s="2426"/>
      <c r="Q788" s="2426"/>
      <c r="R788" s="2426"/>
      <c r="S788" s="2426"/>
      <c r="T788" s="2426"/>
      <c r="U788" s="2426"/>
      <c r="V788" s="2426"/>
      <c r="W788" s="2426"/>
      <c r="X788" s="2426"/>
      <c r="Y788" s="2426"/>
      <c r="Z788" s="2426"/>
      <c r="AA788" s="2426"/>
      <c r="AB788" s="2426"/>
      <c r="AC788" s="2426"/>
      <c r="AD788" s="2426"/>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2478</v>
      </c>
      <c r="E790" s="830"/>
      <c r="F790" s="830"/>
      <c r="G790" s="830"/>
      <c r="H790" s="2455" t="s">
        <v>807</v>
      </c>
      <c r="I790" s="2455"/>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2552</v>
      </c>
      <c r="AJ792" s="2406">
        <f>VLOOKUP($H$790,$AO$784:$AP$785,2,FALSE)</f>
        <v>0</v>
      </c>
      <c r="AK792" s="2408"/>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2553</v>
      </c>
      <c r="AK794" s="2406">
        <f>IF(($AJ$621+$AJ$640+$AJ$652+$AJ$687+$AJ$711+$AJ$725+$AJ$737+$AJ$753+$AJ$765+$AJ$781+AJ792)&gt;10,10,($AJ$621+$AJ$640+$AJ$652+$AJ$687+$AJ$711+$AJ$725+$AJ$737+$AJ$753+$AJ$765+$AJ$781+AJ792))</f>
        <v>10</v>
      </c>
      <c r="AL794" s="2407"/>
      <c r="AM794" s="2408"/>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99" t="s">
        <v>2554</v>
      </c>
      <c r="B797" s="2500"/>
      <c r="C797" s="2500"/>
      <c r="D797" s="2500"/>
      <c r="E797" s="2500"/>
      <c r="F797" s="2500"/>
      <c r="G797" s="2500"/>
      <c r="H797" s="2500"/>
      <c r="I797" s="2500"/>
      <c r="J797" s="2500"/>
      <c r="K797" s="2500"/>
      <c r="L797" s="2500"/>
      <c r="M797" s="2500"/>
      <c r="N797" s="2500"/>
      <c r="O797" s="2500"/>
      <c r="P797" s="2500"/>
      <c r="Q797" s="2500"/>
      <c r="R797" s="2500"/>
      <c r="S797" s="2500"/>
      <c r="T797" s="2500"/>
      <c r="U797" s="2500"/>
      <c r="V797" s="2500"/>
      <c r="W797" s="2500"/>
      <c r="X797" s="2500"/>
      <c r="Y797" s="2500"/>
      <c r="Z797" s="2500"/>
      <c r="AA797" s="2500"/>
      <c r="AB797" s="2500"/>
      <c r="AC797" s="2500"/>
      <c r="AD797" s="2500"/>
      <c r="AE797" s="2500"/>
      <c r="AF797" s="2500"/>
      <c r="AG797" s="2500"/>
      <c r="AH797" s="2500"/>
      <c r="AI797" s="2500"/>
      <c r="AJ797" s="2500"/>
      <c r="AK797" s="2500"/>
      <c r="AL797" s="2500"/>
      <c r="AM797" s="2500"/>
    </row>
    <row r="798" spans="1:81">
      <c r="A798" s="2501"/>
      <c r="B798" s="2501"/>
      <c r="C798" s="2501"/>
      <c r="D798" s="2501"/>
      <c r="E798" s="2501"/>
      <c r="F798" s="2501"/>
      <c r="G798" s="2501"/>
      <c r="H798" s="2501"/>
      <c r="I798" s="2501"/>
      <c r="J798" s="2501"/>
      <c r="K798" s="2501"/>
      <c r="L798" s="2501"/>
      <c r="M798" s="2501"/>
      <c r="N798" s="2501"/>
      <c r="O798" s="2501"/>
      <c r="P798" s="2501"/>
      <c r="Q798" s="2501"/>
      <c r="R798" s="2501"/>
      <c r="S798" s="2501"/>
      <c r="T798" s="2501"/>
      <c r="U798" s="2501"/>
      <c r="V798" s="2501"/>
      <c r="W798" s="2501"/>
      <c r="X798" s="2501"/>
      <c r="Y798" s="2501"/>
      <c r="Z798" s="2501"/>
      <c r="AA798" s="2501"/>
      <c r="AB798" s="2501"/>
      <c r="AC798" s="2501"/>
      <c r="AD798" s="2501"/>
      <c r="AE798" s="2501"/>
      <c r="AF798" s="2501"/>
      <c r="AG798" s="2501"/>
      <c r="AH798" s="2501"/>
      <c r="AI798" s="2501"/>
      <c r="AJ798" s="2501"/>
      <c r="AK798" s="2501"/>
      <c r="AL798" s="2501"/>
      <c r="AM798" s="2501"/>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447"/>
      <c r="B800" s="2447"/>
      <c r="C800" s="2447"/>
      <c r="D800" s="2447"/>
      <c r="E800" s="2447"/>
      <c r="F800" s="2447"/>
      <c r="G800" s="2447"/>
      <c r="H800" s="2447"/>
      <c r="I800" s="2447"/>
      <c r="J800" s="2447"/>
      <c r="K800" s="2447"/>
      <c r="L800" s="2447"/>
      <c r="M800" s="2447"/>
      <c r="N800" s="2447"/>
      <c r="O800" s="2447"/>
      <c r="P800" s="2447"/>
      <c r="Q800" s="2447"/>
      <c r="R800" s="2447"/>
      <c r="S800" s="2447"/>
      <c r="T800" s="2447"/>
      <c r="U800" s="2447"/>
      <c r="V800" s="2447"/>
      <c r="W800" s="2447"/>
      <c r="X800" s="2447"/>
      <c r="Y800" s="2447"/>
      <c r="Z800" s="2447"/>
      <c r="AA800" s="2447"/>
      <c r="AB800" s="2447"/>
      <c r="AC800" s="2447"/>
      <c r="AD800" s="2447"/>
      <c r="AE800" s="2447"/>
      <c r="AF800" s="2447"/>
      <c r="AG800" s="2447"/>
      <c r="AH800" s="2447"/>
      <c r="AI800" s="2447"/>
      <c r="AJ800" s="2447"/>
      <c r="AK800" s="2447"/>
      <c r="AL800" s="2447"/>
      <c r="AM800" s="2447"/>
      <c r="AP800" s="716"/>
      <c r="AQ800" s="716"/>
    </row>
    <row r="801" spans="1:81">
      <c r="A801" s="2447"/>
      <c r="B801" s="2447"/>
      <c r="C801" s="2447"/>
      <c r="D801" s="2447"/>
      <c r="E801" s="2447"/>
      <c r="F801" s="2447"/>
      <c r="G801" s="2447"/>
      <c r="H801" s="2447"/>
      <c r="I801" s="2447"/>
      <c r="J801" s="2447"/>
      <c r="K801" s="2447"/>
      <c r="L801" s="2447"/>
      <c r="M801" s="2447"/>
      <c r="N801" s="2447"/>
      <c r="O801" s="2447"/>
      <c r="P801" s="2447"/>
      <c r="Q801" s="2447"/>
      <c r="R801" s="2447"/>
      <c r="S801" s="2447"/>
      <c r="T801" s="2447"/>
      <c r="U801" s="2447"/>
      <c r="V801" s="2447"/>
      <c r="W801" s="2447"/>
      <c r="X801" s="2447"/>
      <c r="Y801" s="2447"/>
      <c r="Z801" s="2447"/>
      <c r="AA801" s="2447"/>
      <c r="AB801" s="2447"/>
      <c r="AC801" s="2447"/>
      <c r="AD801" s="2447"/>
      <c r="AE801" s="2447"/>
      <c r="AF801" s="2447"/>
      <c r="AG801" s="2447"/>
      <c r="AH801" s="2447"/>
      <c r="AI801" s="2447"/>
      <c r="AJ801" s="2447"/>
      <c r="AK801" s="2447"/>
      <c r="AL801" s="2447"/>
      <c r="AM801" s="2447"/>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502" t="s">
        <v>2555</v>
      </c>
      <c r="U802" s="2503"/>
      <c r="V802" s="2503"/>
      <c r="W802" s="2503"/>
      <c r="X802" s="2503"/>
      <c r="Y802" s="2504"/>
      <c r="Z802" s="2502" t="s">
        <v>2556</v>
      </c>
      <c r="AA802" s="2503"/>
      <c r="AB802" s="2503"/>
      <c r="AC802" s="2503"/>
      <c r="AD802" s="2503"/>
      <c r="AE802" s="2504"/>
      <c r="AF802" s="2502" t="s">
        <v>2557</v>
      </c>
      <c r="AG802" s="2503"/>
      <c r="AH802" s="2503"/>
      <c r="AI802" s="2503"/>
      <c r="AJ802" s="2503"/>
      <c r="AK802" s="2504"/>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505"/>
      <c r="U803" s="2506"/>
      <c r="V803" s="2506"/>
      <c r="W803" s="2506"/>
      <c r="X803" s="2506"/>
      <c r="Y803" s="2507"/>
      <c r="Z803" s="2505"/>
      <c r="AA803" s="2506"/>
      <c r="AB803" s="2506"/>
      <c r="AC803" s="2506"/>
      <c r="AD803" s="2506"/>
      <c r="AE803" s="2507"/>
      <c r="AF803" s="2505"/>
      <c r="AG803" s="2506"/>
      <c r="AH803" s="2506"/>
      <c r="AI803" s="2506"/>
      <c r="AJ803" s="2506"/>
      <c r="AK803" s="2507"/>
      <c r="AL803" s="718"/>
      <c r="AM803" s="496"/>
      <c r="AO803" s="716"/>
      <c r="AP803" s="716"/>
      <c r="AQ803" s="716"/>
    </row>
    <row r="804" spans="1:81">
      <c r="A804" s="719" t="s">
        <v>53</v>
      </c>
      <c r="B804" s="2482" t="s">
        <v>2119</v>
      </c>
      <c r="C804" s="2482"/>
      <c r="D804" s="2482"/>
      <c r="E804" s="2482"/>
      <c r="F804" s="2482"/>
      <c r="G804" s="2482"/>
      <c r="H804" s="2482"/>
      <c r="I804" s="2482"/>
      <c r="J804" s="2482"/>
      <c r="K804" s="2482"/>
      <c r="L804" s="2482"/>
      <c r="M804" s="2482"/>
      <c r="N804" s="2482"/>
      <c r="O804" s="2482"/>
      <c r="P804" s="2482"/>
      <c r="Q804" s="2482"/>
      <c r="R804" s="2482"/>
      <c r="S804" s="2483"/>
      <c r="T804" s="2484">
        <f>AK62</f>
        <v>0</v>
      </c>
      <c r="U804" s="2485"/>
      <c r="V804" s="2485"/>
      <c r="W804" s="2485"/>
      <c r="X804" s="2485"/>
      <c r="Y804" s="2486"/>
      <c r="Z804" s="2487">
        <v>20</v>
      </c>
      <c r="AA804" s="2485"/>
      <c r="AB804" s="2485"/>
      <c r="AC804" s="2485"/>
      <c r="AD804" s="2485"/>
      <c r="AE804" s="2486"/>
      <c r="AF804" s="2468">
        <f>IF(T804&gt;Z804,Z804,T804)</f>
        <v>0</v>
      </c>
      <c r="AG804" s="2468"/>
      <c r="AH804" s="2468"/>
      <c r="AI804" s="2468"/>
      <c r="AJ804" s="2468"/>
      <c r="AK804" s="2468"/>
      <c r="AL804" s="718"/>
      <c r="AM804" s="496"/>
      <c r="AO804" s="716"/>
      <c r="AP804" s="716"/>
      <c r="AQ804" s="716"/>
    </row>
    <row r="805" spans="1:81">
      <c r="A805" s="719" t="s">
        <v>2410</v>
      </c>
      <c r="B805" s="2482" t="s">
        <v>617</v>
      </c>
      <c r="C805" s="2482"/>
      <c r="D805" s="2482"/>
      <c r="E805" s="2482"/>
      <c r="F805" s="2482"/>
      <c r="G805" s="2482"/>
      <c r="H805" s="2482"/>
      <c r="I805" s="2482"/>
      <c r="J805" s="2482"/>
      <c r="K805" s="2482"/>
      <c r="L805" s="2482"/>
      <c r="M805" s="2482"/>
      <c r="N805" s="2482"/>
      <c r="O805" s="2482"/>
      <c r="P805" s="2482"/>
      <c r="Q805" s="2482"/>
      <c r="R805" s="2482"/>
      <c r="S805" s="2483"/>
      <c r="T805" s="2484">
        <f>AK84</f>
        <v>10</v>
      </c>
      <c r="U805" s="2485"/>
      <c r="V805" s="2485"/>
      <c r="W805" s="2485"/>
      <c r="X805" s="2485"/>
      <c r="Y805" s="2486"/>
      <c r="Z805" s="2487">
        <v>10</v>
      </c>
      <c r="AA805" s="2485"/>
      <c r="AB805" s="2485"/>
      <c r="AC805" s="2485"/>
      <c r="AD805" s="2485"/>
      <c r="AE805" s="2486"/>
      <c r="AF805" s="2468">
        <f>IF(T805&gt;Z805,Z805,T805)</f>
        <v>10</v>
      </c>
      <c r="AG805" s="2468"/>
      <c r="AH805" s="2468"/>
      <c r="AI805" s="2468"/>
      <c r="AJ805" s="2468"/>
      <c r="AK805" s="2468"/>
      <c r="AL805" s="718"/>
      <c r="AM805" s="496"/>
      <c r="AO805" s="716"/>
      <c r="AP805" s="716"/>
      <c r="AQ805" s="716"/>
    </row>
    <row r="806" spans="1:81">
      <c r="A806" s="719" t="s">
        <v>2419</v>
      </c>
      <c r="B806" s="2482" t="s">
        <v>2159</v>
      </c>
      <c r="C806" s="2482"/>
      <c r="D806" s="2482"/>
      <c r="E806" s="2482"/>
      <c r="F806" s="2482"/>
      <c r="G806" s="2482"/>
      <c r="H806" s="2482"/>
      <c r="I806" s="2482"/>
      <c r="J806" s="2482"/>
      <c r="K806" s="2482"/>
      <c r="L806" s="2482"/>
      <c r="M806" s="2482"/>
      <c r="N806" s="2482"/>
      <c r="O806" s="2482"/>
      <c r="P806" s="2482"/>
      <c r="Q806" s="2482"/>
      <c r="R806" s="2482"/>
      <c r="S806" s="2483"/>
      <c r="T806" s="2484">
        <f ca="1">AK109</f>
        <v>20</v>
      </c>
      <c r="U806" s="2485"/>
      <c r="V806" s="2485"/>
      <c r="W806" s="2485"/>
      <c r="X806" s="2485"/>
      <c r="Y806" s="2486"/>
      <c r="Z806" s="2487">
        <v>20</v>
      </c>
      <c r="AA806" s="2485"/>
      <c r="AB806" s="2485"/>
      <c r="AC806" s="2485"/>
      <c r="AD806" s="2485"/>
      <c r="AE806" s="2486"/>
      <c r="AF806" s="2468">
        <f ca="1">IF(T806&gt;Z806,Z806,T806)</f>
        <v>20</v>
      </c>
      <c r="AG806" s="2468"/>
      <c r="AH806" s="2468"/>
      <c r="AI806" s="2468"/>
      <c r="AJ806" s="2468"/>
      <c r="AK806" s="2468"/>
      <c r="AL806" s="718"/>
      <c r="AM806" s="496"/>
      <c r="AO806" s="716"/>
      <c r="AP806" s="716"/>
      <c r="AQ806" s="716"/>
    </row>
    <row r="807" spans="1:81">
      <c r="A807" s="719" t="s">
        <v>2558</v>
      </c>
      <c r="B807" s="2482" t="s">
        <v>2170</v>
      </c>
      <c r="C807" s="2482"/>
      <c r="D807" s="2482"/>
      <c r="E807" s="2482"/>
      <c r="F807" s="2482"/>
      <c r="G807" s="2482"/>
      <c r="H807" s="2482"/>
      <c r="I807" s="2482"/>
      <c r="J807" s="2482"/>
      <c r="K807" s="2482"/>
      <c r="L807" s="2482"/>
      <c r="M807" s="2482"/>
      <c r="N807" s="2482"/>
      <c r="O807" s="2482"/>
      <c r="P807" s="2482"/>
      <c r="Q807" s="2482"/>
      <c r="R807" s="2482"/>
      <c r="S807" s="2483"/>
      <c r="T807" s="2484">
        <f>AK143</f>
        <v>10</v>
      </c>
      <c r="U807" s="2485"/>
      <c r="V807" s="2485"/>
      <c r="W807" s="2485"/>
      <c r="X807" s="2485"/>
      <c r="Y807" s="2486"/>
      <c r="Z807" s="2487">
        <v>10</v>
      </c>
      <c r="AA807" s="2485"/>
      <c r="AB807" s="2485"/>
      <c r="AC807" s="2485"/>
      <c r="AD807" s="2485"/>
      <c r="AE807" s="2486"/>
      <c r="AF807" s="2468">
        <f>IF(T807&gt;Z807,Z807,T807)</f>
        <v>10</v>
      </c>
      <c r="AG807" s="2468"/>
      <c r="AH807" s="2468"/>
      <c r="AI807" s="2468"/>
      <c r="AJ807" s="2468"/>
      <c r="AK807" s="2468"/>
      <c r="AL807" s="718"/>
      <c r="AM807" s="496"/>
      <c r="AO807" s="716"/>
      <c r="AP807" s="716"/>
      <c r="AQ807" s="716"/>
    </row>
    <row r="808" spans="1:81">
      <c r="A808" s="720" t="s">
        <v>2559</v>
      </c>
      <c r="B808" s="2482" t="s">
        <v>2560</v>
      </c>
      <c r="C808" s="2482"/>
      <c r="D808" s="2482"/>
      <c r="E808" s="2482"/>
      <c r="F808" s="2482"/>
      <c r="G808" s="2482"/>
      <c r="H808" s="2482"/>
      <c r="I808" s="2482"/>
      <c r="J808" s="2482"/>
      <c r="K808" s="2482"/>
      <c r="L808" s="2482"/>
      <c r="M808" s="2482"/>
      <c r="N808" s="2482"/>
      <c r="O808" s="2482"/>
      <c r="P808" s="2482"/>
      <c r="Q808" s="2482"/>
      <c r="R808" s="2482"/>
      <c r="S808" s="2483"/>
      <c r="T808" s="2508">
        <f>SUM(T809:Y810)</f>
        <v>10</v>
      </c>
      <c r="U808" s="2508"/>
      <c r="V808" s="2508"/>
      <c r="W808" s="2508"/>
      <c r="X808" s="2508"/>
      <c r="Y808" s="2508"/>
      <c r="Z808" s="2468">
        <v>10</v>
      </c>
      <c r="AA808" s="2468"/>
      <c r="AB808" s="2468"/>
      <c r="AC808" s="2468"/>
      <c r="AD808" s="2468"/>
      <c r="AE808" s="2468"/>
      <c r="AF808" s="2468">
        <f>IF(T808&gt;Z808,Z808,T808)</f>
        <v>10</v>
      </c>
      <c r="AG808" s="2468"/>
      <c r="AH808" s="2468"/>
      <c r="AI808" s="2468"/>
      <c r="AJ808" s="2468"/>
      <c r="AK808" s="2468"/>
      <c r="AL808" s="718"/>
      <c r="AM808" s="496"/>
    </row>
    <row r="809" spans="1:81">
      <c r="A809" s="435"/>
      <c r="B809" s="501"/>
      <c r="C809" s="2509" t="s">
        <v>2561</v>
      </c>
      <c r="D809" s="2509"/>
      <c r="E809" s="2509"/>
      <c r="F809" s="2509"/>
      <c r="G809" s="2509"/>
      <c r="H809" s="2509"/>
      <c r="I809" s="2509"/>
      <c r="J809" s="2509"/>
      <c r="K809" s="2509"/>
      <c r="L809" s="2509"/>
      <c r="M809" s="2509"/>
      <c r="N809" s="2509"/>
      <c r="O809" s="2509"/>
      <c r="P809" s="2509"/>
      <c r="Q809" s="2509"/>
      <c r="R809" s="2509"/>
      <c r="S809" s="2510"/>
      <c r="T809" s="2401">
        <f>AJ166</f>
        <v>7</v>
      </c>
      <c r="U809" s="2401"/>
      <c r="V809" s="2401"/>
      <c r="W809" s="2401"/>
      <c r="X809" s="2401"/>
      <c r="Y809" s="2401"/>
      <c r="Z809" s="2402">
        <v>7</v>
      </c>
      <c r="AA809" s="2402"/>
      <c r="AB809" s="2402"/>
      <c r="AC809" s="2402"/>
      <c r="AD809" s="2402"/>
      <c r="AE809" s="2402"/>
      <c r="AF809" s="2511"/>
      <c r="AG809" s="2511"/>
      <c r="AH809" s="2511"/>
      <c r="AI809" s="2511"/>
      <c r="AJ809" s="2511"/>
      <c r="AK809" s="2511"/>
      <c r="AL809" s="718"/>
      <c r="AM809" s="496"/>
    </row>
    <row r="810" spans="1:81">
      <c r="A810" s="500"/>
      <c r="B810" s="501"/>
      <c r="C810" s="2509" t="s">
        <v>1989</v>
      </c>
      <c r="D810" s="2509"/>
      <c r="E810" s="2509"/>
      <c r="F810" s="2509"/>
      <c r="G810" s="2509"/>
      <c r="H810" s="2509"/>
      <c r="I810" s="2509"/>
      <c r="J810" s="2509"/>
      <c r="K810" s="2509"/>
      <c r="L810" s="2509"/>
      <c r="M810" s="2509"/>
      <c r="N810" s="2509"/>
      <c r="O810" s="2509"/>
      <c r="P810" s="2509"/>
      <c r="Q810" s="2509"/>
      <c r="R810" s="2509"/>
      <c r="S810" s="2510"/>
      <c r="T810" s="2401">
        <f>AJ180</f>
        <v>3</v>
      </c>
      <c r="U810" s="2401"/>
      <c r="V810" s="2401"/>
      <c r="W810" s="2401"/>
      <c r="X810" s="2401"/>
      <c r="Y810" s="2401"/>
      <c r="Z810" s="2402">
        <v>3</v>
      </c>
      <c r="AA810" s="2402"/>
      <c r="AB810" s="2402"/>
      <c r="AC810" s="2402"/>
      <c r="AD810" s="2402"/>
      <c r="AE810" s="2402"/>
      <c r="AF810" s="2511"/>
      <c r="AG810" s="2511"/>
      <c r="AH810" s="2511"/>
      <c r="AI810" s="2511"/>
      <c r="AJ810" s="2511"/>
      <c r="AK810" s="2511"/>
      <c r="AL810" s="718"/>
      <c r="AM810" s="496"/>
      <c r="AO810" s="450"/>
    </row>
    <row r="811" spans="1:81">
      <c r="A811" s="720" t="s">
        <v>2216</v>
      </c>
      <c r="B811" s="2482" t="s">
        <v>2562</v>
      </c>
      <c r="C811" s="2482"/>
      <c r="D811" s="2482"/>
      <c r="E811" s="2482"/>
      <c r="F811" s="2482"/>
      <c r="G811" s="2482"/>
      <c r="H811" s="2482"/>
      <c r="I811" s="2482"/>
      <c r="J811" s="2482"/>
      <c r="K811" s="2482"/>
      <c r="L811" s="2482"/>
      <c r="M811" s="2482"/>
      <c r="N811" s="2482"/>
      <c r="O811" s="2482"/>
      <c r="P811" s="2482"/>
      <c r="Q811" s="2482"/>
      <c r="R811" s="2482"/>
      <c r="S811" s="2483"/>
      <c r="T811" s="2508">
        <f>AK191</f>
        <v>10</v>
      </c>
      <c r="U811" s="2508"/>
      <c r="V811" s="2508"/>
      <c r="W811" s="2508"/>
      <c r="X811" s="2508"/>
      <c r="Y811" s="2508"/>
      <c r="Z811" s="2468">
        <v>10</v>
      </c>
      <c r="AA811" s="2468"/>
      <c r="AB811" s="2468"/>
      <c r="AC811" s="2468"/>
      <c r="AD811" s="2468"/>
      <c r="AE811" s="2468"/>
      <c r="AF811" s="2468">
        <f>IF(T811&gt;Z811,Z811,T811)</f>
        <v>10</v>
      </c>
      <c r="AG811" s="2468"/>
      <c r="AH811" s="2468"/>
      <c r="AI811" s="2468"/>
      <c r="AJ811" s="2468"/>
      <c r="AK811" s="2468"/>
      <c r="AL811" s="718"/>
      <c r="AM811" s="496"/>
    </row>
    <row r="812" spans="1:81">
      <c r="A812" s="719" t="s">
        <v>2226</v>
      </c>
      <c r="B812" s="2482" t="s">
        <v>2227</v>
      </c>
      <c r="C812" s="2482"/>
      <c r="D812" s="2482"/>
      <c r="E812" s="2482"/>
      <c r="F812" s="2482"/>
      <c r="G812" s="2482"/>
      <c r="H812" s="2482"/>
      <c r="I812" s="2482"/>
      <c r="J812" s="2482"/>
      <c r="K812" s="2482"/>
      <c r="L812" s="2482"/>
      <c r="M812" s="2482"/>
      <c r="N812" s="2482"/>
      <c r="O812" s="2482"/>
      <c r="P812" s="2482"/>
      <c r="Q812" s="2482"/>
      <c r="R812" s="2482"/>
      <c r="S812" s="2483"/>
      <c r="T812" s="2508">
        <f>AK273</f>
        <v>8</v>
      </c>
      <c r="U812" s="2508"/>
      <c r="V812" s="2508"/>
      <c r="W812" s="2508"/>
      <c r="X812" s="2508"/>
      <c r="Y812" s="2508"/>
      <c r="Z812" s="2487">
        <v>8</v>
      </c>
      <c r="AA812" s="2485"/>
      <c r="AB812" s="2485"/>
      <c r="AC812" s="2485"/>
      <c r="AD812" s="2485"/>
      <c r="AE812" s="2486"/>
      <c r="AF812" s="2468">
        <f>IF(T812&gt;Z812,Z812,T812)</f>
        <v>8</v>
      </c>
      <c r="AG812" s="2468"/>
      <c r="AH812" s="2468"/>
      <c r="AI812" s="2468"/>
      <c r="AJ812" s="2468"/>
      <c r="AK812" s="2468"/>
      <c r="AL812" s="718"/>
      <c r="AM812" s="496"/>
    </row>
    <row r="813" spans="1:81" s="434" customFormat="1" hidden="1">
      <c r="A813" s="720" t="s">
        <v>1005</v>
      </c>
      <c r="B813" s="2482" t="s">
        <v>2563</v>
      </c>
      <c r="C813" s="2482"/>
      <c r="D813" s="2482"/>
      <c r="E813" s="2482"/>
      <c r="F813" s="2482"/>
      <c r="G813" s="2482"/>
      <c r="H813" s="2482"/>
      <c r="I813" s="2482"/>
      <c r="J813" s="2482"/>
      <c r="K813" s="2482"/>
      <c r="L813" s="2482"/>
      <c r="M813" s="2482"/>
      <c r="N813" s="2482"/>
      <c r="O813" s="2482"/>
      <c r="P813" s="2482"/>
      <c r="Q813" s="2482"/>
      <c r="R813" s="2482"/>
      <c r="S813" s="2483"/>
      <c r="T813" s="2508">
        <f>IF(AK535&gt;5,5,AK535)</f>
        <v>0</v>
      </c>
      <c r="U813" s="2508"/>
      <c r="V813" s="2508"/>
      <c r="W813" s="2508"/>
      <c r="X813" s="2508"/>
      <c r="Y813" s="2508"/>
      <c r="Z813" s="2468">
        <v>5</v>
      </c>
      <c r="AA813" s="2468"/>
      <c r="AB813" s="2468"/>
      <c r="AC813" s="2468"/>
      <c r="AD813" s="2468"/>
      <c r="AE813" s="2468"/>
      <c r="AF813" s="2468">
        <f>IF(T813&gt;Z813,5,T813)</f>
        <v>0</v>
      </c>
      <c r="AG813" s="2468"/>
      <c r="AH813" s="2468"/>
      <c r="AI813" s="2468"/>
      <c r="AJ813" s="2468"/>
      <c r="AK813" s="2468"/>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2278</v>
      </c>
      <c r="B814" s="2482" t="s">
        <v>2564</v>
      </c>
      <c r="C814" s="2482"/>
      <c r="D814" s="2482"/>
      <c r="E814" s="2482"/>
      <c r="F814" s="2482"/>
      <c r="G814" s="2482"/>
      <c r="H814" s="2482"/>
      <c r="I814" s="2482"/>
      <c r="J814" s="2482"/>
      <c r="K814" s="2482"/>
      <c r="L814" s="2482"/>
      <c r="M814" s="2482"/>
      <c r="N814" s="2482"/>
      <c r="O814" s="2482"/>
      <c r="P814" s="2482"/>
      <c r="Q814" s="2482"/>
      <c r="R814" s="2482"/>
      <c r="S814" s="2483"/>
      <c r="T814" s="2508">
        <f>AK285</f>
        <v>10</v>
      </c>
      <c r="U814" s="2508"/>
      <c r="V814" s="2508"/>
      <c r="W814" s="2508"/>
      <c r="X814" s="2508"/>
      <c r="Y814" s="2508"/>
      <c r="Z814" s="2468">
        <v>10</v>
      </c>
      <c r="AA814" s="2468"/>
      <c r="AB814" s="2468"/>
      <c r="AC814" s="2468"/>
      <c r="AD814" s="2468"/>
      <c r="AE814" s="2468"/>
      <c r="AF814" s="2514">
        <f>IF(T814&gt;Z814,Z814,T814)</f>
        <v>10</v>
      </c>
      <c r="AG814" s="2515"/>
      <c r="AH814" s="2515"/>
      <c r="AI814" s="2515"/>
      <c r="AJ814" s="2515"/>
      <c r="AK814" s="2516"/>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2282</v>
      </c>
      <c r="B815" s="2482" t="s">
        <v>2565</v>
      </c>
      <c r="C815" s="2482"/>
      <c r="D815" s="2482"/>
      <c r="E815" s="2482"/>
      <c r="F815" s="2482"/>
      <c r="G815" s="2482"/>
      <c r="H815" s="2482"/>
      <c r="I815" s="2482"/>
      <c r="J815" s="2482"/>
      <c r="K815" s="2482"/>
      <c r="L815" s="2482"/>
      <c r="M815" s="2482"/>
      <c r="N815" s="2482"/>
      <c r="O815" s="2482"/>
      <c r="P815" s="2482"/>
      <c r="Q815" s="2482"/>
      <c r="R815" s="2482"/>
      <c r="S815" s="2483"/>
      <c r="T815" s="2508">
        <f>AK338</f>
        <v>9</v>
      </c>
      <c r="U815" s="2508"/>
      <c r="V815" s="2508"/>
      <c r="W815" s="2508"/>
      <c r="X815" s="2508"/>
      <c r="Y815" s="2508"/>
      <c r="Z815" s="2514">
        <v>10</v>
      </c>
      <c r="AA815" s="2515"/>
      <c r="AB815" s="2515"/>
      <c r="AC815" s="2515"/>
      <c r="AD815" s="2515"/>
      <c r="AE815" s="2516"/>
      <c r="AF815" s="2514">
        <f>IF(T815&gt;Z815,Z815,T815)</f>
        <v>9</v>
      </c>
      <c r="AG815" s="2515"/>
      <c r="AH815" s="2515"/>
      <c r="AI815" s="2515"/>
      <c r="AJ815" s="2515"/>
      <c r="AK815" s="2516"/>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2566</v>
      </c>
      <c r="D816" s="723"/>
      <c r="E816" s="723"/>
      <c r="F816" s="723"/>
      <c r="G816" s="723"/>
      <c r="H816" s="723"/>
      <c r="I816" s="723"/>
      <c r="J816" s="723"/>
      <c r="K816" s="723"/>
      <c r="L816" s="723"/>
      <c r="M816" s="723"/>
      <c r="N816" s="723"/>
      <c r="O816" s="723"/>
      <c r="P816" s="723"/>
      <c r="Q816" s="723"/>
      <c r="R816" s="721"/>
      <c r="S816" s="724"/>
      <c r="T816" s="2401">
        <f>AK338</f>
        <v>9</v>
      </c>
      <c r="U816" s="2401"/>
      <c r="V816" s="2401"/>
      <c r="W816" s="2401"/>
      <c r="X816" s="2401"/>
      <c r="Y816" s="2401"/>
      <c r="Z816" s="2406">
        <v>20</v>
      </c>
      <c r="AA816" s="2407"/>
      <c r="AB816" s="2407"/>
      <c r="AC816" s="2407"/>
      <c r="AD816" s="2407"/>
      <c r="AE816" s="2408"/>
      <c r="AF816" s="2511"/>
      <c r="AG816" s="2511"/>
      <c r="AH816" s="2511"/>
      <c r="AI816" s="2511"/>
      <c r="AJ816" s="2511"/>
      <c r="AK816" s="2511"/>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2312</v>
      </c>
      <c r="B817" s="2482" t="s">
        <v>2313</v>
      </c>
      <c r="C817" s="2482"/>
      <c r="D817" s="2482"/>
      <c r="E817" s="2482"/>
      <c r="F817" s="2482"/>
      <c r="G817" s="2482"/>
      <c r="H817" s="2482"/>
      <c r="I817" s="2482"/>
      <c r="J817" s="2482"/>
      <c r="K817" s="2482"/>
      <c r="L817" s="2482"/>
      <c r="M817" s="2482"/>
      <c r="N817" s="2482"/>
      <c r="O817" s="2482"/>
      <c r="P817" s="2482"/>
      <c r="Q817" s="2482"/>
      <c r="R817" s="2482"/>
      <c r="S817" s="2483"/>
      <c r="T817" s="2508">
        <f>AK469</f>
        <v>10</v>
      </c>
      <c r="U817" s="2508"/>
      <c r="V817" s="2508"/>
      <c r="W817" s="2508"/>
      <c r="X817" s="2508"/>
      <c r="Y817" s="2508"/>
      <c r="Z817" s="2514">
        <v>10</v>
      </c>
      <c r="AA817" s="2515"/>
      <c r="AB817" s="2515"/>
      <c r="AC817" s="2515"/>
      <c r="AD817" s="2515"/>
      <c r="AE817" s="2516"/>
      <c r="AF817" s="2468">
        <f>IF(T817&gt;Z817,Z817,T817)</f>
        <v>10</v>
      </c>
      <c r="AG817" s="2468"/>
      <c r="AH817" s="2468"/>
      <c r="AI817" s="2468"/>
      <c r="AJ817" s="2468"/>
      <c r="AK817" s="2468"/>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2429</v>
      </c>
      <c r="B818" s="2482" t="s">
        <v>2430</v>
      </c>
      <c r="C818" s="2482"/>
      <c r="D818" s="2482"/>
      <c r="E818" s="2482"/>
      <c r="F818" s="2482"/>
      <c r="G818" s="2482"/>
      <c r="H818" s="2482"/>
      <c r="I818" s="2482"/>
      <c r="J818" s="2482"/>
      <c r="K818" s="2482"/>
      <c r="L818" s="2482"/>
      <c r="M818" s="2482"/>
      <c r="N818" s="2482"/>
      <c r="O818" s="2482"/>
      <c r="P818" s="2482"/>
      <c r="Q818" s="2482"/>
      <c r="R818" s="2482"/>
      <c r="S818" s="2483"/>
      <c r="T818" s="2508">
        <f>AK559</f>
        <v>12</v>
      </c>
      <c r="U818" s="2508"/>
      <c r="V818" s="2508"/>
      <c r="W818" s="2508"/>
      <c r="X818" s="2508"/>
      <c r="Y818" s="2508"/>
      <c r="Z818" s="2514">
        <v>12</v>
      </c>
      <c r="AA818" s="2515"/>
      <c r="AB818" s="2515"/>
      <c r="AC818" s="2515"/>
      <c r="AD818" s="2515"/>
      <c r="AE818" s="2516"/>
      <c r="AF818" s="2468">
        <f>IF(T818&gt;Z818,Z818,T818)</f>
        <v>12</v>
      </c>
      <c r="AG818" s="2468"/>
      <c r="AH818" s="2468"/>
      <c r="AI818" s="2468"/>
      <c r="AJ818" s="2468"/>
      <c r="AK818" s="2468"/>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2567</v>
      </c>
      <c r="B819" s="2482" t="s">
        <v>2568</v>
      </c>
      <c r="C819" s="2482"/>
      <c r="D819" s="2482"/>
      <c r="E819" s="2482"/>
      <c r="F819" s="2482"/>
      <c r="G819" s="2482"/>
      <c r="H819" s="2482"/>
      <c r="I819" s="2482"/>
      <c r="J819" s="2482"/>
      <c r="K819" s="2482"/>
      <c r="L819" s="2482"/>
      <c r="M819" s="2482"/>
      <c r="N819" s="2482"/>
      <c r="O819" s="2482"/>
      <c r="P819" s="2482"/>
      <c r="Q819" s="2482"/>
      <c r="R819" s="2482"/>
      <c r="S819" s="2483"/>
      <c r="T819" s="2508">
        <f>AK794</f>
        <v>10</v>
      </c>
      <c r="U819" s="2508"/>
      <c r="V819" s="2508"/>
      <c r="W819" s="2508"/>
      <c r="X819" s="2508"/>
      <c r="Y819" s="2508"/>
      <c r="Z819" s="2514">
        <v>10</v>
      </c>
      <c r="AA819" s="2515"/>
      <c r="AB819" s="2515"/>
      <c r="AC819" s="2515"/>
      <c r="AD819" s="2515"/>
      <c r="AE819" s="2516"/>
      <c r="AF819" s="2468">
        <f>IF(T819&gt;Z819,Z819,T819)</f>
        <v>10</v>
      </c>
      <c r="AG819" s="2468"/>
      <c r="AH819" s="2468"/>
      <c r="AI819" s="2468"/>
      <c r="AJ819" s="2468"/>
      <c r="AK819" s="2468"/>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512" t="s">
        <v>2569</v>
      </c>
      <c r="B820" s="2482"/>
      <c r="C820" s="2482"/>
      <c r="D820" s="2482"/>
      <c r="E820" s="2482"/>
      <c r="F820" s="2482"/>
      <c r="G820" s="2482"/>
      <c r="H820" s="2482"/>
      <c r="I820" s="2482"/>
      <c r="J820" s="2482"/>
      <c r="K820" s="2482"/>
      <c r="L820" s="2482"/>
      <c r="M820" s="2482"/>
      <c r="N820" s="2482"/>
      <c r="O820" s="2482"/>
      <c r="P820" s="2482"/>
      <c r="Q820" s="2482"/>
      <c r="R820" s="2482"/>
      <c r="S820" s="2483"/>
      <c r="T820" s="2513"/>
      <c r="U820" s="2513"/>
      <c r="V820" s="2513"/>
      <c r="W820" s="2513"/>
      <c r="X820" s="2513"/>
      <c r="Y820" s="2513"/>
      <c r="Z820" s="2402" t="s">
        <v>2570</v>
      </c>
      <c r="AA820" s="2402"/>
      <c r="AB820" s="2402"/>
      <c r="AC820" s="2402"/>
      <c r="AD820" s="2402"/>
      <c r="AE820" s="2402"/>
      <c r="AF820" s="2514">
        <f>IF(T820&gt;0,T820,0)</f>
        <v>0</v>
      </c>
      <c r="AG820" s="2515"/>
      <c r="AH820" s="2515"/>
      <c r="AI820" s="2515"/>
      <c r="AJ820" s="2515"/>
      <c r="AK820" s="2516"/>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2517" t="s">
        <v>2571</v>
      </c>
      <c r="B821" s="2518"/>
      <c r="C821" s="2518"/>
      <c r="D821" s="2518"/>
      <c r="E821" s="2518"/>
      <c r="F821" s="2518"/>
      <c r="G821" s="2518"/>
      <c r="H821" s="2518"/>
      <c r="I821" s="2518"/>
      <c r="J821" s="2518"/>
      <c r="K821" s="2518"/>
      <c r="L821" s="2518"/>
      <c r="M821" s="2518"/>
      <c r="N821" s="2518"/>
      <c r="O821" s="2518"/>
      <c r="P821" s="2518"/>
      <c r="Q821" s="2518"/>
      <c r="R821" s="2518"/>
      <c r="S821" s="2518"/>
      <c r="T821" s="2518"/>
      <c r="U821" s="2518"/>
      <c r="V821" s="2518"/>
      <c r="W821" s="2518"/>
      <c r="X821" s="2518"/>
      <c r="Y821" s="2518"/>
      <c r="Z821" s="2518"/>
      <c r="AA821" s="2518"/>
      <c r="AB821" s="2518"/>
      <c r="AC821" s="2518"/>
      <c r="AD821" s="2518"/>
      <c r="AE821" s="2519"/>
      <c r="AF821" s="2523">
        <f ca="1">SUM(AF804:AK819)-AF820</f>
        <v>119</v>
      </c>
      <c r="AG821" s="2524"/>
      <c r="AH821" s="2524"/>
      <c r="AI821" s="2524"/>
      <c r="AJ821" s="2524"/>
      <c r="AK821" s="2525"/>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2520"/>
      <c r="B822" s="2521"/>
      <c r="C822" s="2521"/>
      <c r="D822" s="2521"/>
      <c r="E822" s="2521"/>
      <c r="F822" s="2521"/>
      <c r="G822" s="2521"/>
      <c r="H822" s="2521"/>
      <c r="I822" s="2521"/>
      <c r="J822" s="2521"/>
      <c r="K822" s="2521"/>
      <c r="L822" s="2521"/>
      <c r="M822" s="2521"/>
      <c r="N822" s="2521"/>
      <c r="O822" s="2521"/>
      <c r="P822" s="2521"/>
      <c r="Q822" s="2521"/>
      <c r="R822" s="2521"/>
      <c r="S822" s="2521"/>
      <c r="T822" s="2521"/>
      <c r="U822" s="2521"/>
      <c r="V822" s="2521"/>
      <c r="W822" s="2521"/>
      <c r="X822" s="2521"/>
      <c r="Y822" s="2521"/>
      <c r="Z822" s="2521"/>
      <c r="AA822" s="2521"/>
      <c r="AB822" s="2521"/>
      <c r="AC822" s="2521"/>
      <c r="AD822" s="2521"/>
      <c r="AE822" s="2522"/>
      <c r="AF822" s="2526"/>
      <c r="AG822" s="2527"/>
      <c r="AH822" s="2527"/>
      <c r="AI822" s="2527"/>
      <c r="AJ822" s="2527"/>
      <c r="AK822" s="2528"/>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H4" sqref="H4"/>
    </sheetView>
  </sheetViews>
  <sheetFormatPr defaultColWidth="9.140625" defaultRowHeight="14.25"/>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587" t="s">
        <v>2572</v>
      </c>
      <c r="B1" s="2587"/>
      <c r="C1" s="2587"/>
      <c r="D1" s="2587"/>
      <c r="E1" s="2587"/>
      <c r="F1" s="2587"/>
      <c r="G1" s="2587"/>
      <c r="H1" s="2587"/>
      <c r="I1" s="2587"/>
      <c r="J1" s="2587"/>
    </row>
    <row r="2" spans="1:13" ht="15" customHeight="1" thickBot="1">
      <c r="A2" s="936"/>
      <c r="B2" s="936"/>
      <c r="I2" s="937"/>
      <c r="K2" s="938"/>
    </row>
    <row r="3" spans="1:13" s="941" customFormat="1" ht="20.25" customHeight="1">
      <c r="A3" s="989"/>
      <c r="B3" s="990"/>
      <c r="C3" s="991"/>
      <c r="D3" s="996"/>
      <c r="E3" s="991"/>
      <c r="F3" s="992" t="s">
        <v>2573</v>
      </c>
      <c r="G3" s="991"/>
      <c r="H3" s="993">
        <f>E18</f>
        <v>58248654</v>
      </c>
      <c r="I3" s="994"/>
    </row>
    <row r="4" spans="1:13" s="941" customFormat="1" ht="20.25" customHeight="1">
      <c r="B4" s="983"/>
      <c r="D4" s="997"/>
      <c r="F4" s="981" t="s">
        <v>2574</v>
      </c>
      <c r="G4" s="980" t="s">
        <v>2575</v>
      </c>
      <c r="H4" s="982">
        <f>I18</f>
        <v>23679369.649101306</v>
      </c>
      <c r="I4" s="984"/>
      <c r="K4" s="945"/>
    </row>
    <row r="5" spans="1:13" s="941" customFormat="1" ht="20.25" customHeight="1" thickBot="1">
      <c r="B5" s="985"/>
      <c r="C5" s="986"/>
      <c r="D5" s="998"/>
      <c r="E5" s="987"/>
      <c r="F5" s="998" t="s">
        <v>2576</v>
      </c>
      <c r="G5" s="999"/>
      <c r="H5" s="995">
        <f>IFERROR(H3/H4,0)</f>
        <v>2.459890396711244</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90" t="s">
        <v>2577</v>
      </c>
      <c r="C8" s="2591"/>
      <c r="D8" s="2591"/>
      <c r="E8" s="2592"/>
      <c r="G8" s="2593" t="s">
        <v>2578</v>
      </c>
      <c r="H8" s="2594"/>
      <c r="I8" s="2595"/>
      <c r="K8" s="947"/>
    </row>
    <row r="9" spans="1:13" ht="15" customHeight="1">
      <c r="A9" s="936"/>
      <c r="B9" s="2588" t="s">
        <v>2579</v>
      </c>
      <c r="C9" s="2588"/>
      <c r="D9" s="2588"/>
      <c r="E9" s="949">
        <f>G33</f>
        <v>11637500</v>
      </c>
      <c r="G9" s="2596" t="s">
        <v>2580</v>
      </c>
      <c r="H9" s="2596"/>
      <c r="I9" s="950">
        <f>SUMIF(Application!M554:M565,"Loan, Tax-Exempt",Application!AM554:AM565)</f>
        <v>25912873</v>
      </c>
      <c r="K9" s="951"/>
      <c r="M9" s="952"/>
    </row>
    <row r="10" spans="1:13" ht="15" customHeight="1" thickBot="1">
      <c r="A10" s="936"/>
      <c r="B10" s="2588" t="s">
        <v>2581</v>
      </c>
      <c r="C10" s="2588"/>
      <c r="D10" s="2588"/>
      <c r="E10" s="950">
        <f>G47</f>
        <v>24265404.000000004</v>
      </c>
      <c r="G10" s="2600" t="s">
        <v>2582</v>
      </c>
      <c r="H10" s="2600"/>
      <c r="I10" s="1029">
        <f>'Basis &amp; Credits'!AB78</f>
        <v>0</v>
      </c>
      <c r="M10" s="952"/>
    </row>
    <row r="11" spans="1:13" ht="15" customHeight="1">
      <c r="A11" s="936"/>
      <c r="B11" s="2604" t="s">
        <v>2583</v>
      </c>
      <c r="C11" s="2605"/>
      <c r="D11" s="2606"/>
      <c r="E11" s="950">
        <f>SUM(E12,E13)</f>
        <v>700000</v>
      </c>
      <c r="G11" s="2603" t="s">
        <v>2584</v>
      </c>
      <c r="H11" s="2603"/>
      <c r="I11" s="1028">
        <f>I9+I10</f>
        <v>25912873</v>
      </c>
      <c r="M11" s="952"/>
    </row>
    <row r="12" spans="1:13" ht="15" customHeight="1">
      <c r="A12" s="953"/>
      <c r="B12" s="2589" t="s">
        <v>2585</v>
      </c>
      <c r="C12" s="2589"/>
      <c r="D12" s="2589"/>
      <c r="E12" s="1054">
        <f>G56</f>
        <v>0</v>
      </c>
      <c r="M12" s="952"/>
    </row>
    <row r="13" spans="1:13" ht="15" customHeight="1">
      <c r="A13" s="939"/>
      <c r="B13" s="2589" t="s">
        <v>2586</v>
      </c>
      <c r="C13" s="2589"/>
      <c r="D13" s="2589"/>
      <c r="E13" s="1054">
        <f>G65</f>
        <v>700000</v>
      </c>
      <c r="G13" s="2593" t="s">
        <v>2587</v>
      </c>
      <c r="H13" s="2594"/>
      <c r="I13" s="2595"/>
      <c r="M13" s="952"/>
    </row>
    <row r="14" spans="1:13" ht="15" customHeight="1">
      <c r="A14" s="939"/>
      <c r="B14" s="2604" t="s">
        <v>2588</v>
      </c>
      <c r="C14" s="2605"/>
      <c r="D14" s="2606"/>
      <c r="E14" s="1056">
        <f>MAX(E15,E16)+E17</f>
        <v>21645750</v>
      </c>
      <c r="G14" s="2596" t="s">
        <v>1772</v>
      </c>
      <c r="H14" s="2596"/>
      <c r="I14" s="954">
        <f>15%*(AND(G120="Yes",G122&lt;&gt;""))</f>
        <v>0</v>
      </c>
      <c r="M14" s="952"/>
    </row>
    <row r="15" spans="1:13" ht="15" customHeight="1">
      <c r="A15" s="939"/>
      <c r="B15" s="2607" t="s">
        <v>2589</v>
      </c>
      <c r="C15" s="2608"/>
      <c r="D15" s="2609"/>
      <c r="E15" s="1054">
        <f>G80</f>
        <v>0</v>
      </c>
      <c r="G15" s="1026" t="s">
        <v>1895</v>
      </c>
      <c r="H15" s="1026"/>
      <c r="I15" s="954">
        <f>IF(Application!AJ1032&gt;0,10%,IF(Application!AJ1036&gt;0,5%,0))</f>
        <v>0</v>
      </c>
      <c r="M15" s="952"/>
    </row>
    <row r="16" spans="1:13" ht="15" customHeight="1">
      <c r="A16" s="939"/>
      <c r="B16" s="2607" t="s">
        <v>2590</v>
      </c>
      <c r="C16" s="2608"/>
      <c r="D16" s="2609"/>
      <c r="E16" s="1054">
        <f>G90</f>
        <v>4655000</v>
      </c>
      <c r="G16" s="2596" t="s">
        <v>2591</v>
      </c>
      <c r="H16" s="2596"/>
      <c r="I16" s="954">
        <f>G132</f>
        <v>8.6192810457516339E-2</v>
      </c>
    </row>
    <row r="17" spans="1:21" ht="15" customHeight="1" thickBot="1">
      <c r="A17" s="939"/>
      <c r="B17" s="2607" t="s">
        <v>2592</v>
      </c>
      <c r="C17" s="2608"/>
      <c r="D17" s="2609"/>
      <c r="E17" s="1054">
        <f>G115</f>
        <v>16990750</v>
      </c>
      <c r="G17" s="2596" t="s">
        <v>2593</v>
      </c>
      <c r="H17" s="2596"/>
      <c r="I17" s="954">
        <f>IF(AND(G139="Yes",OR(G136,G137)),IF(G143&gt;15%,15%,G143),0)</f>
        <v>0</v>
      </c>
    </row>
    <row r="18" spans="1:21" ht="15" customHeight="1">
      <c r="A18" s="936"/>
      <c r="B18" s="2599" t="s">
        <v>2594</v>
      </c>
      <c r="C18" s="2599"/>
      <c r="D18" s="2599"/>
      <c r="E18" s="1000">
        <f>SUM(E9:E11,E14)</f>
        <v>58248654</v>
      </c>
      <c r="G18" s="1027" t="s">
        <v>2595</v>
      </c>
      <c r="H18" s="1027"/>
      <c r="I18" s="1001">
        <f>I11-((I11*I14)+(I11*I15)+(I11*I16)+(I11*I17))</f>
        <v>23679369.649101306</v>
      </c>
      <c r="M18" s="955">
        <f>SUM(Cdlac[Quantity])</f>
        <v>193</v>
      </c>
      <c r="O18" s="974" t="s">
        <v>929</v>
      </c>
      <c r="P18" s="934">
        <f>MATCH(Application!T189,Application!CB160:CB217,0)</f>
        <v>7</v>
      </c>
      <c r="T18" s="955">
        <f>SUM(Cdlac[Population])</f>
        <v>0</v>
      </c>
    </row>
    <row r="19" spans="1:21" ht="15" customHeight="1">
      <c r="A19" s="936"/>
      <c r="B19" s="936"/>
      <c r="C19" s="936"/>
      <c r="D19" s="936"/>
      <c r="E19" s="936"/>
      <c r="L19" s="934" t="s">
        <v>2596</v>
      </c>
      <c r="M19" s="934" t="s">
        <v>2597</v>
      </c>
      <c r="N19" s="934" t="s">
        <v>2598</v>
      </c>
      <c r="O19" s="934" t="s">
        <v>2599</v>
      </c>
      <c r="P19" s="934" t="s">
        <v>2600</v>
      </c>
      <c r="Q19" s="934" t="s">
        <v>2601</v>
      </c>
      <c r="R19" s="934" t="s">
        <v>2602</v>
      </c>
      <c r="S19" s="934" t="s">
        <v>2603</v>
      </c>
      <c r="T19" s="934" t="s">
        <v>2604</v>
      </c>
      <c r="U19" s="934" t="s">
        <v>992</v>
      </c>
    </row>
    <row r="20" spans="1:21" ht="15" customHeight="1">
      <c r="B20" s="956" t="str">
        <f>B9</f>
        <v>A. Unit Production Benefit</v>
      </c>
      <c r="C20" s="957"/>
      <c r="D20" s="957"/>
      <c r="E20" s="957"/>
      <c r="F20" s="957"/>
      <c r="G20" s="957"/>
      <c r="H20" s="957"/>
      <c r="I20" s="958"/>
      <c r="L20" s="934">
        <f>IFERROR(MIN(4,MATCH(Application!B718,UnitSizes,0)-1),"")</f>
        <v>1</v>
      </c>
      <c r="M20" s="955">
        <f>Application!G718</f>
        <v>20</v>
      </c>
      <c r="N20" s="961">
        <f>Application!AC718</f>
        <v>0.3</v>
      </c>
      <c r="O20" s="961">
        <f>IF(Cdlac[[#This Row],[Quantity]]&gt;0,IF(Cdlac[[#This Row],[Federal]],30%,IF(AND(OR(NOT($G$38),$G$38=""),$G$43),40%,Cdlac[[#This Row],[iAMI]])),"")</f>
        <v>0.3</v>
      </c>
      <c r="P20" s="955" cm="1">
        <f t="array" ref="P20">IF(Cdlac[[#This Row],[Quantity]]&gt;0,INDEX(TcacRents,$P$18,Cdlac[[#This Row],[Bedrooms]]+1)*Cdlac[[#This Row],[AMI]],"")</f>
        <v>898.8</v>
      </c>
      <c r="Q20" s="1053"/>
      <c r="R20" s="955" cm="1">
        <f t="array" ref="R20">IF(Cdlac[[#This Row],[Quantity]]&gt;0,INDEX(HudFmrs,$P$18,Cdlac[[#This Row],[Bedrooms]]+1),"")</f>
        <v>2201</v>
      </c>
      <c r="S20" s="955">
        <f>IF(Cdlac[[#This Row],[Quantity]]&gt;0,MAX(0,Cdlac[[#This Row],[Fair Market Rent]]-IF(AND($G$37,$G$38,$G$38&lt;&gt;"",NOT(Cdlac[[#This Row],[Federal]]),Cdlac[[#This Row],[Preservation Rent]]&lt;&gt;""),Cdlac[[#This Row],[Preservation Rent]],Cdlac[[#This Row],[Restricted Rent]])),"")</f>
        <v>1302.2</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2</v>
      </c>
      <c r="M21" s="955">
        <f>Application!G719</f>
        <v>7</v>
      </c>
      <c r="N21" s="961">
        <f>Application!AC719</f>
        <v>0.3</v>
      </c>
      <c r="O21" s="961">
        <f>IF(Cdlac[[#This Row],[Quantity]]&gt;0,IF(Cdlac[[#This Row],[Federal]],30%,IF(AND(OR(NOT($G$38),$G$38=""),$G$43),40%,Cdlac[[#This Row],[iAMI]])),"")</f>
        <v>0.3</v>
      </c>
      <c r="P21" s="955" cm="1">
        <f t="array" ref="P21">IF(Cdlac[[#This Row],[Quantity]]&gt;0,INDEX(TcacRents,$P$18,Cdlac[[#This Row],[Bedrooms]]+1)*Cdlac[[#This Row],[AMI]],"")</f>
        <v>1078.8</v>
      </c>
      <c r="Q21" s="1053"/>
      <c r="R21" s="955" cm="1">
        <f t="array" ref="R21">IF(Cdlac[[#This Row],[Quantity]]&gt;0,INDEX(HudFmrs,$P$18,Cdlac[[#This Row],[Bedrooms]]+1),"")</f>
        <v>2682</v>
      </c>
      <c r="S21" s="955">
        <f>IF(Cdlac[[#This Row],[Quantity]]&gt;0,MAX(0,Cdlac[[#This Row],[Fair Market Rent]]-IF(AND($G$37,$G$38,$G$38&lt;&gt;"",NOT(Cdlac[[#This Row],[Federal]]),Cdlac[[#This Row],[Preservation Rent]]&lt;&gt;""),Cdlac[[#This Row],[Preservation Rent]],Cdlac[[#This Row],[Restricted Rent]])),"")</f>
        <v>1603.2</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597" t="s">
        <v>2605</v>
      </c>
      <c r="D22" s="2597" t="s">
        <v>2606</v>
      </c>
      <c r="E22" s="2597" t="s">
        <v>2607</v>
      </c>
      <c r="F22" s="2597" t="s">
        <v>2608</v>
      </c>
      <c r="G22" s="2597" t="s">
        <v>2609</v>
      </c>
      <c r="H22" s="960"/>
      <c r="I22" s="959"/>
      <c r="L22" s="934">
        <f>IFERROR(MIN(4,MATCH(Application!B720,UnitSizes,0)-1),"")</f>
        <v>3</v>
      </c>
      <c r="M22" s="955">
        <f>Application!G720</f>
        <v>8</v>
      </c>
      <c r="N22" s="961">
        <f>Application!AC720</f>
        <v>0.3</v>
      </c>
      <c r="O22" s="961">
        <f>IF(Cdlac[[#This Row],[Quantity]]&gt;0,IF(Cdlac[[#This Row],[Federal]],30%,IF(AND(OR(NOT($G$38),$G$38=""),$G$43),40%,Cdlac[[#This Row],[iAMI]])),"")</f>
        <v>0.3</v>
      </c>
      <c r="P22" s="955" cm="1">
        <f t="array" ref="P22">IF(Cdlac[[#This Row],[Quantity]]&gt;0,INDEX(TcacRents,$P$18,Cdlac[[#This Row],[Bedrooms]]+1)*Cdlac[[#This Row],[AMI]],"")</f>
        <v>1246.2</v>
      </c>
      <c r="Q22" s="1053"/>
      <c r="R22" s="955" cm="1">
        <f t="array" ref="R22">IF(Cdlac[[#This Row],[Quantity]]&gt;0,INDEX(HudFmrs,$P$18,Cdlac[[#This Row],[Bedrooms]]+1),"")</f>
        <v>3432</v>
      </c>
      <c r="S22" s="955">
        <f>IF(Cdlac[[#This Row],[Quantity]]&gt;0,MAX(0,Cdlac[[#This Row],[Fair Market Rent]]-IF(AND($G$37,$G$38,$G$38&lt;&gt;"",NOT(Cdlac[[#This Row],[Federal]]),Cdlac[[#This Row],[Preservation Rent]]&lt;&gt;""),Cdlac[[#This Row],[Preservation Rent]],Cdlac[[#This Row],[Restricted Rent]])),"")</f>
        <v>2185.8000000000002</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98"/>
      <c r="D23" s="2598"/>
      <c r="E23" s="2598"/>
      <c r="F23" s="2598"/>
      <c r="G23" s="2598"/>
      <c r="H23" s="960"/>
      <c r="I23" s="959"/>
      <c r="L23" s="934">
        <f>IFERROR(MIN(4,MATCH(Application!B721,UnitSizes,0)-1),"")</f>
        <v>1</v>
      </c>
      <c r="M23" s="955">
        <f>Application!G721</f>
        <v>9</v>
      </c>
      <c r="N23" s="961">
        <f>Application!AC721</f>
        <v>0.5</v>
      </c>
      <c r="O23" s="961">
        <f>IF(Cdlac[[#This Row],[Quantity]]&gt;0,IF(Cdlac[[#This Row],[Federal]],30%,IF(AND(OR(NOT($G$38),$G$38=""),$G$43),40%,Cdlac[[#This Row],[iAMI]])),"")</f>
        <v>0.5</v>
      </c>
      <c r="P23" s="955" cm="1">
        <f t="array" ref="P23">IF(Cdlac[[#This Row],[Quantity]]&gt;0,INDEX(TcacRents,$P$18,Cdlac[[#This Row],[Bedrooms]]+1)*Cdlac[[#This Row],[AMI]],"")</f>
        <v>1498</v>
      </c>
      <c r="Q23" s="1053"/>
      <c r="R23" s="955" cm="1">
        <f t="array" ref="R23">IF(Cdlac[[#This Row],[Quantity]]&gt;0,INDEX(HudFmrs,$P$18,Cdlac[[#This Row],[Bedrooms]]+1),"")</f>
        <v>2201</v>
      </c>
      <c r="S23" s="955">
        <f>IF(Cdlac[[#This Row],[Quantity]]&gt;0,MAX(0,Cdlac[[#This Row],[Fair Market Rent]]-IF(AND($G$37,$G$38,$G$38&lt;&gt;"",NOT(Cdlac[[#This Row],[Federal]]),Cdlac[[#This Row],[Preservation Rent]]&lt;&gt;""),Cdlac[[#This Row],[Preservation Rent]],Cdlac[[#This Row],[Restricted Rent]])),"")</f>
        <v>703</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0</v>
      </c>
      <c r="F24" s="962">
        <f>E24</f>
        <v>0</v>
      </c>
      <c r="G24" s="962">
        <f>D24*F24</f>
        <v>0</v>
      </c>
      <c r="L24" s="934">
        <f>IFERROR(MIN(4,MATCH(Application!B722,UnitSizes,0)-1),"")</f>
        <v>2</v>
      </c>
      <c r="M24" s="955">
        <f>Application!G722</f>
        <v>5</v>
      </c>
      <c r="N24" s="961">
        <f>Application!AC722</f>
        <v>0.5</v>
      </c>
      <c r="O24" s="961">
        <f>IF(Cdlac[[#This Row],[Quantity]]&gt;0,IF(Cdlac[[#This Row],[Federal]],30%,IF(AND(OR(NOT($G$38),$G$38=""),$G$43),40%,Cdlac[[#This Row],[iAMI]])),"")</f>
        <v>0.5</v>
      </c>
      <c r="P24" s="955" cm="1">
        <f t="array" ref="P24">IF(Cdlac[[#This Row],[Quantity]]&gt;0,INDEX(TcacRents,$P$18,Cdlac[[#This Row],[Bedrooms]]+1)*Cdlac[[#This Row],[AMI]],"")</f>
        <v>1798</v>
      </c>
      <c r="Q24" s="1053"/>
      <c r="R24" s="955" cm="1">
        <f t="array" ref="R24">IF(Cdlac[[#This Row],[Quantity]]&gt;0,INDEX(HudFmrs,$P$18,Cdlac[[#This Row],[Bedrooms]]+1),"")</f>
        <v>2682</v>
      </c>
      <c r="S24" s="955">
        <f>IF(Cdlac[[#This Row],[Quantity]]&gt;0,MAX(0,Cdlac[[#This Row],[Fair Market Rent]]-IF(AND($G$37,$G$38,$G$38&lt;&gt;"",NOT(Cdlac[[#This Row],[Federal]]),Cdlac[[#This Row],[Preservation Rent]]&lt;&gt;""),Cdlac[[#This Row],[Preservation Rent]],Cdlac[[#This Row],[Restricted Rent]])),"")</f>
        <v>884</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89</v>
      </c>
      <c r="F25" s="962">
        <f>E25</f>
        <v>89</v>
      </c>
      <c r="G25" s="962">
        <f>D25*F25</f>
        <v>89</v>
      </c>
      <c r="L25" s="934">
        <f>IFERROR(MIN(4,MATCH(Application!B723,UnitSizes,0)-1),"")</f>
        <v>3</v>
      </c>
      <c r="M25" s="955">
        <f>Application!G723</f>
        <v>6</v>
      </c>
      <c r="N25" s="961">
        <f>Application!AC723</f>
        <v>0.5</v>
      </c>
      <c r="O25" s="961">
        <f>IF(Cdlac[[#This Row],[Quantity]]&gt;0,IF(Cdlac[[#This Row],[Federal]],30%,IF(AND(OR(NOT($G$38),$G$38=""),$G$43),40%,Cdlac[[#This Row],[iAMI]])),"")</f>
        <v>0.5</v>
      </c>
      <c r="P25" s="955" cm="1">
        <f t="array" ref="P25">IF(Cdlac[[#This Row],[Quantity]]&gt;0,INDEX(TcacRents,$P$18,Cdlac[[#This Row],[Bedrooms]]+1)*Cdlac[[#This Row],[AMI]],"")</f>
        <v>2077</v>
      </c>
      <c r="Q25" s="1053"/>
      <c r="R25" s="955" cm="1">
        <f t="array" ref="R25">IF(Cdlac[[#This Row],[Quantity]]&gt;0,INDEX(HudFmrs,$P$18,Cdlac[[#This Row],[Bedrooms]]+1),"")</f>
        <v>3432</v>
      </c>
      <c r="S25" s="955">
        <f>IF(Cdlac[[#This Row],[Quantity]]&gt;0,MAX(0,Cdlac[[#This Row],[Fair Market Rent]]-IF(AND($G$37,$G$38,$G$38&lt;&gt;"",NOT(Cdlac[[#This Row],[Federal]]),Cdlac[[#This Row],[Preservation Rent]]&lt;&gt;""),Cdlac[[#This Row],[Preservation Rent]],Cdlac[[#This Row],[Restricted Rent]])),"")</f>
        <v>1355</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49</v>
      </c>
      <c r="F26" s="965">
        <f>SUM(E26:E28)-SUM(F27:F28)</f>
        <v>49</v>
      </c>
      <c r="G26" s="962">
        <f>D26*F26</f>
        <v>61.25</v>
      </c>
      <c r="H26" s="964"/>
      <c r="I26" s="964"/>
      <c r="L26" s="934">
        <f>IFERROR(MIN(4,MATCH(Application!B724,UnitSizes,0)-1),"")</f>
        <v>1</v>
      </c>
      <c r="M26" s="955">
        <f>Application!G724</f>
        <v>37</v>
      </c>
      <c r="N26" s="961">
        <f>Application!AC724</f>
        <v>0.6</v>
      </c>
      <c r="O26" s="961">
        <f>IF(Cdlac[[#This Row],[Quantity]]&gt;0,IF(Cdlac[[#This Row],[Federal]],30%,IF(AND(OR(NOT($G$38),$G$38=""),$G$43),40%,Cdlac[[#This Row],[iAMI]])),"")</f>
        <v>0.6</v>
      </c>
      <c r="P26" s="955" cm="1">
        <f t="array" ref="P26">IF(Cdlac[[#This Row],[Quantity]]&gt;0,INDEX(TcacRents,$P$18,Cdlac[[#This Row],[Bedrooms]]+1)*Cdlac[[#This Row],[AMI]],"")</f>
        <v>1797.6</v>
      </c>
      <c r="Q26" s="1053"/>
      <c r="R26" s="955" cm="1">
        <f t="array" ref="R26">IF(Cdlac[[#This Row],[Quantity]]&gt;0,INDEX(HudFmrs,$P$18,Cdlac[[#This Row],[Bedrooms]]+1),"")</f>
        <v>2201</v>
      </c>
      <c r="S26" s="955">
        <f>IF(Cdlac[[#This Row],[Quantity]]&gt;0,MAX(0,Cdlac[[#This Row],[Fair Market Rent]]-IF(AND($G$37,$G$38,$G$38&lt;&gt;"",NOT(Cdlac[[#This Row],[Federal]]),Cdlac[[#This Row],[Preservation Rent]]&lt;&gt;""),Cdlac[[#This Row],[Preservation Rent]],Cdlac[[#This Row],[Restricted Rent]])),"")</f>
        <v>403.40000000000009</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55</v>
      </c>
      <c r="F27" s="965">
        <f>MIN(E27,ROUNDDOWN(E29*30%,0))</f>
        <v>55</v>
      </c>
      <c r="G27" s="962">
        <f>D27*F27</f>
        <v>82.5</v>
      </c>
      <c r="H27" s="964"/>
      <c r="I27" s="964"/>
      <c r="L27" s="934">
        <f>IFERROR(MIN(4,MATCH(Application!B725,UnitSizes,0)-1),"")</f>
        <v>2</v>
      </c>
      <c r="M27" s="955">
        <f>Application!G725</f>
        <v>21</v>
      </c>
      <c r="N27" s="961">
        <f>Application!AC725</f>
        <v>0.6</v>
      </c>
      <c r="O27" s="961">
        <f>IF(Cdlac[[#This Row],[Quantity]]&gt;0,IF(Cdlac[[#This Row],[Federal]],30%,IF(AND(OR(NOT($G$38),$G$38=""),$G$43),40%,Cdlac[[#This Row],[iAMI]])),"")</f>
        <v>0.6</v>
      </c>
      <c r="P27" s="955" cm="1">
        <f t="array" ref="P27">IF(Cdlac[[#This Row],[Quantity]]&gt;0,INDEX(TcacRents,$P$18,Cdlac[[#This Row],[Bedrooms]]+1)*Cdlac[[#This Row],[AMI]],"")</f>
        <v>2157.6</v>
      </c>
      <c r="Q27" s="1053"/>
      <c r="R27" s="955" cm="1">
        <f t="array" ref="R27">IF(Cdlac[[#This Row],[Quantity]]&gt;0,INDEX(HudFmrs,$P$18,Cdlac[[#This Row],[Bedrooms]]+1),"")</f>
        <v>2682</v>
      </c>
      <c r="S27" s="955">
        <f>IF(Cdlac[[#This Row],[Quantity]]&gt;0,MAX(0,Cdlac[[#This Row],[Fair Market Rent]]-IF(AND($G$37,$G$38,$G$38&lt;&gt;"",NOT(Cdlac[[#This Row],[Federal]]),Cdlac[[#This Row],[Preservation Rent]]&lt;&gt;""),Cdlac[[#This Row],[Preservation Rent]],Cdlac[[#This Row],[Restricted Rent]])),"")</f>
        <v>524.40000000000009</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f>IFERROR(MIN(4,MATCH(Application!B726,UnitSizes,0)-1),"")</f>
        <v>3</v>
      </c>
      <c r="M28" s="955">
        <f>Application!G726</f>
        <v>21</v>
      </c>
      <c r="N28" s="961">
        <f>Application!AC726</f>
        <v>0.6</v>
      </c>
      <c r="O28" s="961">
        <f>IF(Cdlac[[#This Row],[Quantity]]&gt;0,IF(Cdlac[[#This Row],[Federal]],30%,IF(AND(OR(NOT($G$38),$G$38=""),$G$43),40%,Cdlac[[#This Row],[iAMI]])),"")</f>
        <v>0.6</v>
      </c>
      <c r="P28" s="955" cm="1">
        <f t="array" ref="P28">IF(Cdlac[[#This Row],[Quantity]]&gt;0,INDEX(TcacRents,$P$18,Cdlac[[#This Row],[Bedrooms]]+1)*Cdlac[[#This Row],[AMI]],"")</f>
        <v>2492.4</v>
      </c>
      <c r="Q28" s="1053"/>
      <c r="R28" s="955" cm="1">
        <f t="array" ref="R28">IF(Cdlac[[#This Row],[Quantity]]&gt;0,INDEX(HudFmrs,$P$18,Cdlac[[#This Row],[Bedrooms]]+1),"")</f>
        <v>3432</v>
      </c>
      <c r="S28" s="955">
        <f>IF(Cdlac[[#This Row],[Quantity]]&gt;0,MAX(0,Cdlac[[#This Row],[Fair Market Rent]]-IF(AND($G$37,$G$38,$G$38&lt;&gt;"",NOT(Cdlac[[#This Row],[Federal]]),Cdlac[[#This Row],[Preservation Rent]]&lt;&gt;""),Cdlac[[#This Row],[Preservation Rent]],Cdlac[[#This Row],[Restricted Rent]])),"")</f>
        <v>939.59999999999991</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0</v>
      </c>
    </row>
    <row r="29" spans="1:21" ht="15" customHeight="1">
      <c r="A29" s="964"/>
      <c r="C29" s="2611" t="s">
        <v>1912</v>
      </c>
      <c r="D29" s="2612"/>
      <c r="E29" s="978">
        <f>SUM(E24:E28)</f>
        <v>193</v>
      </c>
      <c r="F29" s="978">
        <f>SUM(F24:F28)</f>
        <v>193</v>
      </c>
      <c r="G29" s="979">
        <f>SUMPRODUCT(D24:D28,F24:F28)</f>
        <v>232.75</v>
      </c>
      <c r="H29" s="964"/>
      <c r="I29" s="964"/>
      <c r="L29" s="934">
        <f>IFERROR(MIN(4,MATCH(Application!B727,UnitSizes,0)-1),"")</f>
        <v>1</v>
      </c>
      <c r="M29" s="955">
        <f>Application!G727</f>
        <v>23</v>
      </c>
      <c r="N29" s="961">
        <f>Application!AC727</f>
        <v>0.7</v>
      </c>
      <c r="O29" s="961">
        <f>IF(Cdlac[[#This Row],[Quantity]]&gt;0,IF(Cdlac[[#This Row],[Federal]],30%,IF(AND(OR(NOT($G$38),$G$38=""),$G$43),40%,Cdlac[[#This Row],[iAMI]])),"")</f>
        <v>0.7</v>
      </c>
      <c r="P29" s="955" cm="1">
        <f t="array" ref="P29">IF(Cdlac[[#This Row],[Quantity]]&gt;0,INDEX(TcacRents,$P$18,Cdlac[[#This Row],[Bedrooms]]+1)*Cdlac[[#This Row],[AMI]],"")</f>
        <v>2097.1999999999998</v>
      </c>
      <c r="Q29" s="1053"/>
      <c r="R29" s="955" cm="1">
        <f t="array" ref="R29">IF(Cdlac[[#This Row],[Quantity]]&gt;0,INDEX(HudFmrs,$P$18,Cdlac[[#This Row],[Bedrooms]]+1),"")</f>
        <v>2201</v>
      </c>
      <c r="S29" s="955">
        <f>IF(Cdlac[[#This Row],[Quantity]]&gt;0,MAX(0,Cdlac[[#This Row],[Fair Market Rent]]-IF(AND($G$37,$G$38,$G$38&lt;&gt;"",NOT(Cdlac[[#This Row],[Federal]]),Cdlac[[#This Row],[Preservation Rent]]&lt;&gt;""),Cdlac[[#This Row],[Preservation Rent]],Cdlac[[#This Row],[Restricted Rent]])),"")</f>
        <v>103.80000000000018</v>
      </c>
      <c r="T29" s="934">
        <f>IF(Cdlac[[#This Row],[Quantity]]&gt;0,AND(Application!AK727&lt;&gt;"N/A",Application!AK727&lt;&gt;"")*Cdlac[[#This Row],[Quantity]],"")</f>
        <v>0</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f>IFERROR(MIN(4,MATCH(Application!B728,UnitSizes,0)-1),"")</f>
        <v>2</v>
      </c>
      <c r="M30" s="955">
        <f>Application!G728</f>
        <v>16</v>
      </c>
      <c r="N30" s="961">
        <f>Application!AC728</f>
        <v>0.7</v>
      </c>
      <c r="O30" s="961">
        <f>IF(Cdlac[[#This Row],[Quantity]]&gt;0,IF(Cdlac[[#This Row],[Federal]],30%,IF(AND(OR(NOT($G$38),$G$38=""),$G$43),40%,Cdlac[[#This Row],[iAMI]])),"")</f>
        <v>0.7</v>
      </c>
      <c r="P30" s="955" cm="1">
        <f t="array" ref="P30">IF(Cdlac[[#This Row],[Quantity]]&gt;0,INDEX(TcacRents,$P$18,Cdlac[[#This Row],[Bedrooms]]+1)*Cdlac[[#This Row],[AMI]],"")</f>
        <v>2517.1999999999998</v>
      </c>
      <c r="Q30" s="1053"/>
      <c r="R30" s="955" cm="1">
        <f t="array" ref="R30">IF(Cdlac[[#This Row],[Quantity]]&gt;0,INDEX(HudFmrs,$P$18,Cdlac[[#This Row],[Bedrooms]]+1),"")</f>
        <v>2682</v>
      </c>
      <c r="S30" s="955">
        <f>IF(Cdlac[[#This Row],[Quantity]]&gt;0,MAX(0,Cdlac[[#This Row],[Fair Market Rent]]-IF(AND($G$37,$G$38,$G$38&lt;&gt;"",NOT(Cdlac[[#This Row],[Federal]]),Cdlac[[#This Row],[Preservation Rent]]&lt;&gt;""),Cdlac[[#This Row],[Preservation Rent]],Cdlac[[#This Row],[Restricted Rent]])),"")</f>
        <v>164.80000000000018</v>
      </c>
      <c r="T30" s="934">
        <f>IF(Cdlac[[#This Row],[Quantity]]&gt;0,AND(Application!AK728&lt;&gt;"N/A",Application!AK728&lt;&gt;"")*Cdlac[[#This Row],[Quantity]],"")</f>
        <v>0</v>
      </c>
      <c r="U30" s="934" t="b">
        <f>AND('Subsidy Contract Calculation'!F14&gt;0,OR('Subsidy Contract Calculation'!C14="Federal",'Subsidy Contract Calculation'!C14="Local - Approved by ED"),Cdlac[[#This Row],[Quantity]]&gt;0)</f>
        <v>0</v>
      </c>
    </row>
    <row r="31" spans="1:21" ht="15" customHeight="1">
      <c r="A31" s="964"/>
      <c r="E31" s="1006" t="s">
        <v>2609</v>
      </c>
      <c r="G31" s="1003">
        <f>G29</f>
        <v>232.75</v>
      </c>
      <c r="H31" s="964"/>
      <c r="I31" s="964"/>
      <c r="L31" s="934">
        <f>IFERROR(MIN(4,MATCH(Application!B729,UnitSizes,0)-1),"")</f>
        <v>3</v>
      </c>
      <c r="M31" s="955">
        <f>Application!G729</f>
        <v>20</v>
      </c>
      <c r="N31" s="961">
        <f>Application!AC729</f>
        <v>0.7</v>
      </c>
      <c r="O31" s="961">
        <f>IF(Cdlac[[#This Row],[Quantity]]&gt;0,IF(Cdlac[[#This Row],[Federal]],30%,IF(AND(OR(NOT($G$38),$G$38=""),$G$43),40%,Cdlac[[#This Row],[iAMI]])),"")</f>
        <v>0.7</v>
      </c>
      <c r="P31" s="955" cm="1">
        <f t="array" ref="P31">IF(Cdlac[[#This Row],[Quantity]]&gt;0,INDEX(TcacRents,$P$18,Cdlac[[#This Row],[Bedrooms]]+1)*Cdlac[[#This Row],[AMI]],"")</f>
        <v>2907.7999999999997</v>
      </c>
      <c r="Q31" s="1053"/>
      <c r="R31" s="955" cm="1">
        <f t="array" ref="R31">IF(Cdlac[[#This Row],[Quantity]]&gt;0,INDEX(HudFmrs,$P$18,Cdlac[[#This Row],[Bedrooms]]+1),"")</f>
        <v>3432</v>
      </c>
      <c r="S31" s="955">
        <f>IF(Cdlac[[#This Row],[Quantity]]&gt;0,MAX(0,Cdlac[[#This Row],[Fair Market Rent]]-IF(AND($G$37,$G$38,$G$38&lt;&gt;"",NOT(Cdlac[[#This Row],[Federal]]),Cdlac[[#This Row],[Preservation Rent]]&lt;&gt;""),Cdlac[[#This Row],[Preservation Rent]],Cdlac[[#This Row],[Restricted Rent]])),"")</f>
        <v>524.20000000000027</v>
      </c>
      <c r="T31" s="934">
        <f>IF(Cdlac[[#This Row],[Quantity]]&gt;0,AND(Application!AK729&lt;&gt;"N/A",Application!AK729&lt;&gt;"")*Cdlac[[#This Row],[Quantity]],"")</f>
        <v>0</v>
      </c>
      <c r="U31" s="934" t="b">
        <f>AND('Subsidy Contract Calculation'!F15&gt;0,OR('Subsidy Contract Calculation'!C15="Federal",'Subsidy Contract Calculation'!C15="Local - Approved by ED"),Cdlac[[#This Row],[Quantity]]&gt;0)</f>
        <v>0</v>
      </c>
    </row>
    <row r="32" spans="1:21" ht="15" customHeight="1">
      <c r="A32" s="964"/>
      <c r="E32" s="1006" t="s">
        <v>2610</v>
      </c>
      <c r="F32" s="1002" t="s">
        <v>2611</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2612</v>
      </c>
      <c r="F33" s="936"/>
      <c r="G33" s="1008">
        <f>G32*G31</f>
        <v>11637500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2613</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2614</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14" t="str">
        <f>IF(AND(G37,G38,G38&lt;&gt;""),"Enter the average rent charged for each unit type over the last three years, as documented with rent rolls or property audits, in cells Q20:Q44","")</f>
        <v/>
      </c>
      <c r="D39" s="2614"/>
      <c r="E39" s="2614"/>
      <c r="F39" s="2614"/>
      <c r="G39" s="2614"/>
      <c r="H39" s="2614"/>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14"/>
      <c r="D40" s="2614"/>
      <c r="E40" s="2614"/>
      <c r="F40" s="2614"/>
      <c r="G40" s="2614"/>
      <c r="H40" s="2614"/>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14"/>
      <c r="D41" s="2614"/>
      <c r="E41" s="2614"/>
      <c r="F41" s="2614"/>
      <c r="G41" s="2614"/>
      <c r="H41" s="2614"/>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2615</v>
      </c>
      <c r="G42" s="1009" cm="1">
        <f t="array" ref="G42">SUMPRODUCT(Cdlac[Quantity],Cdlac[iAMI],IF(Cdlac[Federal],0,1))/SUMIFS(Cdlac[Quantity],Cdlac[Federal],FALSE)</f>
        <v>0.56580310880829021</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2616</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2617</v>
      </c>
      <c r="G45" s="968">
        <f>IFERROR(SUMPRODUCT(Cdlac[Quantity],Cdlac[Delta]),0)</f>
        <v>134807.80000000002</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2618</v>
      </c>
      <c r="F46" s="1002" t="s">
        <v>2611</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2619</v>
      </c>
      <c r="F47" s="936"/>
      <c r="G47" s="1012">
        <f>G45*G46</f>
        <v>24265404.000000004</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2620</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2621</v>
      </c>
      <c r="G52" s="1003">
        <f>ROUNDDOWN(E29*50%,0)</f>
        <v>96</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2622</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2610</v>
      </c>
      <c r="F55" s="1002" t="s">
        <v>2611</v>
      </c>
      <c r="G55" s="1013">
        <v>10000</v>
      </c>
      <c r="M55" s="955"/>
      <c r="N55" s="961"/>
      <c r="O55" s="961"/>
      <c r="P55" s="955"/>
      <c r="Q55" s="1053"/>
      <c r="R55" s="955"/>
      <c r="S55" s="955"/>
    </row>
    <row r="56" spans="2:21" ht="15" customHeight="1">
      <c r="E56" s="1007" t="s">
        <v>2623</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2624</v>
      </c>
      <c r="G60" s="969">
        <f>SUMIFS(Cdlac[Quantity],Cdlac[iAMI],"&lt;=30%")</f>
        <v>35</v>
      </c>
    </row>
    <row r="61" spans="2:21" ht="15" customHeight="1">
      <c r="E61" s="1006" t="s">
        <v>2621</v>
      </c>
      <c r="G61" s="969">
        <f>ROUNDDOWN(E29*50%,0)</f>
        <v>96</v>
      </c>
    </row>
    <row r="62" spans="2:21" ht="15" customHeight="1">
      <c r="E62" s="1006"/>
      <c r="G62" s="969"/>
    </row>
    <row r="63" spans="2:21" ht="15" customHeight="1">
      <c r="E63" s="1006" t="s">
        <v>2622</v>
      </c>
      <c r="G63" s="1003">
        <f>MIN(G60:G61)</f>
        <v>35</v>
      </c>
    </row>
    <row r="64" spans="2:21" ht="15" customHeight="1">
      <c r="E64" s="1006" t="s">
        <v>2610</v>
      </c>
      <c r="F64" s="1002" t="s">
        <v>2611</v>
      </c>
      <c r="G64" s="1013">
        <v>20000</v>
      </c>
    </row>
    <row r="65" spans="2:14" ht="15" customHeight="1">
      <c r="E65" s="1007" t="s">
        <v>2625</v>
      </c>
      <c r="F65" s="936"/>
      <c r="G65" s="1012">
        <f>G63*G64</f>
        <v>700000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2626</v>
      </c>
      <c r="G69" s="933" t="s">
        <v>843</v>
      </c>
    </row>
    <row r="70" spans="2:14" ht="15" customHeight="1">
      <c r="C70" s="967" t="s">
        <v>2627</v>
      </c>
      <c r="G70" s="971" t="str">
        <f>IF(Application!D211="Large Family","Yes","No")</f>
        <v>Yes</v>
      </c>
    </row>
    <row r="71" spans="2:14" ht="15" customHeight="1" thickBot="1">
      <c r="C71" s="967" t="s">
        <v>2628</v>
      </c>
      <c r="G71" s="933" t="s">
        <v>692</v>
      </c>
    </row>
    <row r="72" spans="2:14" ht="15" customHeight="1">
      <c r="C72" s="967" t="s">
        <v>2629</v>
      </c>
      <c r="G72" s="934" t="str">
        <f>Application!T193</f>
        <v>Low Resource</v>
      </c>
      <c r="L72" s="2584" t="s">
        <v>877</v>
      </c>
      <c r="M72" s="2585"/>
      <c r="N72" s="1020">
        <v>30000</v>
      </c>
    </row>
    <row r="73" spans="2:14" ht="15" customHeight="1">
      <c r="C73" s="2586" t="s">
        <v>2630</v>
      </c>
      <c r="D73" s="2586"/>
      <c r="E73" s="2586"/>
      <c r="F73" s="2586"/>
      <c r="G73" s="933" t="s">
        <v>692</v>
      </c>
      <c r="L73" s="2601" t="s">
        <v>881</v>
      </c>
      <c r="M73" s="2602"/>
      <c r="N73" s="1021">
        <v>20000</v>
      </c>
    </row>
    <row r="74" spans="2:14" ht="15" customHeight="1" thickBot="1">
      <c r="C74" s="2586"/>
      <c r="D74" s="2586"/>
      <c r="E74" s="2586"/>
      <c r="F74" s="2586"/>
      <c r="L74" s="2576" t="s">
        <v>888</v>
      </c>
      <c r="M74" s="2577"/>
      <c r="N74" s="1022">
        <v>10000</v>
      </c>
    </row>
    <row r="75" spans="2:14" ht="15" customHeight="1">
      <c r="C75" s="967"/>
    </row>
    <row r="76" spans="2:14" ht="15" customHeight="1">
      <c r="E76" s="974" t="s">
        <v>2631</v>
      </c>
      <c r="G76" s="969" t="b">
        <f>OR(AND(COUNTIFS(G70:G71,"Yes")&gt;=1,G69="Yes"),G73="Yes")</f>
        <v>1</v>
      </c>
    </row>
    <row r="77" spans="2:14" ht="15" customHeight="1">
      <c r="E77" s="974"/>
      <c r="G77" s="969"/>
    </row>
    <row r="78" spans="2:14" ht="15" customHeight="1">
      <c r="E78" s="974" t="s">
        <v>2610</v>
      </c>
      <c r="G78" s="968">
        <f>IFERROR(IF($G$73="Yes",30000,INDEX(N72:N74,MATCH(LEFT(G72,17),L72:L74,0))),0)</f>
        <v>0</v>
      </c>
    </row>
    <row r="79" spans="2:14" ht="15" customHeight="1">
      <c r="E79" s="974" t="str">
        <f>E96</f>
        <v>Bedroom-Adjusted Low-Income Units</v>
      </c>
      <c r="F79" s="1002" t="s">
        <v>2611</v>
      </c>
      <c r="G79" s="1003">
        <f>G29</f>
        <v>232.75</v>
      </c>
    </row>
    <row r="80" spans="2:14" ht="15" customHeight="1">
      <c r="D80" s="936"/>
      <c r="E80" s="1007" t="s">
        <v>2632</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2633</v>
      </c>
      <c r="G84" s="933" t="s">
        <v>843</v>
      </c>
    </row>
    <row r="85" spans="2:9" ht="15" customHeight="1">
      <c r="F85" s="1005"/>
    </row>
    <row r="86" spans="2:9" ht="15" customHeight="1">
      <c r="E86" s="974" t="s">
        <v>2631</v>
      </c>
      <c r="G86" s="969" t="b">
        <f>G84="Yes"</f>
        <v>1</v>
      </c>
    </row>
    <row r="87" spans="2:9" ht="15" customHeight="1"/>
    <row r="88" spans="2:9" ht="15" customHeight="1">
      <c r="E88" s="974" t="str">
        <f>E96</f>
        <v>Bedroom-Adjusted Low-Income Units</v>
      </c>
      <c r="G88" s="1003">
        <f>G29</f>
        <v>232.75</v>
      </c>
    </row>
    <row r="89" spans="2:9" ht="15" customHeight="1">
      <c r="E89" s="974" t="s">
        <v>2610</v>
      </c>
      <c r="F89" s="1002" t="s">
        <v>2611</v>
      </c>
      <c r="G89" s="940">
        <v>20000</v>
      </c>
    </row>
    <row r="90" spans="2:9" ht="15" customHeight="1">
      <c r="E90" s="1007" t="s">
        <v>2634</v>
      </c>
      <c r="F90" s="936"/>
      <c r="G90" s="1012">
        <f>G86*G89*G88</f>
        <v>4655000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2635</v>
      </c>
      <c r="G94" s="1003">
        <f>VLOOKUP('Points System'!$H$606,'Points System'!$AO$586:$AP$591,2,FALSE)</f>
        <v>7</v>
      </c>
    </row>
    <row r="95" spans="2:9" ht="15" customHeight="1">
      <c r="E95" s="974" t="s">
        <v>2610</v>
      </c>
      <c r="F95" s="1002" t="s">
        <v>2611</v>
      </c>
      <c r="G95" s="966">
        <v>4000</v>
      </c>
    </row>
    <row r="96" spans="2:9" ht="15" customHeight="1" thickBot="1">
      <c r="E96" s="974" t="s">
        <v>2636</v>
      </c>
      <c r="F96" s="1002" t="s">
        <v>2611</v>
      </c>
      <c r="G96" s="1015">
        <f>G29</f>
        <v>232.75</v>
      </c>
    </row>
    <row r="97" spans="2:14" ht="15" customHeight="1">
      <c r="E97" s="1007" t="s">
        <v>2637</v>
      </c>
      <c r="F97" s="936"/>
      <c r="G97" s="1012">
        <f>G94*G95*G96</f>
        <v>6517000</v>
      </c>
      <c r="L97" s="1016" t="str">
        <f>'Points System'!H638</f>
        <v>(i)</v>
      </c>
      <c r="M97" s="2582" t="s">
        <v>2488</v>
      </c>
      <c r="N97" s="2583"/>
    </row>
    <row r="98" spans="2:14" ht="15" customHeight="1">
      <c r="C98" s="967"/>
      <c r="G98" s="1003"/>
      <c r="L98" s="1017" t="str">
        <f>'Points System'!H650</f>
        <v>N/A</v>
      </c>
      <c r="M98" s="2578" t="s">
        <v>2638</v>
      </c>
      <c r="N98" s="2579"/>
    </row>
    <row r="99" spans="2:14" ht="15" customHeight="1">
      <c r="E99" s="974" t="s">
        <v>2639</v>
      </c>
      <c r="G99" s="1015">
        <f>COUNTIFS(L97:L104,"(i)")</f>
        <v>5</v>
      </c>
      <c r="L99" s="1017" t="str">
        <f>'Points System'!H685</f>
        <v>(i)</v>
      </c>
      <c r="M99" s="2578" t="s">
        <v>2640</v>
      </c>
      <c r="N99" s="2579"/>
    </row>
    <row r="100" spans="2:14" ht="15" customHeight="1">
      <c r="E100" s="974" t="s">
        <v>2610</v>
      </c>
      <c r="F100" s="1002" t="s">
        <v>2611</v>
      </c>
      <c r="G100" s="1013">
        <v>4000</v>
      </c>
      <c r="L100" s="1017" t="str">
        <f>IF(OR('Points System'!H709="(ii)",'Points System'!H709="(i)"),"(i)","N/A")</f>
        <v>(i)</v>
      </c>
      <c r="M100" s="2578" t="s">
        <v>2641</v>
      </c>
      <c r="N100" s="2579"/>
    </row>
    <row r="101" spans="2:14" ht="15" customHeight="1">
      <c r="E101" s="1007" t="s">
        <v>2642</v>
      </c>
      <c r="F101" s="936"/>
      <c r="G101" s="1012">
        <f>G96*G99*G100</f>
        <v>4655000</v>
      </c>
      <c r="L101" s="1018" t="str">
        <f>'Points System'!H723</f>
        <v>N/A</v>
      </c>
      <c r="M101" s="2578" t="s">
        <v>2528</v>
      </c>
      <c r="N101" s="2579"/>
    </row>
    <row r="102" spans="2:14" ht="15" customHeight="1">
      <c r="L102" s="1017" t="str">
        <f>'Points System'!H735</f>
        <v>N/A</v>
      </c>
      <c r="M102" s="2578" t="s">
        <v>2643</v>
      </c>
      <c r="N102" s="2579"/>
    </row>
    <row r="103" spans="2:14" ht="15" customHeight="1">
      <c r="C103" s="970" t="s">
        <v>2644</v>
      </c>
      <c r="L103" s="1017" t="str">
        <f>'Points System'!H751</f>
        <v>(i)</v>
      </c>
      <c r="M103" s="2578" t="s">
        <v>2645</v>
      </c>
      <c r="N103" s="2579"/>
    </row>
    <row r="104" spans="2:14" ht="15" customHeight="1" thickBot="1">
      <c r="C104" s="967" t="s">
        <v>2646</v>
      </c>
      <c r="G104" s="933"/>
      <c r="L104" s="1019" t="str">
        <f>'Points System'!H763</f>
        <v>(i)</v>
      </c>
      <c r="M104" s="2580" t="s">
        <v>2532</v>
      </c>
      <c r="N104" s="2581"/>
    </row>
    <row r="105" spans="2:14" ht="15" customHeight="1">
      <c r="C105" s="967" t="s">
        <v>2647</v>
      </c>
      <c r="G105" s="933"/>
    </row>
    <row r="106" spans="2:14" ht="15" customHeight="1">
      <c r="C106" s="967" t="s">
        <v>2648</v>
      </c>
      <c r="G106" s="933" t="s">
        <v>843</v>
      </c>
    </row>
    <row r="107" spans="2:14" ht="15" customHeight="1">
      <c r="C107" s="967" t="s">
        <v>2649</v>
      </c>
      <c r="G107" s="933"/>
    </row>
    <row r="108" spans="2:14" ht="15" customHeight="1"/>
    <row r="109" spans="2:14" ht="15" customHeight="1">
      <c r="B109" s="968"/>
      <c r="C109" s="967"/>
      <c r="E109" s="974" t="s">
        <v>2631</v>
      </c>
      <c r="G109" s="969" t="b">
        <f>COUNTIFS(G104:G107,"Yes")&gt;=1</f>
        <v>1</v>
      </c>
    </row>
    <row r="110" spans="2:14" ht="15" customHeight="1">
      <c r="E110" s="967"/>
    </row>
    <row r="111" spans="2:14" ht="15" customHeight="1">
      <c r="E111" s="974" t="s">
        <v>2636</v>
      </c>
      <c r="F111" s="1002" t="s">
        <v>2611</v>
      </c>
      <c r="G111" s="1003">
        <f>G29</f>
        <v>232.75</v>
      </c>
    </row>
    <row r="112" spans="2:14" ht="15" customHeight="1">
      <c r="E112" s="974" t="s">
        <v>2610</v>
      </c>
      <c r="F112" s="1002" t="s">
        <v>2611</v>
      </c>
      <c r="G112" s="1013">
        <v>25000</v>
      </c>
    </row>
    <row r="113" spans="2:9" ht="15" customHeight="1">
      <c r="E113" s="1007" t="s">
        <v>2650</v>
      </c>
      <c r="F113" s="936"/>
      <c r="G113" s="1012">
        <f>G109*G112*G96</f>
        <v>5818750</v>
      </c>
    </row>
    <row r="114" spans="2:9" ht="15" customHeight="1">
      <c r="C114" s="967"/>
      <c r="E114" s="967"/>
    </row>
    <row r="115" spans="2:9" ht="15" customHeight="1">
      <c r="E115" s="1007" t="s">
        <v>2651</v>
      </c>
      <c r="G115" s="1012">
        <f>G113+G101+G97</f>
        <v>16990750</v>
      </c>
    </row>
    <row r="116" spans="2:9" ht="15" customHeight="1"/>
    <row r="117" spans="2:9" ht="15" customHeight="1">
      <c r="B117" s="956" t="s">
        <v>1772</v>
      </c>
      <c r="C117" s="957"/>
      <c r="D117" s="957"/>
      <c r="E117" s="957"/>
      <c r="F117" s="957"/>
      <c r="G117" s="957"/>
      <c r="H117" s="957"/>
      <c r="I117" s="958"/>
    </row>
    <row r="118" spans="2:9" ht="15" customHeight="1"/>
    <row r="119" spans="2:9" ht="15" customHeight="1">
      <c r="C119" s="2613" t="s">
        <v>2652</v>
      </c>
      <c r="D119" s="2613"/>
      <c r="E119" s="2613"/>
      <c r="F119" s="2613"/>
    </row>
    <row r="120" spans="2:9" ht="15" customHeight="1">
      <c r="C120" s="2613"/>
      <c r="D120" s="2613"/>
      <c r="E120" s="2613"/>
      <c r="F120" s="2613"/>
      <c r="G120" s="933"/>
    </row>
    <row r="121" spans="2:9" ht="15" customHeight="1"/>
    <row r="122" spans="2:9" ht="15" customHeight="1">
      <c r="C122" s="934" t="s">
        <v>2653</v>
      </c>
      <c r="G122" s="2615"/>
      <c r="H122" s="2615"/>
    </row>
    <row r="123" spans="2:9" ht="15" customHeight="1">
      <c r="G123" s="2615"/>
      <c r="H123" s="2615"/>
    </row>
    <row r="124" spans="2:9" ht="15" customHeight="1">
      <c r="G124" s="2616"/>
      <c r="H124" s="2616"/>
    </row>
    <row r="125" spans="2:9" ht="15" customHeight="1">
      <c r="G125" s="1049"/>
      <c r="H125" s="1049"/>
    </row>
    <row r="126" spans="2:9" ht="15" customHeight="1">
      <c r="B126" s="956" t="s">
        <v>2654</v>
      </c>
      <c r="C126" s="957"/>
      <c r="D126" s="957"/>
      <c r="E126" s="957"/>
      <c r="F126" s="957"/>
      <c r="G126" s="957"/>
      <c r="H126" s="957"/>
      <c r="I126" s="958"/>
    </row>
    <row r="128" spans="2:9">
      <c r="E128" s="974" t="s">
        <v>929</v>
      </c>
      <c r="G128" s="934" t="str">
        <f>IF(Application!T189="","",Application!T189)</f>
        <v>Contra Costa</v>
      </c>
    </row>
    <row r="129" spans="2:9">
      <c r="E129" s="974"/>
      <c r="G129" s="968"/>
    </row>
    <row r="130" spans="2:9">
      <c r="E130" s="974" t="str">
        <f>"2-Bedroom "&amp;G128&amp;" County Basis Limit"</f>
        <v>2-Bedroom Contra Costa County Basis Limit</v>
      </c>
      <c r="G130" s="968">
        <f>Application!R988</f>
        <v>658400</v>
      </c>
    </row>
    <row r="131" spans="2:9">
      <c r="E131" s="974" t="s">
        <v>2655</v>
      </c>
      <c r="G131" s="968">
        <f>MEDIAN((Application!CU160:CU217))</f>
        <v>489600</v>
      </c>
    </row>
    <row r="132" spans="2:9" ht="15">
      <c r="D132" s="936"/>
      <c r="E132" s="1007" t="s">
        <v>2656</v>
      </c>
      <c r="F132" s="1023"/>
      <c r="G132" s="1024">
        <f>((G130-G131)/G131)*0.25</f>
        <v>8.6192810457516339E-2</v>
      </c>
      <c r="H132" s="932"/>
      <c r="I132" s="932"/>
    </row>
    <row r="133" spans="2:9">
      <c r="D133" s="935"/>
      <c r="E133" s="935"/>
    </row>
    <row r="134" spans="2:9" ht="15">
      <c r="B134" s="956" t="s">
        <v>2657</v>
      </c>
      <c r="C134" s="957"/>
      <c r="D134" s="957"/>
      <c r="E134" s="957"/>
      <c r="F134" s="957"/>
      <c r="G134" s="957"/>
      <c r="H134" s="957"/>
      <c r="I134" s="958"/>
    </row>
    <row r="136" spans="2:9">
      <c r="E136" s="974" t="s">
        <v>2613</v>
      </c>
      <c r="G136" s="934" t="b">
        <f>G37</f>
        <v>0</v>
      </c>
    </row>
    <row r="137" spans="2:9">
      <c r="E137" s="974" t="s">
        <v>2658</v>
      </c>
      <c r="G137" s="934" t="b">
        <f>OR('Points System'!B52="Yes", 'Points System'!B56="Yes",'Points System'!B58="Yes")</f>
        <v>0</v>
      </c>
    </row>
    <row r="138" spans="2:9">
      <c r="C138" s="2610" t="s">
        <v>2659</v>
      </c>
      <c r="D138" s="2610"/>
      <c r="E138" s="2610"/>
      <c r="F138" s="2610"/>
    </row>
    <row r="139" spans="2:9">
      <c r="B139" s="935"/>
      <c r="C139" s="2610"/>
      <c r="D139" s="2610"/>
      <c r="E139" s="2610"/>
      <c r="F139" s="2610"/>
      <c r="G139" s="933"/>
    </row>
    <row r="140" spans="2:9">
      <c r="B140" s="935"/>
      <c r="C140" s="935"/>
      <c r="D140" s="935"/>
      <c r="E140" s="935"/>
      <c r="F140" s="935"/>
    </row>
    <row r="141" spans="2:9" ht="14.25" customHeight="1">
      <c r="E141" s="974" t="s">
        <v>2660</v>
      </c>
      <c r="G141" s="1058"/>
    </row>
    <row r="143" spans="2:9">
      <c r="E143" s="974" t="s">
        <v>2661</v>
      </c>
      <c r="G143" s="1057">
        <f>IF(I9=0,0,G141/I9)</f>
        <v>0</v>
      </c>
    </row>
    <row r="144" spans="2:9">
      <c r="E144" s="974" t="s">
        <v>2662</v>
      </c>
      <c r="G144" s="1055">
        <f>I9*0.15</f>
        <v>3886930.9499999997</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12" workbookViewId="0">
      <selection activeCell="A45" sqref="A45:J46"/>
    </sheetView>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17" t="s">
        <v>2663</v>
      </c>
      <c r="B1" s="2617"/>
      <c r="C1" s="2617"/>
      <c r="D1" s="2617"/>
      <c r="E1" s="2617"/>
      <c r="F1" s="2617"/>
      <c r="G1" s="2617"/>
      <c r="H1" s="2617"/>
      <c r="I1" s="2617"/>
      <c r="J1" s="2617"/>
      <c r="K1" s="136"/>
      <c r="L1" s="136"/>
    </row>
    <row r="2" spans="1:12">
      <c r="A2" s="140"/>
      <c r="B2" s="140"/>
      <c r="C2" s="140"/>
      <c r="D2" s="140"/>
      <c r="E2" s="140"/>
      <c r="F2" s="140"/>
      <c r="G2" s="140"/>
      <c r="H2" s="140"/>
      <c r="I2" s="140"/>
      <c r="J2" s="140"/>
    </row>
    <row r="3" spans="1:12" ht="100.5">
      <c r="A3" s="329" t="s">
        <v>2664</v>
      </c>
      <c r="B3" s="329" t="s">
        <v>2665</v>
      </c>
      <c r="C3" s="329" t="s">
        <v>2666</v>
      </c>
      <c r="D3" s="1035" t="s">
        <v>2667</v>
      </c>
      <c r="E3" s="136"/>
      <c r="F3" s="1035" t="s">
        <v>2668</v>
      </c>
      <c r="G3" s="329" t="s">
        <v>2669</v>
      </c>
      <c r="H3" s="330"/>
      <c r="I3" s="329" t="s">
        <v>2670</v>
      </c>
      <c r="J3" s="329" t="s">
        <v>2671</v>
      </c>
      <c r="K3" s="136"/>
      <c r="L3" s="212"/>
    </row>
    <row r="4" spans="1:12">
      <c r="A4" s="331" t="str">
        <f>Application!B718</f>
        <v>1 Bedroom</v>
      </c>
      <c r="B4" s="972">
        <f>Application!G718</f>
        <v>20</v>
      </c>
      <c r="C4" s="1051"/>
      <c r="D4" s="331">
        <f>Application!O718</f>
        <v>851</v>
      </c>
      <c r="E4" s="332"/>
      <c r="F4" s="973"/>
      <c r="G4" s="331">
        <f>F4*B4</f>
        <v>0</v>
      </c>
      <c r="H4" s="332"/>
      <c r="I4" s="331" t="str">
        <f t="shared" ref="I4:I27" si="0">IF(F4=0,"",(F4-D4))</f>
        <v/>
      </c>
      <c r="J4" s="331" t="str">
        <f t="shared" ref="J4:J27" si="1">IF(F4=0,"",(I4*B4))</f>
        <v/>
      </c>
      <c r="K4" s="136"/>
      <c r="L4" s="212"/>
    </row>
    <row r="5" spans="1:12">
      <c r="A5" s="331" t="str">
        <f>Application!B719</f>
        <v>2 Bedrooms</v>
      </c>
      <c r="B5" s="972">
        <f>Application!G719</f>
        <v>7</v>
      </c>
      <c r="C5" s="1051"/>
      <c r="D5" s="331">
        <f>Application!O719</f>
        <v>1025</v>
      </c>
      <c r="E5" s="332"/>
      <c r="F5" s="973"/>
      <c r="G5" s="331">
        <f t="shared" ref="G5:G38" si="2">F5*B5</f>
        <v>0</v>
      </c>
      <c r="H5" s="332"/>
      <c r="I5" s="331" t="str">
        <f t="shared" si="0"/>
        <v/>
      </c>
      <c r="J5" s="331" t="str">
        <f t="shared" si="1"/>
        <v/>
      </c>
      <c r="K5" s="136"/>
      <c r="L5" s="212"/>
    </row>
    <row r="6" spans="1:12">
      <c r="A6" s="331" t="str">
        <f>Application!B720</f>
        <v>3 Bedrooms</v>
      </c>
      <c r="B6" s="972">
        <f>Application!G720</f>
        <v>8</v>
      </c>
      <c r="C6" s="1051"/>
      <c r="D6" s="331">
        <f>Application!O720</f>
        <v>1193</v>
      </c>
      <c r="E6" s="332"/>
      <c r="F6" s="973"/>
      <c r="G6" s="331">
        <f t="shared" si="2"/>
        <v>0</v>
      </c>
      <c r="H6" s="332"/>
      <c r="I6" s="331" t="str">
        <f t="shared" si="0"/>
        <v/>
      </c>
      <c r="J6" s="331" t="str">
        <f t="shared" si="1"/>
        <v/>
      </c>
      <c r="K6" s="136"/>
      <c r="L6" s="212"/>
    </row>
    <row r="7" spans="1:12">
      <c r="A7" s="331" t="str">
        <f>Application!B721</f>
        <v>1 Bedroom</v>
      </c>
      <c r="B7" s="972">
        <f>Application!G721</f>
        <v>9</v>
      </c>
      <c r="C7" s="1051"/>
      <c r="D7" s="331">
        <f>Application!O721</f>
        <v>1450</v>
      </c>
      <c r="E7" s="332"/>
      <c r="F7" s="973"/>
      <c r="G7" s="331">
        <f t="shared" si="2"/>
        <v>0</v>
      </c>
      <c r="H7" s="332"/>
      <c r="I7" s="331" t="str">
        <f t="shared" si="0"/>
        <v/>
      </c>
      <c r="J7" s="331" t="str">
        <f t="shared" si="1"/>
        <v/>
      </c>
      <c r="K7" s="136"/>
      <c r="L7" s="212"/>
    </row>
    <row r="8" spans="1:12">
      <c r="A8" s="331" t="str">
        <f>Application!B722</f>
        <v>2 Bedrooms</v>
      </c>
      <c r="B8" s="972">
        <f>Application!G722</f>
        <v>5</v>
      </c>
      <c r="C8" s="1051"/>
      <c r="D8" s="331">
        <f>Application!O722</f>
        <v>1744</v>
      </c>
      <c r="E8" s="332"/>
      <c r="F8" s="973"/>
      <c r="G8" s="331">
        <f t="shared" si="2"/>
        <v>0</v>
      </c>
      <c r="H8" s="332"/>
      <c r="I8" s="331" t="str">
        <f t="shared" si="0"/>
        <v/>
      </c>
      <c r="J8" s="331" t="str">
        <f t="shared" si="1"/>
        <v/>
      </c>
      <c r="K8" s="136"/>
      <c r="L8" s="212"/>
    </row>
    <row r="9" spans="1:12">
      <c r="A9" s="331" t="str">
        <f>Application!B723</f>
        <v>3 Bedrooms</v>
      </c>
      <c r="B9" s="972">
        <f>Application!G723</f>
        <v>6</v>
      </c>
      <c r="C9" s="1051"/>
      <c r="D9" s="331">
        <f>Application!O723</f>
        <v>2024</v>
      </c>
      <c r="E9" s="332"/>
      <c r="F9" s="973"/>
      <c r="G9" s="331">
        <f t="shared" si="2"/>
        <v>0</v>
      </c>
      <c r="H9" s="332"/>
      <c r="I9" s="331" t="str">
        <f t="shared" si="0"/>
        <v/>
      </c>
      <c r="J9" s="331" t="str">
        <f t="shared" si="1"/>
        <v/>
      </c>
      <c r="K9" s="136"/>
      <c r="L9" s="212"/>
    </row>
    <row r="10" spans="1:12">
      <c r="A10" s="331" t="str">
        <f>Application!B724</f>
        <v>1 Bedroom</v>
      </c>
      <c r="B10" s="972">
        <f>Application!G724</f>
        <v>37</v>
      </c>
      <c r="C10" s="1051"/>
      <c r="D10" s="331">
        <f>Application!O724</f>
        <v>1750</v>
      </c>
      <c r="E10" s="332"/>
      <c r="F10" s="973"/>
      <c r="G10" s="331">
        <f t="shared" si="2"/>
        <v>0</v>
      </c>
      <c r="H10" s="332"/>
      <c r="I10" s="331" t="str">
        <f t="shared" si="0"/>
        <v/>
      </c>
      <c r="J10" s="331" t="str">
        <f t="shared" si="1"/>
        <v/>
      </c>
      <c r="K10" s="136"/>
      <c r="L10" s="212"/>
    </row>
    <row r="11" spans="1:12">
      <c r="A11" s="331" t="str">
        <f>Application!B725</f>
        <v>2 Bedrooms</v>
      </c>
      <c r="B11" s="972">
        <f>Application!G725</f>
        <v>21</v>
      </c>
      <c r="C11" s="1051"/>
      <c r="D11" s="331">
        <f>Application!O725</f>
        <v>2104</v>
      </c>
      <c r="E11" s="332"/>
      <c r="F11" s="973"/>
      <c r="G11" s="331">
        <f t="shared" si="2"/>
        <v>0</v>
      </c>
      <c r="H11" s="332"/>
      <c r="I11" s="331" t="str">
        <f t="shared" si="0"/>
        <v/>
      </c>
      <c r="J11" s="331" t="str">
        <f t="shared" si="1"/>
        <v/>
      </c>
      <c r="K11" s="136"/>
      <c r="L11" s="212"/>
    </row>
    <row r="12" spans="1:12">
      <c r="A12" s="331" t="str">
        <f>Application!B726</f>
        <v>3 Bedrooms</v>
      </c>
      <c r="B12" s="972">
        <f>Application!G726</f>
        <v>21</v>
      </c>
      <c r="C12" s="1051"/>
      <c r="D12" s="331">
        <f>Application!O726</f>
        <v>2440</v>
      </c>
      <c r="E12" s="332"/>
      <c r="F12" s="973"/>
      <c r="G12" s="331">
        <f t="shared" si="2"/>
        <v>0</v>
      </c>
      <c r="H12" s="332"/>
      <c r="I12" s="331" t="str">
        <f t="shared" si="0"/>
        <v/>
      </c>
      <c r="J12" s="331" t="str">
        <f t="shared" si="1"/>
        <v/>
      </c>
      <c r="K12" s="136"/>
      <c r="L12" s="212"/>
    </row>
    <row r="13" spans="1:12">
      <c r="A13" s="331" t="str">
        <f>Application!B727</f>
        <v>1 Bedroom</v>
      </c>
      <c r="B13" s="972">
        <f>Application!G727</f>
        <v>23</v>
      </c>
      <c r="C13" s="1051"/>
      <c r="D13" s="331">
        <f>Application!O727</f>
        <v>2050</v>
      </c>
      <c r="E13" s="332"/>
      <c r="F13" s="973"/>
      <c r="G13" s="331">
        <f t="shared" si="2"/>
        <v>0</v>
      </c>
      <c r="H13" s="332"/>
      <c r="I13" s="331" t="str">
        <f t="shared" si="0"/>
        <v/>
      </c>
      <c r="J13" s="331" t="str">
        <f t="shared" si="1"/>
        <v/>
      </c>
      <c r="K13" s="136"/>
      <c r="L13" s="212"/>
    </row>
    <row r="14" spans="1:12">
      <c r="A14" s="331" t="str">
        <f>Application!B728</f>
        <v>2 Bedrooms</v>
      </c>
      <c r="B14" s="972">
        <f>Application!G728</f>
        <v>16</v>
      </c>
      <c r="C14" s="1051"/>
      <c r="D14" s="331">
        <f>Application!O728</f>
        <v>2464</v>
      </c>
      <c r="E14" s="332"/>
      <c r="F14" s="973"/>
      <c r="G14" s="331">
        <f t="shared" si="2"/>
        <v>0</v>
      </c>
      <c r="H14" s="332"/>
      <c r="I14" s="331" t="str">
        <f t="shared" si="0"/>
        <v/>
      </c>
      <c r="J14" s="331" t="str">
        <f t="shared" si="1"/>
        <v/>
      </c>
      <c r="K14" s="136"/>
      <c r="L14" s="212"/>
    </row>
    <row r="15" spans="1:12">
      <c r="A15" s="331" t="str">
        <f>Application!B729</f>
        <v>3 Bedrooms</v>
      </c>
      <c r="B15" s="972">
        <f>Application!G729</f>
        <v>20</v>
      </c>
      <c r="C15" s="1051"/>
      <c r="D15" s="331">
        <f>Application!O729</f>
        <v>2855</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2672</v>
      </c>
      <c r="B40" s="334"/>
      <c r="C40" s="334"/>
      <c r="D40" s="335">
        <f>Application!O753</f>
        <v>371501</v>
      </c>
      <c r="E40" s="332"/>
      <c r="F40" s="332"/>
      <c r="G40" s="335">
        <f>SUM(G4:G38)*12</f>
        <v>0</v>
      </c>
      <c r="H40" s="336"/>
      <c r="I40" s="334"/>
      <c r="J40" s="335">
        <f>SUM(J4:J38)*12</f>
        <v>0</v>
      </c>
      <c r="K40" s="136"/>
      <c r="L40" s="213"/>
    </row>
    <row r="41" spans="1:12" ht="15">
      <c r="A41" s="333"/>
      <c r="B41" s="334"/>
      <c r="C41" s="334"/>
      <c r="D41" s="336"/>
      <c r="E41" s="332"/>
      <c r="F41" s="332"/>
      <c r="G41" s="336"/>
      <c r="H41" s="336"/>
      <c r="I41" s="334"/>
      <c r="J41" s="336"/>
      <c r="K41" s="136"/>
      <c r="L41" s="213"/>
    </row>
    <row r="42" spans="1:12">
      <c r="A42" s="211" t="s">
        <v>2673</v>
      </c>
    </row>
    <row r="43" spans="1:12">
      <c r="A43" s="2618" t="s">
        <v>2674</v>
      </c>
      <c r="B43" s="2618"/>
      <c r="C43" s="2618"/>
      <c r="D43" s="2618"/>
      <c r="E43" s="2618"/>
      <c r="F43" s="2618"/>
      <c r="G43" s="2618"/>
      <c r="H43" s="2618"/>
      <c r="I43" s="2618"/>
      <c r="J43" s="2618"/>
    </row>
    <row r="44" spans="1:12">
      <c r="A44" s="2618"/>
      <c r="B44" s="2618"/>
      <c r="C44" s="2618"/>
      <c r="D44" s="2618"/>
      <c r="E44" s="2618"/>
      <c r="F44" s="2618"/>
      <c r="G44" s="2618"/>
      <c r="H44" s="2618"/>
      <c r="I44" s="2618"/>
      <c r="J44" s="2618"/>
    </row>
    <row r="45" spans="1:12">
      <c r="A45" s="2618" t="s">
        <v>2675</v>
      </c>
      <c r="B45" s="2618"/>
      <c r="C45" s="2618"/>
      <c r="D45" s="2618"/>
      <c r="E45" s="2618"/>
      <c r="F45" s="2618"/>
      <c r="G45" s="2618"/>
      <c r="H45" s="2618"/>
      <c r="I45" s="2618"/>
      <c r="J45" s="2618"/>
    </row>
    <row r="46" spans="1:12">
      <c r="A46" s="2618"/>
      <c r="B46" s="2618"/>
      <c r="C46" s="2618"/>
      <c r="D46" s="2618"/>
      <c r="E46" s="2618"/>
      <c r="F46" s="2618"/>
      <c r="G46" s="2618"/>
      <c r="H46" s="2618"/>
      <c r="I46" s="2618"/>
      <c r="J46" s="261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view="pageBreakPreview" zoomScale="60" zoomScaleNormal="70" workbookViewId="0">
      <selection activeCell="D40" sqref="D40"/>
    </sheetView>
  </sheetViews>
  <sheetFormatPr defaultColWidth="0" defaultRowHeight="12.75" zeroHeight="1"/>
  <cols>
    <col min="1" max="1" width="3.7109375" customWidth="1"/>
    <col min="2" max="2" width="30.5703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2676</v>
      </c>
      <c r="B1" s="141"/>
    </row>
    <row r="2" spans="1:34"/>
    <row r="3" spans="1:34" ht="15.75">
      <c r="A3" s="142" t="s">
        <v>2677</v>
      </c>
      <c r="B3" s="142"/>
      <c r="C3" s="163" t="s">
        <v>2678</v>
      </c>
      <c r="D3" s="12"/>
      <c r="E3" s="164" t="s">
        <v>2679</v>
      </c>
      <c r="F3" s="135"/>
      <c r="G3" s="164" t="s">
        <v>2680</v>
      </c>
      <c r="H3" s="135"/>
      <c r="I3" s="164" t="s">
        <v>2681</v>
      </c>
      <c r="J3" s="135"/>
      <c r="K3" s="164" t="s">
        <v>2682</v>
      </c>
      <c r="L3" s="135"/>
      <c r="M3" s="164" t="s">
        <v>2683</v>
      </c>
      <c r="N3" s="135"/>
      <c r="O3" s="164" t="s">
        <v>2684</v>
      </c>
      <c r="P3" s="135"/>
      <c r="Q3" s="164" t="s">
        <v>2685</v>
      </c>
      <c r="R3" s="135"/>
      <c r="S3" s="164" t="s">
        <v>2686</v>
      </c>
      <c r="T3" s="135"/>
      <c r="U3" s="164" t="s">
        <v>2687</v>
      </c>
      <c r="V3" s="135"/>
      <c r="W3" s="164" t="s">
        <v>2688</v>
      </c>
      <c r="X3" s="135"/>
      <c r="Y3" s="164" t="s">
        <v>2689</v>
      </c>
      <c r="Z3" s="135"/>
      <c r="AA3" s="164" t="s">
        <v>2690</v>
      </c>
      <c r="AB3" s="135"/>
      <c r="AC3" s="164" t="s">
        <v>2691</v>
      </c>
      <c r="AD3" s="135"/>
      <c r="AE3" s="164" t="s">
        <v>2692</v>
      </c>
      <c r="AF3" s="135"/>
      <c r="AG3" s="164" t="s">
        <v>2693</v>
      </c>
      <c r="AH3" s="12"/>
    </row>
    <row r="4" spans="1:34" s="148" customFormat="1" ht="14.25">
      <c r="A4" s="148" t="s">
        <v>2694</v>
      </c>
      <c r="C4" s="1218">
        <v>1.0249999999999999</v>
      </c>
      <c r="E4" s="148">
        <f>Application!Y801</f>
        <v>4458012</v>
      </c>
      <c r="G4" s="148">
        <f>E4*$C$4</f>
        <v>4569462.3</v>
      </c>
      <c r="I4" s="148">
        <f>G4*$C$4</f>
        <v>4683698.857499999</v>
      </c>
      <c r="K4" s="148">
        <f>I4*$C$4</f>
        <v>4800791.3289374989</v>
      </c>
      <c r="M4" s="148">
        <f>K4*$C$4</f>
        <v>4920811.112160936</v>
      </c>
      <c r="O4" s="148">
        <f>M4*$C$4</f>
        <v>5043831.3899649587</v>
      </c>
      <c r="Q4" s="148">
        <f>O4*$C$4</f>
        <v>5169927.1747140819</v>
      </c>
      <c r="S4" s="148">
        <f>Q4*$C$4</f>
        <v>5299175.3540819334</v>
      </c>
      <c r="U4" s="148">
        <f>S4*$C$4</f>
        <v>5431654.7379339812</v>
      </c>
      <c r="W4" s="148">
        <f>U4*$C$4</f>
        <v>5567446.1063823299</v>
      </c>
      <c r="Y4" s="148">
        <f>W4*$C$4</f>
        <v>5706632.2590418877</v>
      </c>
      <c r="AA4" s="148">
        <f>Y4*$C$4</f>
        <v>5849298.065517934</v>
      </c>
      <c r="AC4" s="148">
        <f>AA4*$C$4</f>
        <v>5995530.517155882</v>
      </c>
      <c r="AE4" s="148">
        <f>AC4*$C$4</f>
        <v>6145418.7800847786</v>
      </c>
      <c r="AG4" s="148">
        <f>AE4*$C$4</f>
        <v>6299054.2495868979</v>
      </c>
    </row>
    <row r="5" spans="1:34" s="140" customFormat="1" ht="14.25">
      <c r="B5" s="140" t="s">
        <v>2262</v>
      </c>
      <c r="C5" s="1219">
        <f>IF(Application!$D$211="Special Needs",(((0.1*Application!$T$212)+(0.05*(1-Application!$T$212)))),0.05)</f>
        <v>0.05</v>
      </c>
      <c r="E5" s="150">
        <f>-E4*$C$5</f>
        <v>-222900.6</v>
      </c>
      <c r="F5" s="150"/>
      <c r="G5" s="150">
        <f>-G4*$C$5</f>
        <v>-228473.11499999999</v>
      </c>
      <c r="H5" s="150"/>
      <c r="I5" s="150">
        <f>-I4*$C$5</f>
        <v>-234184.94287499995</v>
      </c>
      <c r="J5" s="150"/>
      <c r="K5" s="150">
        <f>-K4*$C$5</f>
        <v>-240039.56644687496</v>
      </c>
      <c r="L5" s="150"/>
      <c r="M5" s="150">
        <f>-M4*$C$5</f>
        <v>-246040.55560804682</v>
      </c>
      <c r="N5" s="150"/>
      <c r="O5" s="150">
        <f>-O4*$C$5</f>
        <v>-252191.56949824793</v>
      </c>
      <c r="P5" s="150"/>
      <c r="Q5" s="150">
        <f>-Q4*$C$5</f>
        <v>-258496.3587357041</v>
      </c>
      <c r="R5" s="150"/>
      <c r="S5" s="150">
        <f>-S4*$C$5</f>
        <v>-264958.76770409668</v>
      </c>
      <c r="T5" s="150"/>
      <c r="U5" s="150">
        <f>-U4*$C$5</f>
        <v>-271582.73689669906</v>
      </c>
      <c r="V5" s="150"/>
      <c r="W5" s="150">
        <f>-W4*$C$5</f>
        <v>-278372.30531911651</v>
      </c>
      <c r="X5" s="150"/>
      <c r="Y5" s="150">
        <f>-Y4*$C$5</f>
        <v>-285331.61295209441</v>
      </c>
      <c r="Z5" s="150"/>
      <c r="AA5" s="150">
        <f>-AA4*$C$5</f>
        <v>-292464.90327589674</v>
      </c>
      <c r="AB5" s="150"/>
      <c r="AC5" s="150">
        <f>-AC4*$C$5</f>
        <v>-299776.5258577941</v>
      </c>
      <c r="AD5" s="150"/>
      <c r="AE5" s="150">
        <f>-AE4*$C$5</f>
        <v>-307270.93900423893</v>
      </c>
      <c r="AF5" s="150"/>
      <c r="AG5" s="150">
        <f>-AG4*$C$5</f>
        <v>-314952.71247934492</v>
      </c>
    </row>
    <row r="6" spans="1:34" s="140" customFormat="1" ht="14.25">
      <c r="A6" s="140" t="s">
        <v>2695</v>
      </c>
      <c r="C6" s="1218">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25">
      <c r="B7" s="140" t="s">
        <v>2262</v>
      </c>
      <c r="C7" s="1219">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25">
      <c r="A8" s="140" t="s">
        <v>215</v>
      </c>
      <c r="C8" s="1218">
        <v>1.0249999999999999</v>
      </c>
      <c r="E8" s="151">
        <f>Application!Z817</f>
        <v>95000</v>
      </c>
      <c r="F8" s="151"/>
      <c r="G8" s="151">
        <f>E8*$C$8</f>
        <v>97374.999999999985</v>
      </c>
      <c r="H8" s="151"/>
      <c r="I8" s="151">
        <f>G8*$C$8</f>
        <v>99809.374999999971</v>
      </c>
      <c r="J8" s="151"/>
      <c r="K8" s="151">
        <f>I8*$C$8</f>
        <v>102304.60937499996</v>
      </c>
      <c r="L8" s="151"/>
      <c r="M8" s="151">
        <f>K8*$C$8</f>
        <v>104862.22460937494</v>
      </c>
      <c r="N8" s="151"/>
      <c r="O8" s="151">
        <f>M8*$C$8</f>
        <v>107483.78022460931</v>
      </c>
      <c r="P8" s="151"/>
      <c r="Q8" s="151">
        <f>O8*$C$8</f>
        <v>110170.87473022453</v>
      </c>
      <c r="R8" s="151"/>
      <c r="S8" s="151">
        <f>Q8*$C$8</f>
        <v>112925.14659848013</v>
      </c>
      <c r="T8" s="151"/>
      <c r="U8" s="151">
        <f>S8*$C$8</f>
        <v>115748.27526344212</v>
      </c>
      <c r="V8" s="151"/>
      <c r="W8" s="151">
        <f>U8*$C$8</f>
        <v>118641.98214502816</v>
      </c>
      <c r="X8" s="151"/>
      <c r="Y8" s="151">
        <f>W8*$C$8</f>
        <v>121608.03169865385</v>
      </c>
      <c r="Z8" s="151"/>
      <c r="AA8" s="151">
        <f>Y8*$C$8</f>
        <v>124648.23249112019</v>
      </c>
      <c r="AB8" s="151"/>
      <c r="AC8" s="151">
        <f>AA8*$C$8</f>
        <v>127764.43830339819</v>
      </c>
      <c r="AD8" s="151"/>
      <c r="AE8" s="151">
        <f>AC8*$C$8</f>
        <v>130958.54926098313</v>
      </c>
      <c r="AF8" s="151"/>
      <c r="AG8" s="151">
        <f>AE8*$C$8</f>
        <v>134232.51299250769</v>
      </c>
    </row>
    <row r="9" spans="1:34" s="140" customFormat="1" ht="14.25">
      <c r="B9" s="140" t="s">
        <v>2262</v>
      </c>
      <c r="C9" s="1219">
        <f>IF(Application!$D$211="Special Needs",(((0.1*Application!$T$212)+(0.05*(1-Application!$T$212)))),0.05)</f>
        <v>0.05</v>
      </c>
      <c r="E9" s="150">
        <f>-E8*$C$9</f>
        <v>-4750</v>
      </c>
      <c r="F9" s="150"/>
      <c r="G9" s="150">
        <f>-G8*$C$9</f>
        <v>-4868.7499999999991</v>
      </c>
      <c r="H9" s="150"/>
      <c r="I9" s="150">
        <f>-I8*$C$9</f>
        <v>-4990.4687499999991</v>
      </c>
      <c r="J9" s="150"/>
      <c r="K9" s="150">
        <f>-K8*$C$9</f>
        <v>-5115.2304687499982</v>
      </c>
      <c r="L9" s="150"/>
      <c r="M9" s="150">
        <f>-M8*$C$9</f>
        <v>-5243.1112304687476</v>
      </c>
      <c r="N9" s="150"/>
      <c r="O9" s="150">
        <f>-O8*$C$9</f>
        <v>-5374.1890112304654</v>
      </c>
      <c r="P9" s="150"/>
      <c r="Q9" s="150">
        <f>-Q8*$C$9</f>
        <v>-5508.5437365112266</v>
      </c>
      <c r="R9" s="150"/>
      <c r="S9" s="150">
        <f>-S8*$C$9</f>
        <v>-5646.2573299240066</v>
      </c>
      <c r="T9" s="150"/>
      <c r="U9" s="150">
        <f>-U8*$C$9</f>
        <v>-5787.413763172106</v>
      </c>
      <c r="V9" s="150"/>
      <c r="W9" s="150">
        <f>-W8*$C$9</f>
        <v>-5932.099107251408</v>
      </c>
      <c r="X9" s="150"/>
      <c r="Y9" s="150">
        <f>-Y8*$C$9</f>
        <v>-6080.4015849326934</v>
      </c>
      <c r="Z9" s="150"/>
      <c r="AA9" s="150">
        <f>-AA8*$C$9</f>
        <v>-6232.4116245560099</v>
      </c>
      <c r="AB9" s="150"/>
      <c r="AC9" s="150">
        <f>-AC8*$C$9</f>
        <v>-6388.2219151699101</v>
      </c>
      <c r="AD9" s="150"/>
      <c r="AE9" s="150">
        <f>-AE8*$C$9</f>
        <v>-6547.9274630491564</v>
      </c>
      <c r="AF9" s="150"/>
      <c r="AG9" s="150">
        <f>-AG8*$C$9</f>
        <v>-6711.6256496253845</v>
      </c>
    </row>
    <row r="10" spans="1:34" s="140" customFormat="1" ht="14.25">
      <c r="A10" s="1032" t="s">
        <v>2696</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5">
      <c r="A11" s="152" t="s">
        <v>2697</v>
      </c>
      <c r="C11" s="145"/>
      <c r="E11" s="152">
        <f>SUM(E4:E10)</f>
        <v>4325361.4000000004</v>
      </c>
      <c r="G11" s="152">
        <f>SUM(G4:G10)</f>
        <v>4433495.4349999996</v>
      </c>
      <c r="I11" s="152">
        <f>SUM(I4:I10)</f>
        <v>4544332.8208749993</v>
      </c>
      <c r="K11" s="152">
        <f>SUM(K4:K10)</f>
        <v>4657941.1413968736</v>
      </c>
      <c r="M11" s="152">
        <f>SUM(M4:M10)</f>
        <v>4774389.6699317954</v>
      </c>
      <c r="O11" s="152">
        <f>SUM(O4:O10)</f>
        <v>4893749.4116800893</v>
      </c>
      <c r="Q11" s="152">
        <f>SUM(Q4:Q10)</f>
        <v>5016093.1469720919</v>
      </c>
      <c r="S11" s="152">
        <f>SUM(S4:S10)</f>
        <v>5141495.4756463924</v>
      </c>
      <c r="U11" s="152">
        <f>SUM(U4:U10)</f>
        <v>5270032.8625375517</v>
      </c>
      <c r="W11" s="152">
        <f>SUM(W4:W10)</f>
        <v>5401783.6841009902</v>
      </c>
      <c r="Y11" s="152">
        <f>SUM(Y4:Y10)</f>
        <v>5536828.2762035141</v>
      </c>
      <c r="AA11" s="152">
        <f>SUM(AA4:AA10)</f>
        <v>5675248.9831086006</v>
      </c>
      <c r="AC11" s="152">
        <f>SUM(AC4:AC10)</f>
        <v>5817130.2076863162</v>
      </c>
      <c r="AE11" s="152">
        <f>SUM(AE4:AE10)</f>
        <v>5962558.462878474</v>
      </c>
      <c r="AG11" s="152">
        <f>SUM(AG4:AG10)</f>
        <v>6111622.4244504357</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2698</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2699</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2700</v>
      </c>
      <c r="C15" s="863"/>
      <c r="E15" s="148">
        <f>Application!W847</f>
        <v>112150</v>
      </c>
      <c r="G15" s="148">
        <f>E15*$C$14</f>
        <v>116075.24999999999</v>
      </c>
      <c r="I15" s="148">
        <f>G15*$C$14</f>
        <v>120137.88374999998</v>
      </c>
      <c r="K15" s="148">
        <f>I15*$C$14</f>
        <v>124342.70968124997</v>
      </c>
      <c r="M15" s="148">
        <f>K15*$C$14</f>
        <v>128694.7045200937</v>
      </c>
      <c r="O15" s="148">
        <f>M15*$C$14</f>
        <v>133199.01917829696</v>
      </c>
      <c r="Q15" s="148">
        <f>O15*$C$14</f>
        <v>137860.98484953734</v>
      </c>
      <c r="S15" s="148">
        <f>Q15*$C$14</f>
        <v>142686.11931927115</v>
      </c>
      <c r="U15" s="148">
        <f>S15*$C$14</f>
        <v>147680.13349544563</v>
      </c>
      <c r="W15" s="148">
        <f>U15*$C$14</f>
        <v>152848.9381677862</v>
      </c>
      <c r="Y15" s="148">
        <f>W15*$C$14</f>
        <v>158198.65100365871</v>
      </c>
      <c r="AA15" s="148">
        <f>Y15*$C$14</f>
        <v>163735.60378878674</v>
      </c>
      <c r="AC15" s="148">
        <f>AA15*$C$14</f>
        <v>169466.34992139426</v>
      </c>
      <c r="AE15" s="148">
        <f>AC15*$C$14</f>
        <v>175397.67216864304</v>
      </c>
      <c r="AG15" s="148">
        <f>AE15*$C$14</f>
        <v>181536.59069454554</v>
      </c>
    </row>
    <row r="16" spans="1:34" s="140" customFormat="1" ht="14.25">
      <c r="A16" s="140" t="s">
        <v>1547</v>
      </c>
      <c r="C16" s="855"/>
      <c r="E16" s="151">
        <f>Application!W849</f>
        <v>117639</v>
      </c>
      <c r="F16" s="151"/>
      <c r="G16" s="151">
        <f t="shared" ref="G16:AG21" si="0">E16*$C$14</f>
        <v>121756.36499999999</v>
      </c>
      <c r="H16" s="151"/>
      <c r="I16" s="151">
        <f t="shared" si="0"/>
        <v>126017.83777499998</v>
      </c>
      <c r="J16" s="151"/>
      <c r="K16" s="151">
        <f t="shared" si="0"/>
        <v>130428.46209712497</v>
      </c>
      <c r="L16" s="151"/>
      <c r="M16" s="151">
        <f t="shared" si="0"/>
        <v>134993.45827052434</v>
      </c>
      <c r="N16" s="151"/>
      <c r="O16" s="151">
        <f t="shared" si="0"/>
        <v>139718.22930999269</v>
      </c>
      <c r="P16" s="151"/>
      <c r="Q16" s="151">
        <f t="shared" si="0"/>
        <v>144608.36733584243</v>
      </c>
      <c r="R16" s="151"/>
      <c r="S16" s="151">
        <f t="shared" si="0"/>
        <v>149669.6601925969</v>
      </c>
      <c r="T16" s="151"/>
      <c r="U16" s="151">
        <f t="shared" si="0"/>
        <v>154908.09829933778</v>
      </c>
      <c r="V16" s="151"/>
      <c r="W16" s="151">
        <f t="shared" si="0"/>
        <v>160329.88173981459</v>
      </c>
      <c r="X16" s="151"/>
      <c r="Y16" s="151">
        <f t="shared" si="0"/>
        <v>165941.42760070809</v>
      </c>
      <c r="Z16" s="151"/>
      <c r="AA16" s="151">
        <f t="shared" si="0"/>
        <v>171749.37756673287</v>
      </c>
      <c r="AB16" s="151"/>
      <c r="AC16" s="151">
        <f t="shared" si="0"/>
        <v>177760.60578156851</v>
      </c>
      <c r="AD16" s="151"/>
      <c r="AE16" s="151">
        <f t="shared" si="0"/>
        <v>183982.22698392338</v>
      </c>
      <c r="AF16" s="151"/>
      <c r="AG16" s="151">
        <f t="shared" si="0"/>
        <v>190421.60492836067</v>
      </c>
    </row>
    <row r="17" spans="1:33" s="140" customFormat="1" ht="14.25">
      <c r="A17" s="140" t="s">
        <v>230</v>
      </c>
      <c r="C17" s="855"/>
      <c r="E17" s="151">
        <f>Application!W855</f>
        <v>195000</v>
      </c>
      <c r="F17" s="151"/>
      <c r="G17" s="151">
        <f t="shared" si="0"/>
        <v>201824.99999999997</v>
      </c>
      <c r="H17" s="151"/>
      <c r="I17" s="151">
        <f t="shared" si="0"/>
        <v>208888.87499999994</v>
      </c>
      <c r="J17" s="151"/>
      <c r="K17" s="151">
        <f t="shared" si="0"/>
        <v>216199.98562499991</v>
      </c>
      <c r="L17" s="151"/>
      <c r="M17" s="151">
        <f t="shared" si="0"/>
        <v>223766.9851218749</v>
      </c>
      <c r="N17" s="151"/>
      <c r="O17" s="151">
        <f t="shared" si="0"/>
        <v>231598.82960114049</v>
      </c>
      <c r="P17" s="151"/>
      <c r="Q17" s="151">
        <f t="shared" si="0"/>
        <v>239704.78863718038</v>
      </c>
      <c r="R17" s="151"/>
      <c r="S17" s="151">
        <f t="shared" si="0"/>
        <v>248094.45623948166</v>
      </c>
      <c r="T17" s="151"/>
      <c r="U17" s="151">
        <f t="shared" si="0"/>
        <v>256777.7622078635</v>
      </c>
      <c r="V17" s="151"/>
      <c r="W17" s="151">
        <f t="shared" si="0"/>
        <v>265764.9838851387</v>
      </c>
      <c r="X17" s="151"/>
      <c r="Y17" s="151">
        <f t="shared" si="0"/>
        <v>275066.75832111854</v>
      </c>
      <c r="Z17" s="151"/>
      <c r="AA17" s="151">
        <f t="shared" si="0"/>
        <v>284694.09486235766</v>
      </c>
      <c r="AB17" s="151"/>
      <c r="AC17" s="151">
        <f t="shared" si="0"/>
        <v>294658.38818254013</v>
      </c>
      <c r="AD17" s="151"/>
      <c r="AE17" s="151">
        <f t="shared" si="0"/>
        <v>304971.431768929</v>
      </c>
      <c r="AF17" s="151"/>
      <c r="AG17" s="151">
        <f t="shared" si="0"/>
        <v>315645.4318808415</v>
      </c>
    </row>
    <row r="18" spans="1:33" s="140" customFormat="1" ht="14.25">
      <c r="A18" s="140" t="s">
        <v>2701</v>
      </c>
      <c r="C18" s="855"/>
      <c r="E18" s="151">
        <f>Application!W862</f>
        <v>337935</v>
      </c>
      <c r="F18" s="151"/>
      <c r="G18" s="151">
        <f t="shared" si="0"/>
        <v>349762.72499999998</v>
      </c>
      <c r="H18" s="151"/>
      <c r="I18" s="151">
        <f t="shared" si="0"/>
        <v>362004.42037499993</v>
      </c>
      <c r="J18" s="151"/>
      <c r="K18" s="151">
        <f t="shared" si="0"/>
        <v>374674.5750881249</v>
      </c>
      <c r="L18" s="151"/>
      <c r="M18" s="151">
        <f t="shared" si="0"/>
        <v>387788.18521620921</v>
      </c>
      <c r="N18" s="151"/>
      <c r="O18" s="151">
        <f t="shared" si="0"/>
        <v>401360.77169877652</v>
      </c>
      <c r="P18" s="151"/>
      <c r="Q18" s="151">
        <f t="shared" si="0"/>
        <v>415408.39870823367</v>
      </c>
      <c r="R18" s="151"/>
      <c r="S18" s="151">
        <f t="shared" si="0"/>
        <v>429947.69266302179</v>
      </c>
      <c r="T18" s="151"/>
      <c r="U18" s="151">
        <f t="shared" si="0"/>
        <v>444995.86190622754</v>
      </c>
      <c r="V18" s="151"/>
      <c r="W18" s="151">
        <f t="shared" si="0"/>
        <v>460570.7170729455</v>
      </c>
      <c r="X18" s="151"/>
      <c r="Y18" s="151">
        <f t="shared" si="0"/>
        <v>476690.69217049854</v>
      </c>
      <c r="Z18" s="151"/>
      <c r="AA18" s="151">
        <f t="shared" si="0"/>
        <v>493374.86639646598</v>
      </c>
      <c r="AB18" s="151"/>
      <c r="AC18" s="151">
        <f t="shared" si="0"/>
        <v>510642.98672034225</v>
      </c>
      <c r="AD18" s="151"/>
      <c r="AE18" s="151">
        <f t="shared" si="0"/>
        <v>528515.49125555414</v>
      </c>
      <c r="AF18" s="151"/>
      <c r="AG18" s="151">
        <f t="shared" si="0"/>
        <v>547013.53344949847</v>
      </c>
    </row>
    <row r="19" spans="1:33" s="140" customFormat="1" ht="14.25">
      <c r="A19" s="140" t="s">
        <v>1793</v>
      </c>
      <c r="C19" s="855"/>
      <c r="E19" s="151">
        <f>Application!W863</f>
        <v>195000</v>
      </c>
      <c r="F19" s="151"/>
      <c r="G19" s="151">
        <f t="shared" si="0"/>
        <v>201824.99999999997</v>
      </c>
      <c r="H19" s="151"/>
      <c r="I19" s="151">
        <f t="shared" si="0"/>
        <v>208888.87499999994</v>
      </c>
      <c r="J19" s="151"/>
      <c r="K19" s="151">
        <f t="shared" si="0"/>
        <v>216199.98562499991</v>
      </c>
      <c r="L19" s="151"/>
      <c r="M19" s="151">
        <f t="shared" si="0"/>
        <v>223766.9851218749</v>
      </c>
      <c r="N19" s="151"/>
      <c r="O19" s="151">
        <f t="shared" si="0"/>
        <v>231598.82960114049</v>
      </c>
      <c r="P19" s="151"/>
      <c r="Q19" s="151">
        <f t="shared" si="0"/>
        <v>239704.78863718038</v>
      </c>
      <c r="R19" s="151"/>
      <c r="S19" s="151">
        <f t="shared" si="0"/>
        <v>248094.45623948166</v>
      </c>
      <c r="T19" s="151"/>
      <c r="U19" s="151">
        <f t="shared" si="0"/>
        <v>256777.7622078635</v>
      </c>
      <c r="V19" s="151"/>
      <c r="W19" s="151">
        <f t="shared" si="0"/>
        <v>265764.9838851387</v>
      </c>
      <c r="X19" s="151"/>
      <c r="Y19" s="151">
        <f t="shared" si="0"/>
        <v>275066.75832111854</v>
      </c>
      <c r="Z19" s="151"/>
      <c r="AA19" s="151">
        <f t="shared" si="0"/>
        <v>284694.09486235766</v>
      </c>
      <c r="AB19" s="151"/>
      <c r="AC19" s="151">
        <f t="shared" si="0"/>
        <v>294658.38818254013</v>
      </c>
      <c r="AD19" s="151"/>
      <c r="AE19" s="151">
        <f t="shared" si="0"/>
        <v>304971.431768929</v>
      </c>
      <c r="AF19" s="151"/>
      <c r="AG19" s="151">
        <f t="shared" si="0"/>
        <v>315645.4318808415</v>
      </c>
    </row>
    <row r="20" spans="1:33" s="140" customFormat="1" ht="14.25">
      <c r="A20" s="140" t="s">
        <v>232</v>
      </c>
      <c r="C20" s="855"/>
      <c r="E20" s="151">
        <f>Application!W872</f>
        <v>185250</v>
      </c>
      <c r="F20" s="151"/>
      <c r="G20" s="151">
        <f t="shared" si="0"/>
        <v>191733.74999999997</v>
      </c>
      <c r="H20" s="151"/>
      <c r="I20" s="151">
        <f t="shared" si="0"/>
        <v>198444.43124999997</v>
      </c>
      <c r="J20" s="151"/>
      <c r="K20" s="151">
        <f t="shared" si="0"/>
        <v>205389.98634374994</v>
      </c>
      <c r="L20" s="151"/>
      <c r="M20" s="151">
        <f t="shared" si="0"/>
        <v>212578.63586578117</v>
      </c>
      <c r="N20" s="151"/>
      <c r="O20" s="151">
        <f t="shared" si="0"/>
        <v>220018.8881210835</v>
      </c>
      <c r="P20" s="151"/>
      <c r="Q20" s="151">
        <f t="shared" si="0"/>
        <v>227719.54920532141</v>
      </c>
      <c r="R20" s="151"/>
      <c r="S20" s="151">
        <f t="shared" si="0"/>
        <v>235689.73342750763</v>
      </c>
      <c r="T20" s="151"/>
      <c r="U20" s="151">
        <f t="shared" si="0"/>
        <v>243938.87409747037</v>
      </c>
      <c r="V20" s="151"/>
      <c r="W20" s="151">
        <f t="shared" si="0"/>
        <v>252476.7346908818</v>
      </c>
      <c r="X20" s="151"/>
      <c r="Y20" s="151">
        <f t="shared" si="0"/>
        <v>261313.42040506264</v>
      </c>
      <c r="Z20" s="151"/>
      <c r="AA20" s="151">
        <f t="shared" si="0"/>
        <v>270459.3901192398</v>
      </c>
      <c r="AB20" s="151"/>
      <c r="AC20" s="151">
        <f t="shared" si="0"/>
        <v>279925.46877341316</v>
      </c>
      <c r="AD20" s="151"/>
      <c r="AE20" s="151">
        <f t="shared" si="0"/>
        <v>289722.86018048262</v>
      </c>
      <c r="AF20" s="151"/>
      <c r="AG20" s="151">
        <f t="shared" si="0"/>
        <v>299863.16028679948</v>
      </c>
    </row>
    <row r="21" spans="1:33" s="140" customFormat="1" ht="14.25">
      <c r="A21" s="155" t="s">
        <v>2702</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5">
      <c r="A22" s="152" t="s">
        <v>2703</v>
      </c>
      <c r="C22" s="855"/>
      <c r="E22" s="152">
        <f>SUM(E15:E21)</f>
        <v>1142974</v>
      </c>
      <c r="G22" s="152">
        <f>SUM(G15:G21)</f>
        <v>1182978.0899999999</v>
      </c>
      <c r="I22" s="152">
        <f>SUM(I15:I21)</f>
        <v>1224382.3231499996</v>
      </c>
      <c r="K22" s="152">
        <f>SUM(K15:K21)</f>
        <v>1267235.7044602497</v>
      </c>
      <c r="M22" s="152">
        <f>SUM(M15:M21)</f>
        <v>1311588.9541163582</v>
      </c>
      <c r="O22" s="152">
        <f>SUM(O15:O21)</f>
        <v>1357494.5675104307</v>
      </c>
      <c r="Q22" s="152">
        <f>SUM(Q15:Q21)</f>
        <v>1405006.8773732956</v>
      </c>
      <c r="S22" s="152">
        <f>SUM(S15:S21)</f>
        <v>1454182.1180813608</v>
      </c>
      <c r="U22" s="152">
        <f>SUM(U15:U21)</f>
        <v>1505078.4922142082</v>
      </c>
      <c r="W22" s="152">
        <f>SUM(W15:W21)</f>
        <v>1557756.2394417056</v>
      </c>
      <c r="Y22" s="152">
        <f>SUM(Y15:Y21)</f>
        <v>1612277.7078221652</v>
      </c>
      <c r="AA22" s="152">
        <f>SUM(AA15:AA21)</f>
        <v>1668707.4275959409</v>
      </c>
      <c r="AC22" s="152">
        <f>SUM(AC15:AC21)</f>
        <v>1727112.1875617986</v>
      </c>
      <c r="AE22" s="152">
        <f>SUM(AE15:AE21)</f>
        <v>1787561.1141264616</v>
      </c>
      <c r="AG22" s="152">
        <f>SUM(AG15:AG21)</f>
        <v>1850125.7531208871</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c r="A24" s="140" t="s">
        <v>2704</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25">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c r="A26" s="140" t="s">
        <v>2705</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2313</v>
      </c>
      <c r="C27" s="1218">
        <v>1.0349999999999999</v>
      </c>
      <c r="E27" s="151">
        <f>Application!AC888</f>
        <v>32000</v>
      </c>
      <c r="F27" s="151"/>
      <c r="G27" s="151">
        <f>E27*$C$27</f>
        <v>33120</v>
      </c>
      <c r="H27" s="151"/>
      <c r="I27" s="151">
        <f>G27*$C$27</f>
        <v>34279.199999999997</v>
      </c>
      <c r="J27" s="151"/>
      <c r="K27" s="151">
        <f>I27*$C$27</f>
        <v>35478.971999999994</v>
      </c>
      <c r="L27" s="151"/>
      <c r="M27" s="151">
        <f>K27*$C$27</f>
        <v>36720.736019999989</v>
      </c>
      <c r="N27" s="151"/>
      <c r="O27" s="151">
        <f>M27*$C$27</f>
        <v>38005.961780699989</v>
      </c>
      <c r="P27" s="151"/>
      <c r="Q27" s="151">
        <f>O27*$C$27</f>
        <v>39336.170443024486</v>
      </c>
      <c r="R27" s="151"/>
      <c r="S27" s="151">
        <f>Q27*$C$27</f>
        <v>40712.936408530339</v>
      </c>
      <c r="T27" s="151"/>
      <c r="U27" s="151">
        <f>S27*$C$27</f>
        <v>42137.889182828898</v>
      </c>
      <c r="V27" s="151"/>
      <c r="W27" s="151">
        <f>U27*$C$27</f>
        <v>43612.715304227902</v>
      </c>
      <c r="X27" s="151"/>
      <c r="Y27" s="151">
        <f>W27*$C$27</f>
        <v>45139.160339875874</v>
      </c>
      <c r="Z27" s="151"/>
      <c r="AA27" s="151">
        <f>Y27*$C$27</f>
        <v>46719.030951771529</v>
      </c>
      <c r="AB27" s="151"/>
      <c r="AC27" s="151">
        <f>AA27*$C$27</f>
        <v>48354.197035083525</v>
      </c>
      <c r="AD27" s="151"/>
      <c r="AE27" s="151">
        <f>AC27*$C$27</f>
        <v>50046.593931311443</v>
      </c>
      <c r="AF27" s="151"/>
      <c r="AG27" s="151">
        <f>AE27*$C$27</f>
        <v>51798.224718907339</v>
      </c>
    </row>
    <row r="28" spans="1:33" s="140" customFormat="1" ht="14.25">
      <c r="A28" s="140" t="s">
        <v>2706</v>
      </c>
      <c r="C28" s="1218"/>
      <c r="E28" s="151">
        <f>Application!AC889</f>
        <v>58500</v>
      </c>
      <c r="F28" s="151"/>
      <c r="G28" s="151">
        <f>$E$28</f>
        <v>58500</v>
      </c>
      <c r="H28" s="151"/>
      <c r="I28" s="151">
        <f>$E$28</f>
        <v>58500</v>
      </c>
      <c r="J28" s="151"/>
      <c r="K28" s="151">
        <f>$E$28</f>
        <v>58500</v>
      </c>
      <c r="L28" s="151"/>
      <c r="M28" s="151">
        <f>$E$28</f>
        <v>58500</v>
      </c>
      <c r="N28" s="151"/>
      <c r="O28" s="151">
        <f>$E$28</f>
        <v>58500</v>
      </c>
      <c r="P28" s="151"/>
      <c r="Q28" s="151">
        <f>$E$28</f>
        <v>58500</v>
      </c>
      <c r="R28" s="151"/>
      <c r="S28" s="151">
        <f>$E$28</f>
        <v>58500</v>
      </c>
      <c r="T28" s="151"/>
      <c r="U28" s="151">
        <f>$E$28</f>
        <v>58500</v>
      </c>
      <c r="V28" s="151"/>
      <c r="W28" s="151">
        <f>$E$28</f>
        <v>58500</v>
      </c>
      <c r="X28" s="151"/>
      <c r="Y28" s="151">
        <f>$E$28</f>
        <v>58500</v>
      </c>
      <c r="Z28" s="151"/>
      <c r="AA28" s="151">
        <f>$E$28</f>
        <v>58500</v>
      </c>
      <c r="AB28" s="151"/>
      <c r="AC28" s="151">
        <f>$E$28</f>
        <v>58500</v>
      </c>
      <c r="AD28" s="151"/>
      <c r="AE28" s="151">
        <f>$E$28</f>
        <v>58500</v>
      </c>
      <c r="AF28" s="151"/>
      <c r="AG28" s="151">
        <f>$E$28</f>
        <v>58500</v>
      </c>
    </row>
    <row r="29" spans="1:33" s="140" customFormat="1" ht="14.25">
      <c r="A29" s="140" t="s">
        <v>2707</v>
      </c>
      <c r="C29" s="1218"/>
      <c r="E29" s="151">
        <f>Application!AC890</f>
        <v>0</v>
      </c>
      <c r="F29" s="151"/>
      <c r="G29" s="151">
        <f>$E$29</f>
        <v>0</v>
      </c>
      <c r="H29" s="151"/>
      <c r="I29" s="151">
        <f>$E$29</f>
        <v>0</v>
      </c>
      <c r="J29" s="151"/>
      <c r="K29" s="151">
        <f>$E$29</f>
        <v>0</v>
      </c>
      <c r="L29" s="151"/>
      <c r="M29" s="151">
        <f>$E$29</f>
        <v>0</v>
      </c>
      <c r="N29" s="151"/>
      <c r="O29" s="151">
        <f>$E$29</f>
        <v>0</v>
      </c>
      <c r="P29" s="151"/>
      <c r="Q29" s="151">
        <f>$E$29</f>
        <v>0</v>
      </c>
      <c r="R29" s="151"/>
      <c r="S29" s="151">
        <f>$E$29</f>
        <v>0</v>
      </c>
      <c r="T29" s="151"/>
      <c r="U29" s="151">
        <f>$E$29</f>
        <v>0</v>
      </c>
      <c r="V29" s="151"/>
      <c r="W29" s="151">
        <f>$E$29</f>
        <v>0</v>
      </c>
      <c r="X29" s="151"/>
      <c r="Y29" s="151">
        <f>$E$29</f>
        <v>0</v>
      </c>
      <c r="Z29" s="151"/>
      <c r="AA29" s="151">
        <f>$E$29</f>
        <v>0</v>
      </c>
      <c r="AB29" s="151"/>
      <c r="AC29" s="151">
        <f>$E$29</f>
        <v>0</v>
      </c>
      <c r="AD29" s="151"/>
      <c r="AE29" s="151">
        <f>$E$29</f>
        <v>0</v>
      </c>
      <c r="AF29" s="151"/>
      <c r="AG29" s="151">
        <f>$E$29</f>
        <v>0</v>
      </c>
    </row>
    <row r="30" spans="1:33" s="140" customFormat="1" ht="14.25">
      <c r="A30" s="140" t="s">
        <v>2708</v>
      </c>
      <c r="C30" s="1218">
        <v>1.02</v>
      </c>
      <c r="E30" s="151">
        <f>Application!AC891</f>
        <v>10000</v>
      </c>
      <c r="F30" s="151"/>
      <c r="G30" s="151">
        <f>E30*$C$30</f>
        <v>10200</v>
      </c>
      <c r="H30" s="151"/>
      <c r="I30" s="151">
        <f>G30*$C$30</f>
        <v>10404</v>
      </c>
      <c r="J30" s="151"/>
      <c r="K30" s="151">
        <f>I30*$C$30</f>
        <v>10612.08</v>
      </c>
      <c r="L30" s="151"/>
      <c r="M30" s="151">
        <f>K30*$C$30</f>
        <v>10824.321599999999</v>
      </c>
      <c r="N30" s="151"/>
      <c r="O30" s="151">
        <f>M30*$C$30</f>
        <v>11040.808031999999</v>
      </c>
      <c r="P30" s="151"/>
      <c r="Q30" s="151">
        <f>O30*$C$30</f>
        <v>11261.62419264</v>
      </c>
      <c r="R30" s="151"/>
      <c r="S30" s="151">
        <f>Q30*$C$30</f>
        <v>11486.8566764928</v>
      </c>
      <c r="T30" s="151"/>
      <c r="U30" s="151">
        <f>S30*$C$30</f>
        <v>11716.593810022656</v>
      </c>
      <c r="V30" s="151"/>
      <c r="W30" s="151">
        <f>U30*$C$30</f>
        <v>11950.925686223109</v>
      </c>
      <c r="X30" s="151"/>
      <c r="Y30" s="151">
        <f>W30*$C$30</f>
        <v>12189.944199947571</v>
      </c>
      <c r="Z30" s="151"/>
      <c r="AA30" s="151">
        <f>Y30*$C$30</f>
        <v>12433.743083946523</v>
      </c>
      <c r="AB30" s="151"/>
      <c r="AC30" s="151">
        <f>AA30*$C$30</f>
        <v>12682.417945625453</v>
      </c>
      <c r="AD30" s="151"/>
      <c r="AE30" s="151">
        <f>AC30*$C$30</f>
        <v>12936.066304537962</v>
      </c>
      <c r="AF30" s="151"/>
      <c r="AG30" s="151">
        <f>AE30*$C$30</f>
        <v>13194.787630628722</v>
      </c>
    </row>
    <row r="31" spans="1:33" s="140" customFormat="1" ht="14.25">
      <c r="A31" s="140" t="s">
        <v>2709</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25">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25">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1572</v>
      </c>
      <c r="C35" s="153"/>
      <c r="E35" s="152">
        <f>SUM(E22:E33)</f>
        <v>1243474</v>
      </c>
      <c r="G35" s="152">
        <f>SUM(G22:G33)</f>
        <v>1284798.0899999999</v>
      </c>
      <c r="I35" s="152">
        <f>SUM(I22:I33)</f>
        <v>1327565.5231499996</v>
      </c>
      <c r="K35" s="152">
        <f>SUM(K22:K33)</f>
        <v>1371826.7564602499</v>
      </c>
      <c r="M35" s="152">
        <f>SUM(M22:M33)</f>
        <v>1417634.0117363581</v>
      </c>
      <c r="O35" s="152">
        <f>SUM(O22:O33)</f>
        <v>1465041.3373231306</v>
      </c>
      <c r="Q35" s="152">
        <f>SUM(Q22:Q33)</f>
        <v>1514104.67200896</v>
      </c>
      <c r="S35" s="152">
        <f>SUM(S22:S33)</f>
        <v>1564881.9111663839</v>
      </c>
      <c r="U35" s="152">
        <f>SUM(U22:U33)</f>
        <v>1617432.9752070596</v>
      </c>
      <c r="W35" s="152">
        <f>SUM(W22:W33)</f>
        <v>1671819.8804321568</v>
      </c>
      <c r="Y35" s="152">
        <f>SUM(Y22:Y33)</f>
        <v>1728106.8123619887</v>
      </c>
      <c r="AA35" s="152">
        <f>SUM(AA22:AA33)</f>
        <v>1786360.2016316587</v>
      </c>
      <c r="AC35" s="152">
        <f>SUM(AC22:AC33)</f>
        <v>1846648.8025425076</v>
      </c>
      <c r="AE35" s="152">
        <f>SUM(AE22:AE33)</f>
        <v>1909043.774362311</v>
      </c>
      <c r="AG35" s="152">
        <f>SUM(AG22:AG33)</f>
        <v>1973618.7654704233</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2710</v>
      </c>
      <c r="C37" s="153"/>
      <c r="E37" s="152">
        <f>E11-E35</f>
        <v>3081887.4000000004</v>
      </c>
      <c r="G37" s="152">
        <f>G11-G35</f>
        <v>3148697.3449999997</v>
      </c>
      <c r="I37" s="152">
        <f>I11-I35</f>
        <v>3216767.2977249995</v>
      </c>
      <c r="K37" s="152">
        <f>K11-K35</f>
        <v>3286114.3849366237</v>
      </c>
      <c r="M37" s="152">
        <f>M11-M35</f>
        <v>3356755.6581954374</v>
      </c>
      <c r="O37" s="152">
        <f>O11-O35</f>
        <v>3428708.0743569587</v>
      </c>
      <c r="Q37" s="152">
        <f>Q11-Q35</f>
        <v>3501988.4749631318</v>
      </c>
      <c r="S37" s="152">
        <f>S11-S35</f>
        <v>3576613.5644800086</v>
      </c>
      <c r="U37" s="152">
        <f>U11-U35</f>
        <v>3652599.887330492</v>
      </c>
      <c r="W37" s="152">
        <f>W11-W35</f>
        <v>3729963.8036688333</v>
      </c>
      <c r="Y37" s="152">
        <f>Y11-Y35</f>
        <v>3808721.4638415254</v>
      </c>
      <c r="AA37" s="152">
        <f>AA11-AA35</f>
        <v>3888888.7814769419</v>
      </c>
      <c r="AC37" s="152">
        <f>AC11-AC35</f>
        <v>3970481.4051438086</v>
      </c>
      <c r="AE37" s="152">
        <f>AE11-AE35</f>
        <v>4053514.6885161633</v>
      </c>
      <c r="AG37" s="152">
        <f>AG11-AG35</f>
        <v>4138003.6589800124</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2711</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Cal Bank &amp; Trust</v>
      </c>
      <c r="B40" s="155"/>
      <c r="C40" s="149"/>
      <c r="E40" s="151">
        <f>Application!AF627</f>
        <v>2681019</v>
      </c>
      <c r="F40" s="151"/>
      <c r="G40" s="151">
        <f>$E$40</f>
        <v>2681019</v>
      </c>
      <c r="H40" s="151"/>
      <c r="I40" s="151">
        <f>$E$40</f>
        <v>2681019</v>
      </c>
      <c r="J40" s="151"/>
      <c r="K40" s="151">
        <f>$E$40</f>
        <v>2681019</v>
      </c>
      <c r="L40" s="151"/>
      <c r="M40" s="151">
        <f>$E$40</f>
        <v>2681019</v>
      </c>
      <c r="N40" s="151"/>
      <c r="O40" s="151">
        <f>$E$40</f>
        <v>2681019</v>
      </c>
      <c r="P40" s="151"/>
      <c r="Q40" s="151">
        <f>$E$40</f>
        <v>2681019</v>
      </c>
      <c r="R40" s="151"/>
      <c r="S40" s="151">
        <f>$E$40</f>
        <v>2681019</v>
      </c>
      <c r="T40" s="151"/>
      <c r="U40" s="151">
        <f>$E$40</f>
        <v>2681019</v>
      </c>
      <c r="V40" s="151"/>
      <c r="W40" s="151">
        <f>$E$40</f>
        <v>2681019</v>
      </c>
      <c r="X40" s="151"/>
      <c r="Y40" s="151">
        <f>$E$40</f>
        <v>2681019</v>
      </c>
      <c r="Z40" s="151"/>
      <c r="AA40" s="151">
        <f>$E$40</f>
        <v>2681019</v>
      </c>
      <c r="AB40" s="151"/>
      <c r="AC40" s="151">
        <f>$E$40</f>
        <v>2681019</v>
      </c>
      <c r="AD40" s="151"/>
      <c r="AE40" s="151">
        <f>$E$40</f>
        <v>2681019</v>
      </c>
      <c r="AF40" s="151"/>
      <c r="AG40" s="151">
        <f>$E$40</f>
        <v>2681019</v>
      </c>
    </row>
    <row r="41" spans="1:33" s="140" customFormat="1" ht="14.25">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25">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5">
      <c r="A43" s="152" t="s">
        <v>2712</v>
      </c>
      <c r="C43" s="153"/>
      <c r="E43" s="152">
        <f>SUM(E40:E42)</f>
        <v>2681019</v>
      </c>
      <c r="G43" s="152">
        <f>SUM(G40:G42)</f>
        <v>2681019</v>
      </c>
      <c r="I43" s="152">
        <f>SUM(I40:I42)</f>
        <v>2681019</v>
      </c>
      <c r="K43" s="152">
        <f>SUM(K40:K42)</f>
        <v>2681019</v>
      </c>
      <c r="M43" s="152">
        <f>SUM(M40:M42)</f>
        <v>2681019</v>
      </c>
      <c r="O43" s="152">
        <f>SUM(O40:O42)</f>
        <v>2681019</v>
      </c>
      <c r="Q43" s="152">
        <f>SUM(Q40:Q42)</f>
        <v>2681019</v>
      </c>
      <c r="S43" s="152">
        <f>SUM(S40:S42)</f>
        <v>2681019</v>
      </c>
      <c r="U43" s="152">
        <f>SUM(U40:U42)</f>
        <v>2681019</v>
      </c>
      <c r="W43" s="152">
        <f>SUM(W40:W42)</f>
        <v>2681019</v>
      </c>
      <c r="Y43" s="152">
        <f>SUM(Y40:Y42)</f>
        <v>2681019</v>
      </c>
      <c r="AA43" s="152">
        <f>SUM(AA40:AA42)</f>
        <v>2681019</v>
      </c>
      <c r="AC43" s="152">
        <f>SUM(AC40:AC42)</f>
        <v>2681019</v>
      </c>
      <c r="AE43" s="152">
        <f>SUM(AE40:AE42)</f>
        <v>2681019</v>
      </c>
      <c r="AG43" s="152">
        <f>SUM(AG40:AG42)</f>
        <v>2681019</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2713</v>
      </c>
      <c r="C45" s="153"/>
      <c r="E45" s="152">
        <f>E37-E43</f>
        <v>400868.40000000037</v>
      </c>
      <c r="G45" s="152">
        <f>G37-G43</f>
        <v>467678.34499999974</v>
      </c>
      <c r="I45" s="152">
        <f>I37-I43</f>
        <v>535748.29772499949</v>
      </c>
      <c r="K45" s="152">
        <f>K37-K43</f>
        <v>605095.38493662374</v>
      </c>
      <c r="M45" s="152">
        <f>M37-M43</f>
        <v>675736.6581954374</v>
      </c>
      <c r="O45" s="152">
        <f>O37-O43</f>
        <v>747689.07435695874</v>
      </c>
      <c r="Q45" s="152">
        <f>Q37-Q43</f>
        <v>820969.47496313183</v>
      </c>
      <c r="S45" s="152">
        <f>S37-S43</f>
        <v>895594.56448000856</v>
      </c>
      <c r="U45" s="152">
        <f>U37-U43</f>
        <v>971580.88733049203</v>
      </c>
      <c r="W45" s="152">
        <f>W37-W43</f>
        <v>1048944.8036688333</v>
      </c>
      <c r="Y45" s="152">
        <f>Y37-Y43</f>
        <v>1127702.4638415254</v>
      </c>
      <c r="AA45" s="152">
        <f>AA37-AA43</f>
        <v>1207869.7814769419</v>
      </c>
      <c r="AC45" s="152">
        <f>AC37-AC43</f>
        <v>1289462.4051438086</v>
      </c>
      <c r="AE45" s="152">
        <f>AE37-AE43</f>
        <v>1372495.6885161633</v>
      </c>
      <c r="AG45" s="152">
        <f>AG37-AG43</f>
        <v>1456984.6589800124</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2714</v>
      </c>
      <c r="C47" s="149"/>
      <c r="E47" s="156">
        <f>E45/(E4+E6+E8)</f>
        <v>8.8044661424129866E-2</v>
      </c>
      <c r="G47" s="156">
        <f>G45/(G4+G6+G8)</f>
        <v>0.10021312399298767</v>
      </c>
      <c r="I47" s="156">
        <f>I45/(I4+I6+I8)</f>
        <v>0.11199903327959823</v>
      </c>
      <c r="K47" s="156">
        <f>K45/(K4+K6+K8)</f>
        <v>0.12341088009484875</v>
      </c>
      <c r="M47" s="156">
        <f>M45/(M4+M6+M8)</f>
        <v>0.13445693997885097</v>
      </c>
      <c r="O47" s="156">
        <f>O45/(O4+O6+O8)</f>
        <v>0.14514527837158989</v>
      </c>
      <c r="Q47" s="156">
        <f>Q45/(Q4+Q6+Q8)</f>
        <v>0.1554837556566839</v>
      </c>
      <c r="S47" s="156">
        <f>S45/(S4+S6+S8)</f>
        <v>0.16548003208133585</v>
      </c>
      <c r="U47" s="156">
        <f>U45/(U4+U6+U8)</f>
        <v>0.17514157255549573</v>
      </c>
      <c r="W47" s="156">
        <f>W45/(W4+W6+W8)</f>
        <v>0.1844756513331646</v>
      </c>
      <c r="Y47" s="156">
        <f>Y45/(Y4+Y6+Y8)</f>
        <v>0.19348935657871419</v>
      </c>
      <c r="AA47" s="156">
        <f>AA45/(AA4+AA6+AA8)</f>
        <v>0.20218959482101312</v>
      </c>
      <c r="AC47" s="156">
        <f>AC45/(AC4+AC6+AC8)</f>
        <v>0.21058309529809216</v>
      </c>
      <c r="AE47" s="156">
        <f>AE45/(AE4+AE6+AE8)</f>
        <v>0.21867641419500661</v>
      </c>
      <c r="AG47" s="156">
        <f>AG45/(AG4+AG6+AG8)</f>
        <v>0.22647593877749653</v>
      </c>
    </row>
    <row r="48" spans="1:33" s="156" customFormat="1" ht="14.25">
      <c r="A48" s="156" t="s">
        <v>2715</v>
      </c>
      <c r="C48" s="149"/>
      <c r="E48" s="156">
        <f>E45/E43</f>
        <v>0.14952090977348551</v>
      </c>
      <c r="G48" s="156">
        <f>G45/G43</f>
        <v>0.17444051869830082</v>
      </c>
      <c r="I48" s="156">
        <f>I45/I43</f>
        <v>0.19983010106418472</v>
      </c>
      <c r="K48" s="156">
        <f>K45/K43</f>
        <v>0.22569604502490423</v>
      </c>
      <c r="M48" s="156">
        <f>M45/M43</f>
        <v>0.25204471068479462</v>
      </c>
      <c r="O48" s="156">
        <f>O45/O43</f>
        <v>0.27888242282391834</v>
      </c>
      <c r="Q48" s="156">
        <f>Q45/Q43</f>
        <v>0.30621546321123866</v>
      </c>
      <c r="S48" s="156">
        <f>S45/S43</f>
        <v>0.33405006248743802</v>
      </c>
      <c r="U48" s="156">
        <f>U45/U43</f>
        <v>0.3623923915983035</v>
      </c>
      <c r="W48" s="156">
        <f>W45/W43</f>
        <v>0.39124855275879555</v>
      </c>
      <c r="Y48" s="156">
        <f>Y45/Y43</f>
        <v>0.42062456992715286</v>
      </c>
      <c r="AA48" s="156">
        <f>AA45/AA43</f>
        <v>0.45052637876752905</v>
      </c>
      <c r="AC48" s="156">
        <f>AC45/AC43</f>
        <v>0.48095981607881505</v>
      </c>
      <c r="AE48" s="156">
        <f>AE45/AE43</f>
        <v>0.51193060866639262</v>
      </c>
      <c r="AG48" s="156">
        <f>AG45/AG43</f>
        <v>0.54344436163265253</v>
      </c>
    </row>
    <row r="49" spans="1:34" s="157" customFormat="1" ht="14.25">
      <c r="A49" s="157" t="s">
        <v>2268</v>
      </c>
      <c r="C49" s="158"/>
      <c r="E49" s="157">
        <f>E37/E43</f>
        <v>1.1495209097734855</v>
      </c>
      <c r="G49" s="157">
        <f>G37/G43</f>
        <v>1.1744405186983009</v>
      </c>
      <c r="I49" s="157">
        <f>I37/I43</f>
        <v>1.1998301010641848</v>
      </c>
      <c r="K49" s="157">
        <f>K37/K43</f>
        <v>1.2256960450249041</v>
      </c>
      <c r="M49" s="157">
        <f>M37/M43</f>
        <v>1.2520447106847947</v>
      </c>
      <c r="O49" s="157">
        <f>O37/O43</f>
        <v>1.2788824228239184</v>
      </c>
      <c r="Q49" s="157">
        <f>Q37/Q43</f>
        <v>1.3062154632112386</v>
      </c>
      <c r="S49" s="157">
        <f>S37/S43</f>
        <v>1.3340500624874381</v>
      </c>
      <c r="U49" s="157">
        <f>U37/U43</f>
        <v>1.3623923915983034</v>
      </c>
      <c r="W49" s="157">
        <f>W37/W43</f>
        <v>1.3912485527587957</v>
      </c>
      <c r="Y49" s="157">
        <f>Y37/Y43</f>
        <v>1.4206245699271529</v>
      </c>
      <c r="AA49" s="157">
        <f>AA37/AA43</f>
        <v>1.4505263787675291</v>
      </c>
      <c r="AC49" s="157">
        <f>AC37/AC43</f>
        <v>1.4809598160788151</v>
      </c>
      <c r="AE49" s="157">
        <f>AE37/AE43</f>
        <v>1.5119306086663926</v>
      </c>
      <c r="AG49" s="157">
        <f>AG37/AG43</f>
        <v>1.5434443616326525</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2716</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0" t="s">
        <v>998</v>
      </c>
      <c r="B52" s="2620"/>
      <c r="C52" s="2620"/>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2041</v>
      </c>
      <c r="C53" s="857"/>
      <c r="E53" s="858"/>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2717</v>
      </c>
      <c r="C54" s="852"/>
      <c r="E54" s="859"/>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row>
    <row r="55" spans="1:34" s="3" customFormat="1">
      <c r="A55" s="3" t="s">
        <v>2718</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2719</v>
      </c>
      <c r="C58" s="855"/>
      <c r="E58" s="854">
        <f>SUM(E53:E57)</f>
        <v>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2720</v>
      </c>
      <c r="C60" s="863"/>
      <c r="E60" s="856">
        <f>E45-E58</f>
        <v>400868.40000000037</v>
      </c>
      <c r="G60" s="856">
        <f>G45-G58</f>
        <v>467678.34499999974</v>
      </c>
      <c r="I60" s="856">
        <f>I45-I58</f>
        <v>535748.29772499949</v>
      </c>
      <c r="K60" s="856">
        <f>K45-K58</f>
        <v>605095.38493662374</v>
      </c>
      <c r="M60" s="856">
        <f>M45-M58</f>
        <v>675736.6581954374</v>
      </c>
      <c r="O60" s="856">
        <f>O45-O58</f>
        <v>747689.07435695874</v>
      </c>
      <c r="Q60" s="856">
        <f>Q45-Q58</f>
        <v>820969.47496313183</v>
      </c>
      <c r="S60" s="856">
        <f>S45-S58</f>
        <v>895594.56448000856</v>
      </c>
      <c r="U60" s="856">
        <f>U45-U58</f>
        <v>971580.88733049203</v>
      </c>
      <c r="W60" s="856">
        <f>W45-W58</f>
        <v>1048944.8036688333</v>
      </c>
      <c r="Y60" s="856">
        <f>Y45-Y58</f>
        <v>1127702.4638415254</v>
      </c>
      <c r="AA60" s="856">
        <f>AA45-AA58</f>
        <v>1207869.7814769419</v>
      </c>
      <c r="AC60" s="856">
        <f>AC45-AC58</f>
        <v>1289462.4051438086</v>
      </c>
      <c r="AE60" s="856">
        <f>AE45-AE58</f>
        <v>1372495.6885161633</v>
      </c>
      <c r="AG60" s="856">
        <f>AG45-AG58</f>
        <v>1456984.6589800124</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2721</v>
      </c>
      <c r="C62" s="853">
        <v>0.5</v>
      </c>
      <c r="E62" s="858">
        <f>E60*$C$62</f>
        <v>200434.20000000019</v>
      </c>
      <c r="G62" s="856">
        <f>G60*$C$62</f>
        <v>233839.17249999987</v>
      </c>
      <c r="I62" s="856">
        <f>I60*$C$62</f>
        <v>267874.14886249974</v>
      </c>
      <c r="K62" s="856">
        <f>K60*$C$62</f>
        <v>302547.69246831187</v>
      </c>
      <c r="M62" s="856">
        <f>M60*$C$62</f>
        <v>337868.3290977187</v>
      </c>
      <c r="O62" s="856">
        <f>O60*$C$62</f>
        <v>373844.53717847937</v>
      </c>
      <c r="Q62" s="856">
        <f>Q60*$C$62</f>
        <v>410484.73748156591</v>
      </c>
      <c r="S62" s="856">
        <f>S60*$C$62</f>
        <v>447797.28224000428</v>
      </c>
      <c r="U62" s="856">
        <f>U60*$C$62</f>
        <v>485790.44366524601</v>
      </c>
      <c r="W62" s="856">
        <f>W60*$C$62</f>
        <v>524472.40183441667</v>
      </c>
      <c r="Y62" s="856">
        <f>Y60*$C$62</f>
        <v>563851.23192076269</v>
      </c>
      <c r="AA62" s="856">
        <f>AA60*$C$62</f>
        <v>603934.89073847095</v>
      </c>
      <c r="AC62" s="856">
        <f>AC60*$C$62</f>
        <v>644731.20257190429</v>
      </c>
      <c r="AE62" s="856">
        <f>AE60*$C$62</f>
        <v>686247.84425808163</v>
      </c>
      <c r="AG62" s="856">
        <f>AG60*$C$62</f>
        <v>728492.3294900062</v>
      </c>
    </row>
    <row r="63" spans="1:34" s="856" customFormat="1">
      <c r="A63" s="2620" t="s">
        <v>998</v>
      </c>
      <c r="B63" s="2620"/>
      <c r="C63" s="2620"/>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2722</v>
      </c>
      <c r="C65" s="853">
        <v>0</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f>$E60*$C$65</f>
        <v>0</v>
      </c>
      <c r="G66" s="854">
        <f>G60*$C$65</f>
        <v>0</v>
      </c>
      <c r="I66" s="854">
        <f>I60*$C$65</f>
        <v>0</v>
      </c>
      <c r="K66" s="854">
        <f>K60*$C$65</f>
        <v>0</v>
      </c>
      <c r="M66" s="854">
        <f>M60*$C$65</f>
        <v>0</v>
      </c>
      <c r="O66" s="854">
        <f>O60*$C$65</f>
        <v>0</v>
      </c>
      <c r="Q66" s="854">
        <f>Q60*$C$65</f>
        <v>0</v>
      </c>
      <c r="S66" s="854">
        <f>S60*$C$65</f>
        <v>0</v>
      </c>
      <c r="U66" s="854">
        <f>U60*$C$65</f>
        <v>0</v>
      </c>
      <c r="W66" s="854">
        <f>W60*$C$65</f>
        <v>0</v>
      </c>
      <c r="Y66" s="854">
        <f>Y60*$C$65</f>
        <v>0</v>
      </c>
      <c r="AA66" s="854">
        <f>AA60*$C$65</f>
        <v>0</v>
      </c>
      <c r="AC66" s="854">
        <f>AC60*$C$65</f>
        <v>0</v>
      </c>
      <c r="AE66" s="854">
        <f>AE60*$C$65</f>
        <v>0</v>
      </c>
      <c r="AG66" s="854">
        <f>AG60*$C$65</f>
        <v>0</v>
      </c>
    </row>
    <row r="67" spans="1:34" s="854" customFormat="1">
      <c r="A67" s="859"/>
      <c r="B67" s="859"/>
      <c r="C67" s="864"/>
      <c r="E67" s="858">
        <f>$E60*$C$65</f>
        <v>0</v>
      </c>
      <c r="G67" s="854">
        <f>G60*$C$65</f>
        <v>0</v>
      </c>
      <c r="I67" s="854">
        <f>I60*$C$65</f>
        <v>0</v>
      </c>
      <c r="K67" s="854">
        <f>K60*$C$65</f>
        <v>0</v>
      </c>
      <c r="M67" s="854">
        <f>M60*$C$65</f>
        <v>0</v>
      </c>
      <c r="O67" s="854">
        <f>O60*$C$65</f>
        <v>0</v>
      </c>
      <c r="Q67" s="854">
        <f>Q60*$C$65</f>
        <v>0</v>
      </c>
      <c r="S67" s="854">
        <f>S60*$C$65</f>
        <v>0</v>
      </c>
      <c r="U67" s="854">
        <f>U60*$C$65</f>
        <v>0</v>
      </c>
      <c r="W67" s="854">
        <f>W60*$C$65</f>
        <v>0</v>
      </c>
      <c r="Y67" s="854">
        <f>Y60*$C$65</f>
        <v>0</v>
      </c>
      <c r="AA67" s="854">
        <f>AA60*$C$65</f>
        <v>0</v>
      </c>
      <c r="AC67" s="854">
        <f>AC60*$C$65</f>
        <v>0</v>
      </c>
      <c r="AE67" s="854">
        <f>AE60*$C$65</f>
        <v>0</v>
      </c>
      <c r="AG67" s="854">
        <f>AG60*$C$65</f>
        <v>0</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2719</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0</v>
      </c>
      <c r="AG70" s="854">
        <f>SUM(AG66:AG69)</f>
        <v>0</v>
      </c>
    </row>
    <row r="71" spans="1:34" s="854" customFormat="1">
      <c r="A71" s="856"/>
      <c r="C71" s="864"/>
    </row>
    <row r="72" spans="1:34" s="854" customFormat="1">
      <c r="A72" s="856" t="s">
        <v>2723</v>
      </c>
      <c r="C72" s="864"/>
      <c r="E72" s="856">
        <f>E60-E62-E70</f>
        <v>200434.20000000019</v>
      </c>
      <c r="G72" s="856">
        <f>G60-G62-G70</f>
        <v>233839.17249999987</v>
      </c>
      <c r="I72" s="856">
        <f>I60-I62-I70</f>
        <v>267874.14886249974</v>
      </c>
      <c r="K72" s="856">
        <f>K60-K62-K70</f>
        <v>302547.69246831187</v>
      </c>
      <c r="M72" s="856">
        <f>M60-M62-M70</f>
        <v>337868.3290977187</v>
      </c>
      <c r="O72" s="856">
        <f>O60-O62-O70</f>
        <v>373844.53717847937</v>
      </c>
      <c r="Q72" s="856">
        <f>Q60-Q62-Q70</f>
        <v>410484.73748156591</v>
      </c>
      <c r="S72" s="856">
        <f>S60-S62-S70</f>
        <v>447797.28224000428</v>
      </c>
      <c r="U72" s="856">
        <f>U60-U62-U70</f>
        <v>485790.44366524601</v>
      </c>
      <c r="W72" s="856">
        <f>W60-W62-W70</f>
        <v>524472.40183441667</v>
      </c>
      <c r="Y72" s="856">
        <f>Y60-Y62-Y70</f>
        <v>563851.23192076269</v>
      </c>
      <c r="AA72" s="856">
        <f>AA60-AA62-AA70</f>
        <v>603934.89073847095</v>
      </c>
      <c r="AC72" s="856">
        <f>AC60-AC62-AC70</f>
        <v>644731.20257190429</v>
      </c>
      <c r="AE72" s="856">
        <f>AE60-AE62-AE70</f>
        <v>686247.84425808163</v>
      </c>
      <c r="AG72" s="856">
        <f>AG60-AG62-AG70</f>
        <v>728492.3294900062</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2724</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19" t="s">
        <v>2725</v>
      </c>
      <c r="B77" s="2619"/>
      <c r="C77" s="2619"/>
      <c r="D77" s="2619"/>
      <c r="E77" s="2619"/>
      <c r="F77" s="2619"/>
      <c r="G77" s="2619"/>
      <c r="H77" s="2619"/>
      <c r="I77" s="2619"/>
      <c r="J77" s="2619"/>
      <c r="K77" s="2619"/>
      <c r="L77" s="2619"/>
      <c r="M77" s="2619"/>
      <c r="N77" s="2619"/>
      <c r="O77" s="2619"/>
      <c r="P77" s="2619"/>
      <c r="Q77" s="2619"/>
      <c r="R77" s="2619"/>
      <c r="S77" s="2619"/>
      <c r="T77" s="2619"/>
      <c r="U77" s="2619"/>
      <c r="V77" s="2619"/>
      <c r="W77" s="2619"/>
      <c r="X77" s="2619"/>
      <c r="Y77" s="2619"/>
      <c r="Z77" s="2619"/>
      <c r="AA77" s="2619"/>
      <c r="AB77" s="2619"/>
      <c r="AC77" s="2619"/>
      <c r="AD77" s="2619"/>
      <c r="AE77" s="2619"/>
      <c r="AF77" s="2619"/>
      <c r="AG77" s="2619"/>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220" t="s">
        <v>2726</v>
      </c>
    </row>
    <row r="2" spans="1:1" ht="15.75">
      <c r="A2" s="221"/>
    </row>
    <row r="3" spans="1:1" ht="15.75">
      <c r="A3" s="222" t="s">
        <v>2727</v>
      </c>
    </row>
    <row r="4" spans="1:1" ht="15.75">
      <c r="A4" s="222" t="s">
        <v>2728</v>
      </c>
    </row>
    <row r="5" spans="1:1" ht="15.75">
      <c r="A5" s="222" t="s">
        <v>2729</v>
      </c>
    </row>
    <row r="6" spans="1:1" ht="15.75">
      <c r="A6" s="222" t="s">
        <v>2730</v>
      </c>
    </row>
    <row r="7" spans="1:1" ht="15.75">
      <c r="A7" s="222" t="s">
        <v>2731</v>
      </c>
    </row>
    <row r="8" spans="1:1" ht="15.75">
      <c r="A8" s="249" t="s">
        <v>2732</v>
      </c>
    </row>
    <row r="9" spans="1:1" ht="15.75">
      <c r="A9" s="222" t="s">
        <v>2733</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2734</v>
      </c>
      <c r="D1" s="192"/>
    </row>
    <row r="2" spans="1:6" s="187" customFormat="1">
      <c r="A2" s="171" t="s">
        <v>2735</v>
      </c>
      <c r="B2" s="173"/>
      <c r="C2" s="173"/>
      <c r="D2" s="170"/>
      <c r="E2" s="174"/>
      <c r="F2" s="173"/>
    </row>
    <row r="3" spans="1:6" s="254" customFormat="1" ht="80.25" customHeight="1">
      <c r="A3" s="189"/>
      <c r="B3" s="175" t="s">
        <v>2736</v>
      </c>
      <c r="C3" s="175" t="s">
        <v>2737</v>
      </c>
      <c r="D3" s="175" t="s">
        <v>2738</v>
      </c>
      <c r="E3" s="172" t="s">
        <v>2739</v>
      </c>
      <c r="F3" s="172"/>
    </row>
    <row r="4" spans="1:6" s="255" customFormat="1">
      <c r="A4" s="176" t="s">
        <v>1754</v>
      </c>
      <c r="B4" s="176"/>
      <c r="C4" s="176"/>
      <c r="D4" s="176"/>
      <c r="E4" s="194"/>
      <c r="F4" s="176"/>
    </row>
    <row r="5" spans="1:6" s="255" customFormat="1">
      <c r="A5" s="267" t="s">
        <v>1755</v>
      </c>
      <c r="B5" s="178">
        <f>'Sources and Uses Budget'!$C4</f>
        <v>4500000</v>
      </c>
      <c r="C5" s="178">
        <f>'Sources and Uses Budget'!$C4</f>
        <v>4500000</v>
      </c>
      <c r="D5" s="182">
        <f>C5-B5</f>
        <v>0</v>
      </c>
      <c r="E5" s="180"/>
      <c r="F5" s="179"/>
    </row>
    <row r="6" spans="1:6" s="255" customFormat="1">
      <c r="A6" s="267" t="s">
        <v>688</v>
      </c>
      <c r="B6" s="178">
        <f>'Sources and Uses Budget'!$C5</f>
        <v>0</v>
      </c>
      <c r="C6" s="178">
        <f>'Sources and Uses Budget'!$C5</f>
        <v>0</v>
      </c>
      <c r="D6" s="182">
        <f t="shared" ref="D6:D77" si="0">C6-B6</f>
        <v>0</v>
      </c>
      <c r="E6" s="180"/>
      <c r="F6" s="179"/>
    </row>
    <row r="7" spans="1:6" s="255" customFormat="1">
      <c r="A7" s="267" t="s">
        <v>1756</v>
      </c>
      <c r="B7" s="178">
        <f>'Sources and Uses Budget'!$C6</f>
        <v>9675</v>
      </c>
      <c r="C7" s="178">
        <f>'Sources and Uses Budget'!$C6</f>
        <v>9675</v>
      </c>
      <c r="D7" s="182">
        <f t="shared" si="0"/>
        <v>0</v>
      </c>
      <c r="E7" s="180"/>
      <c r="F7" s="179"/>
    </row>
    <row r="8" spans="1:6" s="255" customFormat="1">
      <c r="A8" s="267" t="s">
        <v>1757</v>
      </c>
      <c r="B8" s="178">
        <f>'Sources and Uses Budget'!$C7</f>
        <v>0</v>
      </c>
      <c r="C8" s="178">
        <f>'Sources and Uses Budget'!$C7</f>
        <v>0</v>
      </c>
      <c r="D8" s="182">
        <f t="shared" si="0"/>
        <v>0</v>
      </c>
      <c r="E8" s="180"/>
      <c r="F8" s="179"/>
    </row>
    <row r="9" spans="1:6" s="255" customFormat="1">
      <c r="A9" s="268" t="s">
        <v>1758</v>
      </c>
      <c r="B9" s="182">
        <f>SUM(B5:B8)</f>
        <v>4509675</v>
      </c>
      <c r="C9" s="182">
        <f>SUM(C5:C8)</f>
        <v>4509675</v>
      </c>
      <c r="D9" s="182">
        <f t="shared" si="0"/>
        <v>0</v>
      </c>
      <c r="E9" s="180"/>
      <c r="F9" s="179"/>
    </row>
    <row r="10" spans="1:6" s="255" customFormat="1">
      <c r="A10" s="267" t="s">
        <v>1759</v>
      </c>
      <c r="B10" s="178">
        <f>'Sources and Uses Budget'!$C9</f>
        <v>0</v>
      </c>
      <c r="C10" s="178">
        <f>'Sources and Uses Budget'!$C9</f>
        <v>0</v>
      </c>
      <c r="D10" s="182">
        <f t="shared" si="0"/>
        <v>0</v>
      </c>
      <c r="E10" s="180"/>
      <c r="F10" s="179"/>
    </row>
    <row r="11" spans="1:6" s="255" customFormat="1">
      <c r="A11" s="267" t="s">
        <v>1760</v>
      </c>
      <c r="B11" s="178">
        <f>'Sources and Uses Budget'!$C10</f>
        <v>0</v>
      </c>
      <c r="C11" s="178">
        <f>'Sources and Uses Budget'!$C10</f>
        <v>0</v>
      </c>
      <c r="D11" s="182">
        <f t="shared" si="0"/>
        <v>0</v>
      </c>
      <c r="E11" s="180"/>
      <c r="F11" s="179"/>
    </row>
    <row r="12" spans="1:6" s="255" customFormat="1">
      <c r="A12" s="268" t="s">
        <v>1761</v>
      </c>
      <c r="B12" s="182">
        <f>SUM(B10:B11)</f>
        <v>0</v>
      </c>
      <c r="C12" s="182">
        <f>SUM(C10:C11)</f>
        <v>0</v>
      </c>
      <c r="D12" s="182">
        <f t="shared" si="0"/>
        <v>0</v>
      </c>
      <c r="E12" s="180"/>
      <c r="F12" s="179"/>
    </row>
    <row r="13" spans="1:6" s="255" customFormat="1">
      <c r="A13" s="268" t="s">
        <v>1762</v>
      </c>
      <c r="B13" s="182">
        <f>SUM(B9+B12)</f>
        <v>4509675</v>
      </c>
      <c r="C13" s="182">
        <f>SUM(C9+C12)</f>
        <v>4509675</v>
      </c>
      <c r="D13" s="182">
        <f t="shared" si="0"/>
        <v>0</v>
      </c>
      <c r="E13" s="180"/>
      <c r="F13" s="179"/>
    </row>
    <row r="14" spans="1:6" s="255" customFormat="1">
      <c r="A14" s="269" t="s">
        <v>1763</v>
      </c>
      <c r="B14" s="178">
        <f>'Sources and Uses Budget'!$C13</f>
        <v>118333</v>
      </c>
      <c r="C14" s="178">
        <f>'Sources and Uses Budget'!$C13</f>
        <v>118333</v>
      </c>
      <c r="D14" s="182">
        <f t="shared" si="0"/>
        <v>0</v>
      </c>
      <c r="E14" s="180"/>
      <c r="F14" s="179"/>
    </row>
    <row r="15" spans="1:6" s="255" customFormat="1" ht="24">
      <c r="A15" s="267" t="s">
        <v>1881</v>
      </c>
      <c r="B15" s="178">
        <f>'Sources and Uses Budget'!$C14</f>
        <v>0</v>
      </c>
      <c r="C15" s="178">
        <f>'Sources and Uses Budget'!$C14</f>
        <v>0</v>
      </c>
      <c r="D15" s="182">
        <f t="shared" si="0"/>
        <v>0</v>
      </c>
      <c r="E15" s="180"/>
      <c r="F15" s="179"/>
    </row>
    <row r="16" spans="1:6" s="255" customFormat="1">
      <c r="A16" s="267" t="s">
        <v>1765</v>
      </c>
      <c r="B16" s="178">
        <f>'Sources and Uses Budget'!$C15</f>
        <v>0</v>
      </c>
      <c r="C16" s="178">
        <f>'Sources and Uses Budget'!$C15</f>
        <v>0</v>
      </c>
      <c r="D16" s="182">
        <f t="shared" si="0"/>
        <v>0</v>
      </c>
      <c r="E16" s="180"/>
      <c r="F16" s="179"/>
    </row>
    <row r="17" spans="1:6" s="255" customFormat="1">
      <c r="A17" s="176" t="s">
        <v>1766</v>
      </c>
      <c r="B17" s="176"/>
      <c r="C17" s="176"/>
      <c r="D17" s="176"/>
      <c r="E17" s="194"/>
      <c r="F17" s="176"/>
    </row>
    <row r="18" spans="1:6" s="255" customFormat="1">
      <c r="A18" s="195" t="s">
        <v>1767</v>
      </c>
      <c r="B18" s="178">
        <f>'Sources and Uses Budget'!$C17</f>
        <v>0</v>
      </c>
      <c r="C18" s="178">
        <f>'Sources and Uses Budget'!$C17</f>
        <v>0</v>
      </c>
      <c r="D18" s="182">
        <f t="shared" si="0"/>
        <v>0</v>
      </c>
      <c r="E18" s="180"/>
      <c r="F18" s="179"/>
    </row>
    <row r="19" spans="1:6" s="255" customFormat="1">
      <c r="A19" s="195" t="s">
        <v>1768</v>
      </c>
      <c r="B19" s="178">
        <f>'Sources and Uses Budget'!$C18</f>
        <v>0</v>
      </c>
      <c r="C19" s="178">
        <f>'Sources and Uses Budget'!$C18</f>
        <v>0</v>
      </c>
      <c r="D19" s="182">
        <f t="shared" si="0"/>
        <v>0</v>
      </c>
      <c r="E19" s="180"/>
      <c r="F19" s="179"/>
    </row>
    <row r="20" spans="1:6" s="255" customFormat="1">
      <c r="A20" s="195" t="s">
        <v>1769</v>
      </c>
      <c r="B20" s="178">
        <f>'Sources and Uses Budget'!$C19</f>
        <v>0</v>
      </c>
      <c r="C20" s="178">
        <f>'Sources and Uses Budget'!$C19</f>
        <v>0</v>
      </c>
      <c r="D20" s="182">
        <f t="shared" si="0"/>
        <v>0</v>
      </c>
      <c r="E20" s="180"/>
      <c r="F20" s="179"/>
    </row>
    <row r="21" spans="1:6" s="255" customFormat="1">
      <c r="A21" s="195" t="s">
        <v>1770</v>
      </c>
      <c r="B21" s="178">
        <f>'Sources and Uses Budget'!$C20</f>
        <v>0</v>
      </c>
      <c r="C21" s="178">
        <f>'Sources and Uses Budget'!$C20</f>
        <v>0</v>
      </c>
      <c r="D21" s="182">
        <f t="shared" si="0"/>
        <v>0</v>
      </c>
      <c r="E21" s="180"/>
      <c r="F21" s="179"/>
    </row>
    <row r="22" spans="1:6" s="255" customFormat="1">
      <c r="A22" s="195" t="s">
        <v>1771</v>
      </c>
      <c r="B22" s="178">
        <f>'Sources and Uses Budget'!$C21</f>
        <v>0</v>
      </c>
      <c r="C22" s="178">
        <f>'Sources and Uses Budget'!$C21</f>
        <v>0</v>
      </c>
      <c r="D22" s="182">
        <f t="shared" si="0"/>
        <v>0</v>
      </c>
      <c r="E22" s="180"/>
      <c r="F22" s="179"/>
    </row>
    <row r="23" spans="1:6" s="255" customFormat="1">
      <c r="A23" s="195" t="s">
        <v>1772</v>
      </c>
      <c r="B23" s="178">
        <f>'Sources and Uses Budget'!$C22</f>
        <v>0</v>
      </c>
      <c r="C23" s="178">
        <f>'Sources and Uses Budget'!$C22</f>
        <v>0</v>
      </c>
      <c r="D23" s="182">
        <f t="shared" si="0"/>
        <v>0</v>
      </c>
      <c r="E23" s="180"/>
      <c r="F23" s="179"/>
    </row>
    <row r="24" spans="1:6" s="255" customFormat="1">
      <c r="A24" s="195" t="s">
        <v>1773</v>
      </c>
      <c r="B24" s="178">
        <f>'Sources and Uses Budget'!$C23</f>
        <v>0</v>
      </c>
      <c r="C24" s="178">
        <f>'Sources and Uses Budget'!$C23</f>
        <v>0</v>
      </c>
      <c r="D24" s="182">
        <f t="shared" si="0"/>
        <v>0</v>
      </c>
      <c r="E24" s="180"/>
      <c r="F24" s="179"/>
    </row>
    <row r="25" spans="1:6" s="255" customFormat="1">
      <c r="A25" s="409" t="s">
        <v>1774</v>
      </c>
      <c r="B25" s="178">
        <f>'Sources and Uses Budget'!$C24</f>
        <v>0</v>
      </c>
      <c r="C25" s="178">
        <f>'Sources and Uses Budget'!$C24</f>
        <v>0</v>
      </c>
      <c r="D25" s="182">
        <f t="shared" si="0"/>
        <v>0</v>
      </c>
      <c r="E25" s="180"/>
      <c r="F25" s="179"/>
    </row>
    <row r="26" spans="1:6" s="255" customFormat="1">
      <c r="A26" s="409">
        <f>'Sources and Uses Budget'!A25</f>
        <v>0</v>
      </c>
      <c r="B26" s="178">
        <f>'Sources and Uses Budget'!$C25</f>
        <v>0</v>
      </c>
      <c r="C26" s="178">
        <f>'Sources and Uses Budget'!$C25</f>
        <v>0</v>
      </c>
      <c r="D26" s="182">
        <f t="shared" si="0"/>
        <v>0</v>
      </c>
      <c r="E26" s="180"/>
      <c r="F26" s="179"/>
    </row>
    <row r="27" spans="1:6" s="255" customFormat="1">
      <c r="A27" s="910" t="s">
        <v>1775</v>
      </c>
      <c r="B27" s="182">
        <f>SUM(B18:B26)</f>
        <v>0</v>
      </c>
      <c r="C27" s="182">
        <f>SUM(C18:C26)</f>
        <v>0</v>
      </c>
      <c r="D27" s="182">
        <f>SUM(D18:D26)</f>
        <v>0</v>
      </c>
      <c r="E27" s="180"/>
      <c r="F27" s="179"/>
    </row>
    <row r="28" spans="1:6" s="255" customFormat="1">
      <c r="A28" s="183" t="s">
        <v>1776</v>
      </c>
      <c r="B28" s="178">
        <f>'Sources and Uses Budget'!$C$27</f>
        <v>0</v>
      </c>
      <c r="C28" s="178">
        <f>'Sources and Uses Budget'!$C$27</f>
        <v>0</v>
      </c>
      <c r="D28" s="182">
        <f t="shared" si="0"/>
        <v>0</v>
      </c>
      <c r="E28" s="180"/>
      <c r="F28" s="179"/>
    </row>
    <row r="29" spans="1:6" s="255" customFormat="1">
      <c r="A29" s="176" t="s">
        <v>1777</v>
      </c>
      <c r="B29" s="176"/>
      <c r="C29" s="176"/>
      <c r="D29" s="176"/>
      <c r="E29" s="194"/>
      <c r="F29" s="176"/>
    </row>
    <row r="30" spans="1:6" s="255" customFormat="1">
      <c r="A30" s="195" t="s">
        <v>1767</v>
      </c>
      <c r="B30" s="178">
        <f>'Sources and Uses Budget'!$C29</f>
        <v>7993382</v>
      </c>
      <c r="C30" s="178">
        <f>'Sources and Uses Budget'!$C29</f>
        <v>7993382</v>
      </c>
      <c r="D30" s="182">
        <f t="shared" si="0"/>
        <v>0</v>
      </c>
      <c r="E30" s="180"/>
      <c r="F30" s="179"/>
    </row>
    <row r="31" spans="1:6" s="255" customFormat="1">
      <c r="A31" s="195" t="s">
        <v>1768</v>
      </c>
      <c r="B31" s="178">
        <f>'Sources and Uses Budget'!$C30</f>
        <v>34069614</v>
      </c>
      <c r="C31" s="178">
        <f>'Sources and Uses Budget'!$C30</f>
        <v>34069614</v>
      </c>
      <c r="D31" s="182">
        <f t="shared" si="0"/>
        <v>0</v>
      </c>
      <c r="E31" s="180"/>
      <c r="F31" s="179"/>
    </row>
    <row r="32" spans="1:6" s="255" customFormat="1">
      <c r="A32" s="195" t="s">
        <v>1769</v>
      </c>
      <c r="B32" s="178">
        <f>'Sources and Uses Budget'!$C31</f>
        <v>2511000</v>
      </c>
      <c r="C32" s="178">
        <f>'Sources and Uses Budget'!$C31</f>
        <v>2511000</v>
      </c>
      <c r="D32" s="182">
        <f t="shared" si="0"/>
        <v>0</v>
      </c>
      <c r="E32" s="180"/>
      <c r="F32" s="179"/>
    </row>
    <row r="33" spans="1:6" s="255" customFormat="1">
      <c r="A33" s="195" t="s">
        <v>1770</v>
      </c>
      <c r="B33" s="178">
        <f>'Sources and Uses Budget'!$C32</f>
        <v>1182753</v>
      </c>
      <c r="C33" s="178">
        <f>'Sources and Uses Budget'!$C32</f>
        <v>1182753</v>
      </c>
      <c r="D33" s="182">
        <f t="shared" si="0"/>
        <v>0</v>
      </c>
      <c r="E33" s="180"/>
      <c r="F33" s="179"/>
    </row>
    <row r="34" spans="1:6" s="255" customFormat="1">
      <c r="A34" s="195" t="s">
        <v>1771</v>
      </c>
      <c r="B34" s="178">
        <f>'Sources and Uses Budget'!$C33</f>
        <v>557756</v>
      </c>
      <c r="C34" s="178">
        <f>'Sources and Uses Budget'!$C33</f>
        <v>557756</v>
      </c>
      <c r="D34" s="182">
        <f t="shared" si="0"/>
        <v>0</v>
      </c>
      <c r="E34" s="180"/>
      <c r="F34" s="179"/>
    </row>
    <row r="35" spans="1:6" s="255" customFormat="1">
      <c r="A35" s="195" t="s">
        <v>1772</v>
      </c>
      <c r="B35" s="178">
        <f>'Sources and Uses Budget'!$C34</f>
        <v>0</v>
      </c>
      <c r="C35" s="178">
        <f>'Sources and Uses Budget'!$C34</f>
        <v>0</v>
      </c>
      <c r="D35" s="182">
        <f t="shared" si="0"/>
        <v>0</v>
      </c>
      <c r="E35" s="180"/>
      <c r="F35" s="179"/>
    </row>
    <row r="36" spans="1:6" s="255" customFormat="1">
      <c r="A36" s="195" t="s">
        <v>1773</v>
      </c>
      <c r="B36" s="178">
        <f>'Sources and Uses Budget'!$C35</f>
        <v>211942</v>
      </c>
      <c r="C36" s="178">
        <f>'Sources and Uses Budget'!$C35</f>
        <v>211942</v>
      </c>
      <c r="D36" s="182">
        <f t="shared" si="0"/>
        <v>0</v>
      </c>
      <c r="E36" s="180"/>
      <c r="F36" s="179"/>
    </row>
    <row r="37" spans="1:6" s="255" customFormat="1">
      <c r="A37" s="195" t="s">
        <v>1774</v>
      </c>
      <c r="B37" s="178">
        <f>'Sources and Uses Budget'!$C36</f>
        <v>0</v>
      </c>
      <c r="C37" s="178">
        <f>'Sources and Uses Budget'!$C36</f>
        <v>0</v>
      </c>
      <c r="D37" s="182"/>
      <c r="E37" s="180"/>
      <c r="F37" s="179"/>
    </row>
    <row r="38" spans="1:6" s="255" customFormat="1">
      <c r="A38" s="409" t="str">
        <f>'Sources and Uses Budget'!A37</f>
        <v>Off-Site Public Improvements</v>
      </c>
      <c r="B38" s="178">
        <f>'Sources and Uses Budget'!$C37</f>
        <v>1535120</v>
      </c>
      <c r="C38" s="178">
        <f>'Sources and Uses Budget'!$C37</f>
        <v>1535120</v>
      </c>
      <c r="D38" s="182">
        <f t="shared" si="0"/>
        <v>0</v>
      </c>
      <c r="E38" s="180"/>
      <c r="F38" s="179"/>
    </row>
    <row r="39" spans="1:6" s="255" customFormat="1">
      <c r="A39" s="183" t="s">
        <v>1779</v>
      </c>
      <c r="B39" s="182">
        <f>SUM(B30:B38)</f>
        <v>48061567</v>
      </c>
      <c r="C39" s="182">
        <f>SUM(C30:C38)</f>
        <v>48061567</v>
      </c>
      <c r="D39" s="182">
        <f t="shared" si="0"/>
        <v>0</v>
      </c>
      <c r="E39" s="180"/>
      <c r="F39" s="179"/>
    </row>
    <row r="40" spans="1:6" s="255" customFormat="1">
      <c r="A40" s="176" t="s">
        <v>1780</v>
      </c>
      <c r="B40" s="176"/>
      <c r="C40" s="176"/>
      <c r="D40" s="176"/>
      <c r="E40" s="194"/>
      <c r="F40" s="176"/>
    </row>
    <row r="41" spans="1:6" s="255" customFormat="1">
      <c r="A41" s="181" t="s">
        <v>1781</v>
      </c>
      <c r="B41" s="178">
        <f>'Sources and Uses Budget'!$C40</f>
        <v>1015830</v>
      </c>
      <c r="C41" s="178">
        <f>'Sources and Uses Budget'!$C40</f>
        <v>1015830</v>
      </c>
      <c r="D41" s="182">
        <f t="shared" si="0"/>
        <v>0</v>
      </c>
      <c r="E41" s="180"/>
      <c r="F41" s="179"/>
    </row>
    <row r="42" spans="1:6" s="255" customFormat="1">
      <c r="A42" s="181" t="s">
        <v>1782</v>
      </c>
      <c r="B42" s="178">
        <f>'Sources and Uses Budget'!$C41</f>
        <v>666515</v>
      </c>
      <c r="C42" s="178">
        <f>'Sources and Uses Budget'!$C41</f>
        <v>666515</v>
      </c>
      <c r="D42" s="182">
        <f t="shared" si="0"/>
        <v>0</v>
      </c>
      <c r="E42" s="180"/>
      <c r="F42" s="179"/>
    </row>
    <row r="43" spans="1:6" s="255" customFormat="1">
      <c r="A43" s="183" t="s">
        <v>1783</v>
      </c>
      <c r="B43" s="182">
        <f>SUM(B41:B42)</f>
        <v>1682345</v>
      </c>
      <c r="C43" s="182">
        <f>SUM(C41:C42)</f>
        <v>1682345</v>
      </c>
      <c r="D43" s="182">
        <f t="shared" si="0"/>
        <v>0</v>
      </c>
      <c r="E43" s="180"/>
      <c r="F43" s="179"/>
    </row>
    <row r="44" spans="1:6" s="255" customFormat="1">
      <c r="A44" s="183" t="s">
        <v>1784</v>
      </c>
      <c r="B44" s="178">
        <f>'Sources and Uses Budget'!$C43</f>
        <v>0</v>
      </c>
      <c r="C44" s="178">
        <f>'Sources and Uses Budget'!$C43</f>
        <v>0</v>
      </c>
      <c r="D44" s="182">
        <f t="shared" si="0"/>
        <v>0</v>
      </c>
      <c r="E44" s="180"/>
      <c r="F44" s="179"/>
    </row>
    <row r="45" spans="1:6" s="255" customFormat="1" ht="12" customHeight="1">
      <c r="A45" s="176" t="s">
        <v>1785</v>
      </c>
      <c r="B45" s="176"/>
      <c r="C45" s="176"/>
      <c r="D45" s="176"/>
      <c r="E45" s="194"/>
      <c r="F45" s="176"/>
    </row>
    <row r="46" spans="1:6" s="255" customFormat="1">
      <c r="A46" s="195" t="s">
        <v>1786</v>
      </c>
      <c r="B46" s="178">
        <f>'Sources and Uses Budget'!$C45</f>
        <v>4515097</v>
      </c>
      <c r="C46" s="178">
        <f>'Sources and Uses Budget'!$C45</f>
        <v>4515097</v>
      </c>
      <c r="D46" s="182">
        <f t="shared" si="0"/>
        <v>0</v>
      </c>
      <c r="E46" s="180"/>
      <c r="F46" s="179"/>
    </row>
    <row r="47" spans="1:6" s="255" customFormat="1">
      <c r="A47" s="195" t="s">
        <v>1787</v>
      </c>
      <c r="B47" s="178">
        <f>'Sources and Uses Budget'!$C46</f>
        <v>680876</v>
      </c>
      <c r="C47" s="178">
        <f>'Sources and Uses Budget'!$C46</f>
        <v>680876</v>
      </c>
      <c r="D47" s="182">
        <f t="shared" si="0"/>
        <v>0</v>
      </c>
      <c r="E47" s="180"/>
      <c r="F47" s="179"/>
    </row>
    <row r="48" spans="1:6" s="255" customFormat="1" ht="12" customHeight="1">
      <c r="A48" s="1207" t="s">
        <v>1788</v>
      </c>
      <c r="B48" s="178">
        <f>'Sources and Uses Budget'!$C47</f>
        <v>415167</v>
      </c>
      <c r="C48" s="178">
        <f>'Sources and Uses Budget'!$C47</f>
        <v>415167</v>
      </c>
      <c r="D48" s="182">
        <f t="shared" si="0"/>
        <v>0</v>
      </c>
      <c r="E48" s="180"/>
      <c r="F48" s="179"/>
    </row>
    <row r="49" spans="1:6" s="255" customFormat="1">
      <c r="A49" s="195" t="s">
        <v>1789</v>
      </c>
      <c r="B49" s="178">
        <f>'Sources and Uses Budget'!$C48</f>
        <v>0</v>
      </c>
      <c r="C49" s="178">
        <f>'Sources and Uses Budget'!$C48</f>
        <v>0</v>
      </c>
      <c r="D49" s="182">
        <f t="shared" si="0"/>
        <v>0</v>
      </c>
      <c r="E49" s="180"/>
      <c r="F49" s="179"/>
    </row>
    <row r="50" spans="1:6" s="255" customFormat="1">
      <c r="A50" s="195" t="s">
        <v>1790</v>
      </c>
      <c r="B50" s="178">
        <f>'Sources and Uses Budget'!$C49</f>
        <v>247977</v>
      </c>
      <c r="C50" s="178">
        <f>'Sources and Uses Budget'!$C49</f>
        <v>247977</v>
      </c>
      <c r="D50" s="182">
        <f t="shared" si="0"/>
        <v>0</v>
      </c>
      <c r="E50" s="180"/>
      <c r="F50" s="179"/>
    </row>
    <row r="51" spans="1:6" s="255" customFormat="1">
      <c r="A51" s="195" t="s">
        <v>1791</v>
      </c>
      <c r="B51" s="178">
        <f>'Sources and Uses Budget'!$C50</f>
        <v>272742</v>
      </c>
      <c r="C51" s="178">
        <f>'Sources and Uses Budget'!$C50</f>
        <v>272742</v>
      </c>
      <c r="D51" s="182">
        <f t="shared" si="0"/>
        <v>0</v>
      </c>
      <c r="E51" s="180"/>
      <c r="F51" s="179"/>
    </row>
    <row r="52" spans="1:6" s="255" customFormat="1">
      <c r="A52" s="195" t="s">
        <v>1792</v>
      </c>
      <c r="B52" s="178">
        <f>'Sources and Uses Budget'!$C51</f>
        <v>137188</v>
      </c>
      <c r="C52" s="178">
        <f>'Sources and Uses Budget'!$C51</f>
        <v>137188</v>
      </c>
      <c r="D52" s="182">
        <f t="shared" si="0"/>
        <v>0</v>
      </c>
      <c r="E52" s="180"/>
      <c r="F52" s="179"/>
    </row>
    <row r="53" spans="1:6" s="255" customFormat="1">
      <c r="A53" s="195" t="s">
        <v>1793</v>
      </c>
      <c r="B53" s="178">
        <f>'Sources and Uses Budget'!$C52</f>
        <v>1382190</v>
      </c>
      <c r="C53" s="178">
        <f>'Sources and Uses Budget'!$C52</f>
        <v>1382190</v>
      </c>
      <c r="D53" s="182">
        <f t="shared" si="0"/>
        <v>0</v>
      </c>
      <c r="E53" s="180"/>
      <c r="F53" s="179"/>
    </row>
    <row r="54" spans="1:6" s="255" customFormat="1">
      <c r="A54" s="409" t="str">
        <f>'Sources and Uses Budget'!A53</f>
        <v>Interest Rate Cap</v>
      </c>
      <c r="B54" s="178">
        <f>'Sources and Uses Budget'!$C53</f>
        <v>3500000</v>
      </c>
      <c r="C54" s="178">
        <f>'Sources and Uses Budget'!$C53</f>
        <v>3500000</v>
      </c>
      <c r="D54" s="182">
        <f t="shared" si="0"/>
        <v>0</v>
      </c>
      <c r="E54" s="180"/>
      <c r="F54" s="179"/>
    </row>
    <row r="55" spans="1:6" s="256" customFormat="1">
      <c r="A55" s="183" t="s">
        <v>1795</v>
      </c>
      <c r="B55" s="185">
        <f>SUM(B46:B54)</f>
        <v>11151237</v>
      </c>
      <c r="C55" s="185">
        <f>SUM(C46:C54)</f>
        <v>11151237</v>
      </c>
      <c r="D55" s="182">
        <f t="shared" si="0"/>
        <v>0</v>
      </c>
      <c r="E55" s="180"/>
      <c r="F55" s="179"/>
    </row>
    <row r="56" spans="1:6" s="255" customFormat="1">
      <c r="A56" s="176" t="s">
        <v>1360</v>
      </c>
      <c r="B56" s="176"/>
      <c r="C56" s="176"/>
      <c r="D56" s="176"/>
      <c r="E56" s="194"/>
      <c r="F56" s="176"/>
    </row>
    <row r="57" spans="1:6" s="255" customFormat="1">
      <c r="A57" s="181" t="s">
        <v>1796</v>
      </c>
      <c r="B57" s="178">
        <f>'Sources and Uses Budget'!$C56</f>
        <v>403394</v>
      </c>
      <c r="C57" s="178">
        <f>'Sources and Uses Budget'!$C56</f>
        <v>403394</v>
      </c>
      <c r="D57" s="182">
        <f t="shared" si="0"/>
        <v>0</v>
      </c>
      <c r="E57" s="180"/>
      <c r="F57" s="179"/>
    </row>
    <row r="58" spans="1:6" s="255" customFormat="1" ht="12" customHeight="1">
      <c r="A58" s="181" t="s">
        <v>1788</v>
      </c>
      <c r="B58" s="178">
        <f>'Sources and Uses Budget'!$C57</f>
        <v>0</v>
      </c>
      <c r="C58" s="178">
        <f>'Sources and Uses Budget'!$C57</f>
        <v>0</v>
      </c>
      <c r="D58" s="182">
        <f t="shared" si="0"/>
        <v>0</v>
      </c>
      <c r="E58" s="180"/>
      <c r="F58" s="179"/>
    </row>
    <row r="59" spans="1:6" s="255" customFormat="1">
      <c r="A59" s="181" t="s">
        <v>1791</v>
      </c>
      <c r="B59" s="178">
        <f>'Sources and Uses Budget'!$C58</f>
        <v>0</v>
      </c>
      <c r="C59" s="178">
        <f>'Sources and Uses Budget'!$C58</f>
        <v>0</v>
      </c>
      <c r="D59" s="182">
        <f t="shared" si="0"/>
        <v>0</v>
      </c>
      <c r="E59" s="180"/>
      <c r="F59" s="179"/>
    </row>
    <row r="60" spans="1:6" s="255" customFormat="1">
      <c r="A60" s="181" t="s">
        <v>1792</v>
      </c>
      <c r="B60" s="178">
        <f>'Sources and Uses Budget'!$C59</f>
        <v>0</v>
      </c>
      <c r="C60" s="178">
        <f>'Sources and Uses Budget'!$C59</f>
        <v>0</v>
      </c>
      <c r="D60" s="182">
        <f t="shared" si="0"/>
        <v>0</v>
      </c>
      <c r="E60" s="180"/>
      <c r="F60" s="179"/>
    </row>
    <row r="61" spans="1:6" s="255" customFormat="1">
      <c r="A61" s="181" t="s">
        <v>1793</v>
      </c>
      <c r="B61" s="178">
        <f>'Sources and Uses Budget'!$C60</f>
        <v>0</v>
      </c>
      <c r="C61" s="178">
        <f>'Sources and Uses Budget'!$C60</f>
        <v>0</v>
      </c>
      <c r="D61" s="182">
        <f t="shared" si="0"/>
        <v>0</v>
      </c>
      <c r="E61" s="180"/>
      <c r="F61" s="179"/>
    </row>
    <row r="62" spans="1:6" s="255" customFormat="1">
      <c r="A62" s="911" t="str">
        <f>'Sources and Uses Budget'!A61</f>
        <v>Legal and Rate Lock Fees</v>
      </c>
      <c r="B62" s="178">
        <f>'Sources and Uses Budget'!$C61</f>
        <v>168314</v>
      </c>
      <c r="C62" s="178">
        <f>'Sources and Uses Budget'!$C61</f>
        <v>168314</v>
      </c>
      <c r="D62" s="182">
        <f t="shared" si="0"/>
        <v>0</v>
      </c>
      <c r="E62" s="180"/>
      <c r="F62" s="179"/>
    </row>
    <row r="63" spans="1:6" s="255" customFormat="1" ht="13.9" customHeight="1">
      <c r="A63" s="183" t="s">
        <v>1798</v>
      </c>
      <c r="B63" s="182">
        <f>SUM(B57:B62)</f>
        <v>571708</v>
      </c>
      <c r="C63" s="182">
        <f>SUM(C57:C62)</f>
        <v>571708</v>
      </c>
      <c r="D63" s="182">
        <f t="shared" si="0"/>
        <v>0</v>
      </c>
      <c r="E63" s="180"/>
      <c r="F63" s="179"/>
    </row>
    <row r="64" spans="1:6" s="255" customFormat="1">
      <c r="A64" s="186" t="s">
        <v>1799</v>
      </c>
      <c r="B64" s="182">
        <f>SUM(B9+B12+B14+B15+B17+B26+B28+B39+B43+B44+B55+B63)</f>
        <v>66094865</v>
      </c>
      <c r="C64" s="182">
        <f>SUM(C9+C12+C14+C15+C17+C26+C28+C39+C43+C44+C55+C63)</f>
        <v>66094865</v>
      </c>
      <c r="D64" s="182">
        <f t="shared" si="0"/>
        <v>0</v>
      </c>
      <c r="E64" s="180"/>
      <c r="F64" s="179"/>
    </row>
    <row r="65" spans="1:6" s="255" customFormat="1" ht="24">
      <c r="A65" s="104" t="s">
        <v>1800</v>
      </c>
      <c r="B65" s="176"/>
      <c r="C65" s="176"/>
      <c r="D65" s="176"/>
      <c r="E65" s="194"/>
      <c r="F65" s="176"/>
    </row>
    <row r="66" spans="1:6" s="255" customFormat="1">
      <c r="A66" s="195" t="s">
        <v>1801</v>
      </c>
      <c r="B66" s="178">
        <f>'Sources and Uses Budget'!$C65</f>
        <v>387804</v>
      </c>
      <c r="C66" s="178">
        <f>'Sources and Uses Budget'!$C65</f>
        <v>387804</v>
      </c>
      <c r="D66" s="182">
        <f t="shared" si="0"/>
        <v>0</v>
      </c>
      <c r="E66" s="180"/>
      <c r="F66" s="179"/>
    </row>
    <row r="67" spans="1:6" s="255" customFormat="1" ht="24">
      <c r="A67" s="195" t="s">
        <v>1802</v>
      </c>
      <c r="B67" s="178">
        <f>'Sources and Uses Budget'!$C66</f>
        <v>60000</v>
      </c>
      <c r="C67" s="178">
        <f>'Sources and Uses Budget'!$C66</f>
        <v>60000</v>
      </c>
      <c r="D67" s="182"/>
      <c r="E67" s="180"/>
      <c r="F67" s="179"/>
    </row>
    <row r="68" spans="1:6" s="255" customFormat="1" ht="24">
      <c r="A68" s="195" t="s">
        <v>1803</v>
      </c>
      <c r="B68" s="178">
        <f>'Sources and Uses Budget'!$C67</f>
        <v>0</v>
      </c>
      <c r="C68" s="178">
        <f>'Sources and Uses Budget'!$C67</f>
        <v>0</v>
      </c>
      <c r="D68" s="182"/>
      <c r="E68" s="180"/>
      <c r="F68" s="179"/>
    </row>
    <row r="69" spans="1:6" s="255" customFormat="1">
      <c r="A69" s="195" t="s">
        <v>1804</v>
      </c>
      <c r="B69" s="178">
        <f>'Sources and Uses Budget'!$C68</f>
        <v>0</v>
      </c>
      <c r="C69" s="178">
        <f>'Sources and Uses Budget'!$C68</f>
        <v>0</v>
      </c>
      <c r="D69" s="182"/>
      <c r="E69" s="180"/>
      <c r="F69" s="179"/>
    </row>
    <row r="70" spans="1:6" s="255" customFormat="1">
      <c r="A70" s="409" t="str">
        <f>'Sources and Uses Budget'!A69</f>
        <v>Third Party Consultants</v>
      </c>
      <c r="B70" s="178">
        <f>'Sources and Uses Budget'!$C69</f>
        <v>0</v>
      </c>
      <c r="C70" s="178">
        <f>'Sources and Uses Budget'!$C69</f>
        <v>0</v>
      </c>
      <c r="D70" s="182">
        <f t="shared" si="0"/>
        <v>0</v>
      </c>
      <c r="E70" s="180"/>
      <c r="F70" s="179"/>
    </row>
    <row r="71" spans="1:6" s="255" customFormat="1">
      <c r="A71" s="106" t="s">
        <v>1806</v>
      </c>
      <c r="B71" s="182">
        <f>SUM(B66:B70)</f>
        <v>447804</v>
      </c>
      <c r="C71" s="182">
        <f>SUM(C66:C70)</f>
        <v>447804</v>
      </c>
      <c r="D71" s="182">
        <f t="shared" si="0"/>
        <v>0</v>
      </c>
      <c r="E71" s="180"/>
      <c r="F71" s="179"/>
    </row>
    <row r="72" spans="1:6" s="255" customFormat="1">
      <c r="A72" s="176" t="s">
        <v>1807</v>
      </c>
      <c r="B72" s="176"/>
      <c r="C72" s="176"/>
      <c r="D72" s="176"/>
      <c r="E72" s="194"/>
      <c r="F72" s="176"/>
    </row>
    <row r="73" spans="1:6" s="255" customFormat="1">
      <c r="A73" s="181" t="s">
        <v>1808</v>
      </c>
      <c r="B73" s="178">
        <f>'Sources and Uses Budget'!$C72</f>
        <v>0</v>
      </c>
      <c r="C73" s="178">
        <f>'Sources and Uses Budget'!$C72</f>
        <v>0</v>
      </c>
      <c r="D73" s="182">
        <f t="shared" si="0"/>
        <v>0</v>
      </c>
      <c r="E73" s="180"/>
      <c r="F73" s="179"/>
    </row>
    <row r="74" spans="1:6" s="255" customFormat="1">
      <c r="A74" s="181" t="s">
        <v>1809</v>
      </c>
      <c r="B74" s="178">
        <f>'Sources and Uses Budget'!$C73</f>
        <v>0</v>
      </c>
      <c r="C74" s="178">
        <f>'Sources and Uses Budget'!$C73</f>
        <v>0</v>
      </c>
      <c r="D74" s="182">
        <f t="shared" si="0"/>
        <v>0</v>
      </c>
      <c r="E74" s="180"/>
      <c r="F74" s="179"/>
    </row>
    <row r="75" spans="1:6" s="255" customFormat="1">
      <c r="A75" s="197" t="s">
        <v>1810</v>
      </c>
      <c r="B75" s="178">
        <f>'Sources and Uses Budget'!$C74</f>
        <v>0</v>
      </c>
      <c r="C75" s="178">
        <f>'Sources and Uses Budget'!$C74</f>
        <v>0</v>
      </c>
      <c r="D75" s="182">
        <f t="shared" si="0"/>
        <v>0</v>
      </c>
      <c r="E75" s="180"/>
      <c r="F75" s="179"/>
    </row>
    <row r="76" spans="1:6" s="255" customFormat="1">
      <c r="A76" s="181" t="s">
        <v>1811</v>
      </c>
      <c r="B76" s="178">
        <f>'Sources and Uses Budget'!$C75</f>
        <v>997510</v>
      </c>
      <c r="C76" s="178">
        <f>'Sources and Uses Budget'!$C75</f>
        <v>997510</v>
      </c>
      <c r="D76" s="182">
        <f t="shared" si="0"/>
        <v>0</v>
      </c>
      <c r="E76" s="180"/>
      <c r="F76" s="179"/>
    </row>
    <row r="77" spans="1:6" s="255" customFormat="1">
      <c r="A77" s="184" t="s">
        <v>1812</v>
      </c>
      <c r="B77" s="178">
        <f>'Sources and Uses Budget'!$C76</f>
        <v>0</v>
      </c>
      <c r="C77" s="178">
        <f>'Sources and Uses Budget'!$C76</f>
        <v>0</v>
      </c>
      <c r="D77" s="182">
        <f t="shared" si="0"/>
        <v>0</v>
      </c>
      <c r="E77" s="180"/>
      <c r="F77" s="179"/>
    </row>
    <row r="78" spans="1:6" s="255" customFormat="1">
      <c r="A78" s="183" t="s">
        <v>1813</v>
      </c>
      <c r="B78" s="182">
        <f>SUM(B73:B77)</f>
        <v>997510</v>
      </c>
      <c r="C78" s="182">
        <f>SUM(C73:C77)</f>
        <v>997510</v>
      </c>
      <c r="D78" s="182">
        <f t="shared" ref="D78:D106" si="1">C78-B78</f>
        <v>0</v>
      </c>
      <c r="E78" s="180"/>
      <c r="F78" s="179"/>
    </row>
    <row r="79" spans="1:6" s="255" customFormat="1">
      <c r="A79" s="176" t="s">
        <v>1814</v>
      </c>
      <c r="B79" s="176"/>
      <c r="C79" s="176"/>
      <c r="D79" s="176"/>
      <c r="E79" s="194"/>
      <c r="F79" s="176"/>
    </row>
    <row r="80" spans="1:6" s="255" customFormat="1">
      <c r="A80" s="410" t="s">
        <v>1815</v>
      </c>
      <c r="B80" s="178">
        <f>'Sources and Uses Budget'!$C79</f>
        <v>2403078</v>
      </c>
      <c r="C80" s="178">
        <f>'Sources and Uses Budget'!$C79</f>
        <v>2403078</v>
      </c>
      <c r="D80" s="182">
        <f t="shared" si="1"/>
        <v>0</v>
      </c>
      <c r="E80" s="180"/>
      <c r="F80" s="179"/>
    </row>
    <row r="81" spans="1:6" s="255" customFormat="1">
      <c r="A81" s="410" t="s">
        <v>1816</v>
      </c>
      <c r="B81" s="178">
        <f>'Sources and Uses Budget'!$C80</f>
        <v>632831</v>
      </c>
      <c r="C81" s="178">
        <f>'Sources and Uses Budget'!$C80</f>
        <v>632831</v>
      </c>
      <c r="D81" s="182">
        <f>C81-B81</f>
        <v>0</v>
      </c>
      <c r="E81" s="180"/>
      <c r="F81" s="179"/>
    </row>
    <row r="82" spans="1:6" s="255" customFormat="1">
      <c r="A82" s="183" t="s">
        <v>1817</v>
      </c>
      <c r="B82" s="182">
        <f>SUM(B80:B81)</f>
        <v>3035909</v>
      </c>
      <c r="C82" s="182">
        <f>SUM(C80:C81)</f>
        <v>3035909</v>
      </c>
      <c r="D82" s="182">
        <f t="shared" si="1"/>
        <v>0</v>
      </c>
      <c r="E82" s="180"/>
      <c r="F82" s="179"/>
    </row>
    <row r="83" spans="1:6" s="255" customFormat="1">
      <c r="A83" s="176" t="s">
        <v>1818</v>
      </c>
      <c r="B83" s="176"/>
      <c r="C83" s="176"/>
      <c r="D83" s="176"/>
      <c r="E83" s="194"/>
      <c r="F83" s="176"/>
    </row>
    <row r="84" spans="1:6" s="255" customFormat="1" ht="13.9" customHeight="1">
      <c r="A84" s="181" t="s">
        <v>2740</v>
      </c>
      <c r="B84" s="178">
        <f>'Sources and Uses Budget'!$C83</f>
        <v>180571</v>
      </c>
      <c r="C84" s="178">
        <f>'Sources and Uses Budget'!$C83</f>
        <v>180571</v>
      </c>
      <c r="D84" s="182">
        <f t="shared" si="1"/>
        <v>0</v>
      </c>
      <c r="E84" s="180"/>
      <c r="F84" s="179"/>
    </row>
    <row r="85" spans="1:6" s="255" customFormat="1">
      <c r="A85" s="181" t="s">
        <v>1820</v>
      </c>
      <c r="B85" s="178">
        <f>'Sources and Uses Budget'!$C84</f>
        <v>83395</v>
      </c>
      <c r="C85" s="178">
        <f>'Sources and Uses Budget'!$C84</f>
        <v>83395</v>
      </c>
      <c r="D85" s="182">
        <f t="shared" si="1"/>
        <v>0</v>
      </c>
      <c r="E85" s="180"/>
      <c r="F85" s="179"/>
    </row>
    <row r="86" spans="1:6" s="255" customFormat="1">
      <c r="A86" s="181" t="s">
        <v>1821</v>
      </c>
      <c r="B86" s="178">
        <f>'Sources and Uses Budget'!$C85</f>
        <v>4608685</v>
      </c>
      <c r="C86" s="178">
        <f>'Sources and Uses Budget'!$C85</f>
        <v>4608685</v>
      </c>
      <c r="D86" s="182">
        <f t="shared" si="1"/>
        <v>0</v>
      </c>
      <c r="E86" s="180"/>
      <c r="F86" s="179"/>
    </row>
    <row r="87" spans="1:6" s="255" customFormat="1">
      <c r="A87" s="181" t="s">
        <v>1822</v>
      </c>
      <c r="B87" s="178">
        <f>'Sources and Uses Budget'!$C86</f>
        <v>2514746</v>
      </c>
      <c r="C87" s="178">
        <f>'Sources and Uses Budget'!$C86</f>
        <v>2514746</v>
      </c>
      <c r="D87" s="182">
        <f t="shared" si="1"/>
        <v>0</v>
      </c>
      <c r="E87" s="180"/>
      <c r="F87" s="179"/>
    </row>
    <row r="88" spans="1:6" s="255" customFormat="1">
      <c r="A88" s="181" t="s">
        <v>1823</v>
      </c>
      <c r="B88" s="178">
        <f>'Sources and Uses Budget'!$C87</f>
        <v>0</v>
      </c>
      <c r="C88" s="178">
        <f>'Sources and Uses Budget'!$C87</f>
        <v>0</v>
      </c>
      <c r="D88" s="182">
        <f t="shared" si="1"/>
        <v>0</v>
      </c>
      <c r="E88" s="180"/>
      <c r="F88" s="179"/>
    </row>
    <row r="89" spans="1:6" s="255" customFormat="1">
      <c r="A89" s="181" t="s">
        <v>1824</v>
      </c>
      <c r="B89" s="178">
        <f>'Sources and Uses Budget'!$C88</f>
        <v>150000</v>
      </c>
      <c r="C89" s="178">
        <f>'Sources and Uses Budget'!$C88</f>
        <v>150000</v>
      </c>
      <c r="D89" s="182">
        <f t="shared" si="1"/>
        <v>0</v>
      </c>
      <c r="E89" s="180"/>
      <c r="F89" s="179"/>
    </row>
    <row r="90" spans="1:6" s="255" customFormat="1">
      <c r="A90" s="181" t="s">
        <v>1825</v>
      </c>
      <c r="B90" s="178">
        <f>'Sources and Uses Budget'!$C89</f>
        <v>0</v>
      </c>
      <c r="C90" s="178">
        <f>'Sources and Uses Budget'!$C89</f>
        <v>0</v>
      </c>
      <c r="D90" s="182">
        <f t="shared" si="1"/>
        <v>0</v>
      </c>
      <c r="E90" s="180"/>
      <c r="F90" s="179"/>
    </row>
    <row r="91" spans="1:6" s="255" customFormat="1">
      <c r="A91" s="181" t="s">
        <v>1826</v>
      </c>
      <c r="B91" s="178">
        <f>'Sources and Uses Budget'!$C90</f>
        <v>35000</v>
      </c>
      <c r="C91" s="178">
        <f>'Sources and Uses Budget'!$C90</f>
        <v>35000</v>
      </c>
      <c r="D91" s="182">
        <f t="shared" si="1"/>
        <v>0</v>
      </c>
      <c r="E91" s="180"/>
      <c r="F91" s="179"/>
    </row>
    <row r="92" spans="1:6" s="255" customFormat="1">
      <c r="A92" s="181" t="s">
        <v>1827</v>
      </c>
      <c r="B92" s="178">
        <f>'Sources and Uses Budget'!$C91</f>
        <v>0</v>
      </c>
      <c r="C92" s="178">
        <f>'Sources and Uses Budget'!$C91</f>
        <v>0</v>
      </c>
      <c r="D92" s="182">
        <f t="shared" si="1"/>
        <v>0</v>
      </c>
      <c r="E92" s="180"/>
      <c r="F92" s="179"/>
    </row>
    <row r="93" spans="1:6" s="255" customFormat="1">
      <c r="A93" s="410" t="s">
        <v>1828</v>
      </c>
      <c r="B93" s="178">
        <f>'Sources and Uses Budget'!$C92</f>
        <v>0</v>
      </c>
      <c r="C93" s="178">
        <f>'Sources and Uses Budget'!$C92</f>
        <v>0</v>
      </c>
      <c r="D93" s="182">
        <f t="shared" si="1"/>
        <v>0</v>
      </c>
      <c r="E93" s="180"/>
      <c r="F93" s="179"/>
    </row>
    <row r="94" spans="1:6" s="255" customFormat="1">
      <c r="A94" s="184" t="s">
        <v>1812</v>
      </c>
      <c r="B94" s="178">
        <f>'Sources and Uses Budget'!$C93</f>
        <v>0</v>
      </c>
      <c r="C94" s="178">
        <f>'Sources and Uses Budget'!$C93</f>
        <v>0</v>
      </c>
      <c r="D94" s="182">
        <f t="shared" si="1"/>
        <v>0</v>
      </c>
      <c r="E94" s="180"/>
      <c r="F94" s="179"/>
    </row>
    <row r="95" spans="1:6" s="255" customFormat="1">
      <c r="A95" s="184" t="s">
        <v>1812</v>
      </c>
      <c r="B95" s="178">
        <f>'Sources and Uses Budget'!$C94</f>
        <v>0</v>
      </c>
      <c r="C95" s="178">
        <f>'Sources and Uses Budget'!$C94</f>
        <v>0</v>
      </c>
      <c r="D95" s="182">
        <f t="shared" si="1"/>
        <v>0</v>
      </c>
      <c r="E95" s="180"/>
      <c r="F95" s="179"/>
    </row>
    <row r="96" spans="1:6" s="255" customFormat="1">
      <c r="A96" s="184" t="s">
        <v>1812</v>
      </c>
      <c r="B96" s="178">
        <f>'Sources and Uses Budget'!$C95</f>
        <v>0</v>
      </c>
      <c r="C96" s="178">
        <f>'Sources and Uses Budget'!$C95</f>
        <v>0</v>
      </c>
      <c r="D96" s="182">
        <f t="shared" si="1"/>
        <v>0</v>
      </c>
      <c r="E96" s="180"/>
      <c r="F96" s="179"/>
    </row>
    <row r="97" spans="1:6" s="255" customFormat="1">
      <c r="A97" s="183" t="s">
        <v>1829</v>
      </c>
      <c r="B97" s="182">
        <f>SUM(B84:B96)</f>
        <v>7572397</v>
      </c>
      <c r="C97" s="182">
        <f>SUM(C84:C96)</f>
        <v>7572397</v>
      </c>
      <c r="D97" s="182">
        <f t="shared" si="1"/>
        <v>0</v>
      </c>
      <c r="E97" s="180"/>
      <c r="F97" s="179"/>
    </row>
    <row r="98" spans="1:6" s="255" customFormat="1">
      <c r="A98" s="183" t="s">
        <v>1830</v>
      </c>
      <c r="B98" s="182">
        <f>SUM(B64+B71+B78+B82+B97)</f>
        <v>78148485</v>
      </c>
      <c r="C98" s="182">
        <f>SUM(C64+C71+C78+C82+C97)</f>
        <v>78148485</v>
      </c>
      <c r="D98" s="182">
        <f t="shared" si="1"/>
        <v>0</v>
      </c>
      <c r="E98" s="180"/>
      <c r="F98" s="179"/>
    </row>
    <row r="99" spans="1:6" s="255" customFormat="1">
      <c r="A99" s="176" t="s">
        <v>1831</v>
      </c>
      <c r="B99" s="176"/>
      <c r="C99" s="176"/>
      <c r="D99" s="176"/>
      <c r="E99" s="194"/>
      <c r="F99" s="176"/>
    </row>
    <row r="100" spans="1:6" s="255" customFormat="1">
      <c r="A100" s="195" t="s">
        <v>1832</v>
      </c>
      <c r="B100" s="178">
        <f>'Sources and Uses Budget'!$C99</f>
        <v>10679509</v>
      </c>
      <c r="C100" s="178">
        <f>'Sources and Uses Budget'!$C99</f>
        <v>10679509</v>
      </c>
      <c r="D100" s="182">
        <f t="shared" si="1"/>
        <v>0</v>
      </c>
      <c r="E100" s="180"/>
      <c r="F100" s="179"/>
    </row>
    <row r="101" spans="1:6" s="255" customFormat="1">
      <c r="A101" s="195" t="s">
        <v>1833</v>
      </c>
      <c r="B101" s="178">
        <f>'Sources and Uses Budget'!$C100</f>
        <v>0</v>
      </c>
      <c r="C101" s="178">
        <f>'Sources and Uses Budget'!$C100</f>
        <v>0</v>
      </c>
      <c r="D101" s="182">
        <f t="shared" si="1"/>
        <v>0</v>
      </c>
      <c r="E101" s="180"/>
      <c r="F101" s="179"/>
    </row>
    <row r="102" spans="1:6" s="255" customFormat="1">
      <c r="A102" s="195" t="s">
        <v>1834</v>
      </c>
      <c r="B102" s="178">
        <f>'Sources and Uses Budget'!$C101</f>
        <v>0</v>
      </c>
      <c r="C102" s="178">
        <f>'Sources and Uses Budget'!$C101</f>
        <v>0</v>
      </c>
      <c r="D102" s="182">
        <f t="shared" si="1"/>
        <v>0</v>
      </c>
      <c r="E102" s="180"/>
      <c r="F102" s="179"/>
    </row>
    <row r="103" spans="1:6" s="255" customFormat="1" ht="12" customHeight="1">
      <c r="A103" s="195" t="s">
        <v>1835</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1836</v>
      </c>
      <c r="B105" s="182">
        <f>SUM(B100:B104)</f>
        <v>10679509</v>
      </c>
      <c r="C105" s="182">
        <f>SUM(C100:C104)</f>
        <v>10679509</v>
      </c>
      <c r="D105" s="182">
        <f t="shared" si="1"/>
        <v>0</v>
      </c>
      <c r="E105" s="180"/>
      <c r="F105" s="179"/>
    </row>
    <row r="106" spans="1:6" s="255" customFormat="1">
      <c r="A106" s="183" t="s">
        <v>1837</v>
      </c>
      <c r="B106" s="185">
        <f>SUM(B98+B105)</f>
        <v>88827994</v>
      </c>
      <c r="C106" s="185">
        <f>SUM(C98+C105)</f>
        <v>88827994</v>
      </c>
      <c r="D106" s="182">
        <f t="shared" si="1"/>
        <v>0</v>
      </c>
      <c r="E106" s="180"/>
      <c r="F106" s="179"/>
    </row>
    <row r="107" spans="1:6" s="255" customFormat="1">
      <c r="A107" s="189" t="s">
        <v>2741</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9C756D62945D5B45BB59863AAD9E54D5" ma:contentTypeVersion="14" ma:contentTypeDescription="Create a new document." ma:contentTypeScope="" ma:versionID="03974927331efe7e75283ff1d1c2f64a">
  <xsd:schema xmlns:xsd="http://www.w3.org/2001/XMLSchema" xmlns:xs="http://www.w3.org/2001/XMLSchema" xmlns:p="http://schemas.microsoft.com/office/2006/metadata/properties" xmlns:ns2="2532152c-ba02-416c-b65f-a6064540f87e" xmlns:ns3="3e12267e-d80a-4ccb-ae37-fa8e0043846e" targetNamespace="http://schemas.microsoft.com/office/2006/metadata/properties" ma:root="true" ma:fieldsID="4bae28b2b8eeff6ac340147bf7623309" ns2:_="" ns3:_="">
    <xsd:import namespace="2532152c-ba02-416c-b65f-a6064540f87e"/>
    <xsd:import namespace="3e12267e-d80a-4ccb-ae37-fa8e0043846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32152c-ba02-416c-b65f-a6064540f8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a6e687a-534e-42ad-adbb-4b89e5026bb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12267e-d80a-4ccb-ae37-fa8e0043846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bf6eb89-e885-4a93-8a6b-ca8decdb40f3}" ma:internalName="TaxCatchAll" ma:showField="CatchAllData" ma:web="3e12267e-d80a-4ccb-ae37-fa8e004384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2532152c-ba02-416c-b65f-a6064540f87e">
      <Terms xmlns="http://schemas.microsoft.com/office/infopath/2007/PartnerControls"/>
    </lcf76f155ced4ddcb4097134ff3c332f>
    <TaxCatchAll xmlns="3e12267e-d80a-4ccb-ae37-fa8e0043846e" xsi:nil="true"/>
  </documentManagement>
</p:properties>
</file>

<file path=customXml/itemProps1.xml><?xml version="1.0" encoding="utf-8"?>
<ds:datastoreItem xmlns:ds="http://schemas.openxmlformats.org/officeDocument/2006/customXml" ds:itemID="{06A7DEE4-76E8-4EF4-9417-11433FE621DB}">
  <ds:schemaRefs>
    <ds:schemaRef ds:uri="http://schemas.microsoft.com/DataMashup"/>
  </ds:schemaRefs>
</ds:datastoreItem>
</file>

<file path=customXml/itemProps2.xml><?xml version="1.0" encoding="utf-8"?>
<ds:datastoreItem xmlns:ds="http://schemas.openxmlformats.org/officeDocument/2006/customXml" ds:itemID="{03C111AC-BB84-426F-B6F9-98A8B91947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32152c-ba02-416c-b65f-a6064540f87e"/>
    <ds:schemaRef ds:uri="3e12267e-d80a-4ccb-ae37-fa8e00438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4D595E-3A7C-47E5-9AE1-D47480EBCC25}">
  <ds:schemaRefs>
    <ds:schemaRef ds:uri="http://schemas.microsoft.com/sharepoint/v3/contenttype/forms"/>
  </ds:schemaRefs>
</ds:datastoreItem>
</file>

<file path=customXml/itemProps4.xml><?xml version="1.0" encoding="utf-8"?>
<ds:datastoreItem xmlns:ds="http://schemas.openxmlformats.org/officeDocument/2006/customXml" ds:itemID="{5169CFE7-653C-40D8-84D7-DE4B3EE16089}">
  <ds:schemaRefs>
    <ds:schemaRef ds:uri="http://schemas.microsoft.com/office/2006/metadata/properties"/>
    <ds:schemaRef ds:uri="http://schemas.microsoft.com/office/infopath/2007/PartnerControls"/>
    <ds:schemaRef ds:uri="2532152c-ba02-416c-b65f-a6064540f87e"/>
    <ds:schemaRef ds:uri="3e12267e-d80a-4ccb-ae37-fa8e0043846e"/>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Rodolfo Pe</cp:lastModifiedBy>
  <cp:revision/>
  <dcterms:created xsi:type="dcterms:W3CDTF">2007-12-27T18:26:28Z</dcterms:created>
  <dcterms:modified xsi:type="dcterms:W3CDTF">2025-09-06T01:31:36Z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0x0101009C756D62945D5B45BB59863AAD9E54D5</vt:lpwstr>
  </property>
</Properties>
</file>