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Oasis Villas\Funding\TCAC\TCAC_CDLAC Application_September 2025\"/>
    </mc:Choice>
  </mc:AlternateContent>
  <xr:revisionPtr revIDLastSave="0" documentId="8_{5FD95738-D6D9-43CA-947F-2DA95CBC8759}" xr6:coauthVersionLast="47" xr6:coauthVersionMax="47" xr10:uidLastSave="{00000000-0000-0000-0000-000000000000}"/>
  <bookViews>
    <workbookView xWindow="-110" yWindow="-110" windowWidth="19420" windowHeight="10300" firstSheet="5" activeTab="7"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7" i="3" l="1"/>
  <c r="T724" i="3"/>
  <c r="T721" i="3"/>
  <c r="T718" i="3"/>
  <c r="O718" i="3"/>
  <c r="C93" i="4"/>
  <c r="C36" i="4"/>
  <c r="C92" i="4"/>
  <c r="C90" i="4"/>
  <c r="C89" i="4"/>
  <c r="C88" i="4"/>
  <c r="C86" i="4"/>
  <c r="C85" i="4"/>
  <c r="C84" i="4"/>
  <c r="C80" i="4"/>
  <c r="C69" i="4"/>
  <c r="C65" i="4"/>
  <c r="C61" i="4"/>
  <c r="C58" i="4"/>
  <c r="C53" i="4"/>
  <c r="C52" i="4"/>
  <c r="C51" i="4"/>
  <c r="C50" i="4"/>
  <c r="C43" i="4"/>
  <c r="C41" i="4"/>
  <c r="C40" i="4"/>
  <c r="C37" i="4"/>
  <c r="C35" i="4"/>
  <c r="C33" i="4"/>
  <c r="C32" i="4"/>
  <c r="C31" i="4"/>
  <c r="C29" i="4"/>
  <c r="C10" i="4"/>
  <c r="C6" i="4"/>
  <c r="C4" i="4"/>
  <c r="J4" i="4" s="1"/>
  <c r="F13" i="8"/>
  <c r="F14" i="8" s="1"/>
  <c r="F15" i="8" s="1"/>
  <c r="F10" i="8"/>
  <c r="F11" i="8" s="1"/>
  <c r="F12" i="8" s="1"/>
  <c r="F7" i="8"/>
  <c r="F8" i="8" s="1"/>
  <c r="F9" i="8" s="1"/>
  <c r="S65" i="4" l="1"/>
  <c r="AC890" i="3"/>
  <c r="F4" i="8"/>
  <c r="F5" i="8" s="1"/>
  <c r="F6" i="8" s="1"/>
  <c r="W871" i="3"/>
  <c r="W866" i="3"/>
  <c r="W863" i="3"/>
  <c r="W846" i="3"/>
  <c r="W861" i="3"/>
  <c r="W854" i="3"/>
  <c r="T728" i="3"/>
  <c r="T729" i="3" s="1"/>
  <c r="T725" i="3"/>
  <c r="T726" i="3" s="1"/>
  <c r="T722" i="3"/>
  <c r="T723" i="3" s="1"/>
  <c r="T719" i="3"/>
  <c r="T720" i="3" s="1"/>
  <c r="AM560" i="3"/>
  <c r="AO633" i="3" s="1"/>
  <c r="L6" i="4" s="1"/>
  <c r="C630" i="3"/>
  <c r="C631" i="3"/>
  <c r="C629" i="3"/>
  <c r="W628" i="3"/>
  <c r="W627" i="3"/>
  <c r="T628" i="3"/>
  <c r="T627" i="3"/>
  <c r="AM558" i="3"/>
  <c r="AO631" i="3" s="1"/>
  <c r="AM557" i="3"/>
  <c r="AO630" i="3" s="1"/>
  <c r="I29" i="4" s="1"/>
  <c r="W555" i="3"/>
  <c r="W554" i="3"/>
  <c r="AD67" i="15"/>
  <c r="Y67" i="15"/>
  <c r="C79" i="4" l="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AF629" i="3"/>
  <c r="R53" i="21" a="1"/>
  <c r="R53" i="21" s="1"/>
  <c r="T45" i="21"/>
  <c r="S47"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C56" i="4" l="1"/>
  <c r="BE8" i="3"/>
  <c r="BE9" i="3" s="1"/>
  <c r="J29" i="23"/>
  <c r="AT24" i="23" s="1"/>
  <c r="BH247" i="3"/>
  <c r="T212" i="3"/>
  <c r="I14" i="21"/>
  <c r="G137" i="21"/>
  <c r="G86" i="21"/>
  <c r="B82" i="21"/>
  <c r="B67" i="21"/>
  <c r="B92" i="21"/>
  <c r="B58" i="21"/>
  <c r="B49" i="21"/>
  <c r="C75" i="4" l="1"/>
  <c r="AC886" i="3" s="1"/>
  <c r="BA1042" i="3"/>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CZ722" i="3"/>
  <c r="CZ723" i="3"/>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DE725" i="3"/>
  <c r="DE726" i="3"/>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DJ728" i="3"/>
  <c r="DJ729" i="3"/>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S36" i="4" s="1"/>
  <c r="E36" i="13" s="1"/>
  <c r="B66" i="4"/>
  <c r="E66" i="4" s="1"/>
  <c r="R66" i="4" s="1"/>
  <c r="B67" i="4"/>
  <c r="E67" i="4" s="1"/>
  <c r="R67" i="4" s="1"/>
  <c r="B68" i="4"/>
  <c r="E68" i="4" s="1"/>
  <c r="R68" i="4" s="1"/>
  <c r="B69" i="4"/>
  <c r="E69" i="4" s="1"/>
  <c r="R69" i="4" s="1"/>
  <c r="S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65" i="13"/>
  <c r="E48" i="13"/>
  <c r="E47" i="13"/>
  <c r="E27" i="13"/>
  <c r="E25" i="13"/>
  <c r="E23" i="13"/>
  <c r="E22" i="13"/>
  <c r="E21" i="13"/>
  <c r="E20" i="13"/>
  <c r="E19" i="13"/>
  <c r="E18" i="13"/>
  <c r="E17" i="13"/>
  <c r="E15" i="13"/>
  <c r="E14" i="13"/>
  <c r="E13" i="13"/>
  <c r="B95" i="13"/>
  <c r="B94" i="13"/>
  <c r="B93" i="13"/>
  <c r="B92" i="13"/>
  <c r="B91" i="13"/>
  <c r="B90" i="13"/>
  <c r="B89" i="13"/>
  <c r="B88" i="13"/>
  <c r="B87" i="13"/>
  <c r="B86" i="13"/>
  <c r="B85" i="13"/>
  <c r="B84" i="13"/>
  <c r="B79" i="13"/>
  <c r="B75" i="13"/>
  <c r="B74" i="13"/>
  <c r="B73" i="13"/>
  <c r="B72"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27" i="4"/>
  <c r="R25" i="4"/>
  <c r="R23" i="4"/>
  <c r="R22" i="4"/>
  <c r="R21" i="4"/>
  <c r="R20" i="4"/>
  <c r="R19" i="4"/>
  <c r="R18" i="4"/>
  <c r="R17" i="4"/>
  <c r="R15" i="4"/>
  <c r="R14" i="4"/>
  <c r="R13"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A4" i="8"/>
  <c r="A5" i="8"/>
  <c r="A6" i="8"/>
  <c r="A7" i="8"/>
  <c r="A8" i="8"/>
  <c r="A9" i="8"/>
  <c r="A10" i="8"/>
  <c r="A11" i="8"/>
  <c r="A12" i="8"/>
  <c r="A13" i="8"/>
  <c r="A14" i="8"/>
  <c r="A15" i="8"/>
  <c r="A16" i="8"/>
  <c r="D16" i="8"/>
  <c r="A17" i="8"/>
  <c r="D17" i="8"/>
  <c r="A18" i="8"/>
  <c r="D18" i="8"/>
  <c r="A19" i="8"/>
  <c r="D19" i="8"/>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62" i="4"/>
  <c r="B62" i="13" s="1"/>
  <c r="D8" i="4"/>
  <c r="D11" i="4"/>
  <c r="D26" i="4"/>
  <c r="D38" i="4"/>
  <c r="D42" i="4"/>
  <c r="D54" i="4"/>
  <c r="D62" i="4"/>
  <c r="D77" i="4"/>
  <c r="D96" i="4"/>
  <c r="D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S10" i="4" s="1"/>
  <c r="E10" i="13" s="1"/>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E31" i="4" s="1"/>
  <c r="R31" i="4" s="1"/>
  <c r="S31" i="4" s="1"/>
  <c r="E31" i="13" s="1"/>
  <c r="B32" i="4"/>
  <c r="E32" i="4" s="1"/>
  <c r="R32" i="4" s="1"/>
  <c r="S32" i="4" s="1"/>
  <c r="E32" i="13" s="1"/>
  <c r="B33" i="4"/>
  <c r="E33" i="4" s="1"/>
  <c r="R33" i="4" s="1"/>
  <c r="S33" i="4" s="1"/>
  <c r="E33" i="13" s="1"/>
  <c r="B35" i="4"/>
  <c r="E35" i="4" s="1"/>
  <c r="R35" i="4" s="1"/>
  <c r="S35" i="4" s="1"/>
  <c r="E35" i="13" s="1"/>
  <c r="B37" i="4"/>
  <c r="E37" i="4" s="1"/>
  <c r="R37" i="4" s="1"/>
  <c r="S37" i="4" s="1"/>
  <c r="E37" i="13" s="1"/>
  <c r="K38" i="4"/>
  <c r="L38" i="4"/>
  <c r="O38" i="4"/>
  <c r="P38" i="4"/>
  <c r="P42" i="4"/>
  <c r="P54" i="4"/>
  <c r="P62" i="4"/>
  <c r="P70" i="4"/>
  <c r="P77" i="4"/>
  <c r="P96" i="4"/>
  <c r="P104" i="4"/>
  <c r="Q38" i="4"/>
  <c r="B40" i="4"/>
  <c r="E40" i="4" s="1"/>
  <c r="R40" i="4" s="1"/>
  <c r="S40" i="4" s="1"/>
  <c r="E40" i="13" s="1"/>
  <c r="B41" i="4"/>
  <c r="E41" i="4" s="1"/>
  <c r="R41" i="4" s="1"/>
  <c r="S41" i="4" s="1"/>
  <c r="G42" i="4"/>
  <c r="H42" i="4"/>
  <c r="K42" i="4"/>
  <c r="L42" i="4"/>
  <c r="O42" i="4"/>
  <c r="Q42" i="4"/>
  <c r="B43" i="4"/>
  <c r="E43" i="4" s="1"/>
  <c r="R43" i="4" s="1"/>
  <c r="S43" i="4" s="1"/>
  <c r="E43" i="13" s="1"/>
  <c r="B47" i="4"/>
  <c r="E47" i="4" s="1"/>
  <c r="R47" i="4" s="1"/>
  <c r="B48" i="4"/>
  <c r="E48" i="4" s="1"/>
  <c r="R48" i="4" s="1"/>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F77" i="4"/>
  <c r="G77" i="4"/>
  <c r="H77" i="4"/>
  <c r="I77" i="4"/>
  <c r="K77" i="4"/>
  <c r="L77" i="4"/>
  <c r="Q77" i="4"/>
  <c r="B79" i="4"/>
  <c r="E79" i="4" s="1"/>
  <c r="B84" i="4"/>
  <c r="E84" i="4" s="1"/>
  <c r="R84" i="4" s="1"/>
  <c r="S84" i="4" s="1"/>
  <c r="B85" i="4"/>
  <c r="E85" i="4" s="1"/>
  <c r="R85" i="4" s="1"/>
  <c r="S85" i="4" s="1"/>
  <c r="E85" i="13" s="1"/>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L104" i="4"/>
  <c r="Q104" i="4"/>
  <c r="I108" i="4"/>
  <c r="J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Q832" i="3"/>
  <c r="U832" i="3"/>
  <c r="Y832" i="3"/>
  <c r="AC832" i="3"/>
  <c r="AG832" i="3"/>
  <c r="Z902" i="3"/>
  <c r="E42" i="4" l="1"/>
  <c r="E11" i="4"/>
  <c r="S70" i="4"/>
  <c r="E70" i="13" s="1"/>
  <c r="E69" i="13"/>
  <c r="E62" i="4"/>
  <c r="E81" i="4"/>
  <c r="E41" i="13"/>
  <c r="S42" i="4"/>
  <c r="E42" i="13" s="1"/>
  <c r="E84" i="13"/>
  <c r="S96" i="4"/>
  <c r="E96" i="13" s="1"/>
  <c r="E70" i="4"/>
  <c r="BE23" i="3"/>
  <c r="E4" i="4"/>
  <c r="B26" i="4"/>
  <c r="R79" i="4"/>
  <c r="S79" i="4"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D95" i="11"/>
  <c r="C12" i="4"/>
  <c r="B12" i="13" s="1"/>
  <c r="D75" i="11"/>
  <c r="D62" i="11"/>
  <c r="D58" i="11"/>
  <c r="L12" i="4"/>
  <c r="D38" i="11"/>
  <c r="B42" i="4"/>
  <c r="H12" i="4"/>
  <c r="D51" i="11"/>
  <c r="D49" i="11"/>
  <c r="D48" i="11"/>
  <c r="D20" i="11"/>
  <c r="D15" i="11"/>
  <c r="D8" i="11"/>
  <c r="D41" i="11"/>
  <c r="D12" i="13"/>
  <c r="D74" i="11"/>
  <c r="C12" i="13"/>
  <c r="D73" i="11"/>
  <c r="D53" i="11"/>
  <c r="D21" i="11"/>
  <c r="D16" i="11"/>
  <c r="B12" i="11"/>
  <c r="D5" i="11"/>
  <c r="D76" i="11"/>
  <c r="D66" i="11"/>
  <c r="D59" i="11"/>
  <c r="D42" i="11"/>
  <c r="D28" i="11"/>
  <c r="N63" i="4"/>
  <c r="N97" i="4" s="1"/>
  <c r="N105" i="4" s="1"/>
  <c r="D12" i="4"/>
  <c r="C43" i="11"/>
  <c r="F12" i="4"/>
  <c r="D11" i="11"/>
  <c r="C63" i="11"/>
  <c r="F63" i="13"/>
  <c r="F97" i="13" s="1"/>
  <c r="F105" i="13" s="1"/>
  <c r="F107" i="13" s="1"/>
  <c r="D24" i="11"/>
  <c r="B71" i="11"/>
  <c r="O12" i="4"/>
  <c r="D10" i="11"/>
  <c r="B43" i="11"/>
  <c r="Q12" i="4"/>
  <c r="K12" i="4"/>
  <c r="D61" i="11"/>
  <c r="D57" i="11"/>
  <c r="B9" i="11"/>
  <c r="J12" i="4"/>
  <c r="D30" i="11"/>
  <c r="D22" i="11"/>
  <c r="D80"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J63" i="13"/>
  <c r="J97" i="13" s="1"/>
  <c r="J105" i="13" s="1"/>
  <c r="J107" i="13" s="1"/>
  <c r="D81" i="11"/>
  <c r="D60" i="11"/>
  <c r="M12" i="4"/>
  <c r="D63" i="4"/>
  <c r="D97" i="4" s="1"/>
  <c r="D105" i="4" s="1"/>
  <c r="BE68" i="3" s="1"/>
  <c r="R26" i="4"/>
  <c r="R42" i="4"/>
  <c r="R62" i="4"/>
  <c r="D63" i="13"/>
  <c r="D97" i="13" s="1"/>
  <c r="D105" i="13" s="1"/>
  <c r="D23" i="11"/>
  <c r="D19" i="11"/>
  <c r="D14" i="11"/>
  <c r="D7" i="11"/>
  <c r="G63" i="13"/>
  <c r="G97" i="13" s="1"/>
  <c r="G105" i="13" s="1"/>
  <c r="G107" i="13" s="1"/>
  <c r="M53" i="7"/>
  <c r="K58" i="7"/>
  <c r="N188" i="23"/>
  <c r="C27" i="11"/>
  <c r="B82" i="11"/>
  <c r="I58" i="7"/>
  <c r="C9" i="11"/>
  <c r="B63" i="11"/>
  <c r="T63" i="4"/>
  <c r="K63" i="4"/>
  <c r="K97" i="4" s="1"/>
  <c r="CI753" i="3"/>
  <c r="X1048" i="3" s="1"/>
  <c r="BG243" i="3"/>
  <c r="BO245" i="3" s="1"/>
  <c r="T267"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T808" i="20"/>
  <c r="AF808" i="20" s="1"/>
  <c r="BE75" i="3" s="1"/>
  <c r="R21" i="21" a="1"/>
  <c r="R21" i="21"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81" i="4" l="1"/>
  <c r="E79" i="13"/>
  <c r="S81" i="4"/>
  <c r="E81" i="13" s="1"/>
  <c r="R4" i="4"/>
  <c r="R8" i="4" s="1"/>
  <c r="R12" i="4" s="1"/>
  <c r="E8" i="4"/>
  <c r="E12" i="4" s="1"/>
  <c r="D43" i="11"/>
  <c r="D71" i="11"/>
  <c r="B12" i="4"/>
  <c r="N195" i="23"/>
  <c r="D82" i="11"/>
  <c r="D12" i="11"/>
  <c r="D63"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T727" i="3"/>
  <c r="BT735" i="3"/>
  <c r="BU735" i="3" s="1"/>
  <c r="BT743" i="3"/>
  <c r="BU743" i="3" s="1"/>
  <c r="BT752" i="3"/>
  <c r="BU752" i="3" s="1"/>
  <c r="BT720" i="3"/>
  <c r="BT728" i="3"/>
  <c r="BT736" i="3"/>
  <c r="BU736" i="3" s="1"/>
  <c r="BT744" i="3"/>
  <c r="BU744" i="3" s="1"/>
  <c r="BT718" i="3"/>
  <c r="BT721" i="3"/>
  <c r="BT729" i="3"/>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EC645" i="3"/>
  <c r="EC647" i="3"/>
  <c r="EC653" i="3"/>
  <c r="EC649" i="3"/>
  <c r="DX646" i="3"/>
  <c r="EC638" i="3"/>
  <c r="EC650" i="3"/>
  <c r="DU778" i="3"/>
  <c r="EC657" i="3"/>
  <c r="EC656" i="3"/>
  <c r="EC643" i="3"/>
  <c r="EC668" i="3"/>
  <c r="EC669" i="3"/>
  <c r="EC64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0" i="3"/>
  <c r="ER652" i="3"/>
  <c r="ER641" i="3"/>
  <c r="ER643" i="3"/>
  <c r="ER655" i="3"/>
  <c r="ER669" i="3"/>
  <c r="ER653" i="3"/>
  <c r="ER635" i="3"/>
  <c r="ER638" i="3"/>
  <c r="ER657" i="3"/>
  <c r="ER649" i="3"/>
  <c r="ER637" i="3"/>
  <c r="ER656" i="3"/>
  <c r="ER639" i="3"/>
  <c r="ER654" i="3"/>
  <c r="ER648" i="3"/>
  <c r="EM652" i="3"/>
  <c r="AG1049" i="3"/>
  <c r="ER642" i="3"/>
  <c r="CZ802" i="3"/>
  <c r="AB988" i="3" s="1"/>
  <c r="AJ988" i="3" s="1"/>
  <c r="EH643" i="3"/>
  <c r="EH654" i="3"/>
  <c r="EH651" i="3"/>
  <c r="EH635" i="3"/>
  <c r="EH647" i="3"/>
  <c r="EH645" i="3"/>
  <c r="EH649" i="3"/>
  <c r="EH650" i="3"/>
  <c r="EH669" i="3"/>
  <c r="EH652" i="3"/>
  <c r="EH648" i="3"/>
  <c r="EH636" i="3"/>
  <c r="DD755" i="3"/>
  <c r="EH642"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54" i="3"/>
  <c r="DI755" i="3"/>
  <c r="EM669" i="3"/>
  <c r="EM637" i="3"/>
  <c r="EM657" i="3"/>
  <c r="EM655" i="3"/>
  <c r="EM668" i="3"/>
  <c r="EM640" i="3"/>
  <c r="EM645" i="3"/>
  <c r="EM647" i="3"/>
  <c r="EM639" i="3"/>
  <c r="EM649" i="3"/>
  <c r="EM656" i="3"/>
  <c r="EM644" i="3"/>
  <c r="EM638" i="3"/>
  <c r="EM648" i="3"/>
  <c r="EH637" i="3"/>
  <c r="ET799" i="3"/>
  <c r="EM635" i="3"/>
  <c r="K15" i="7"/>
  <c r="I22" i="7"/>
  <c r="E29" i="21"/>
  <c r="G24" i="21"/>
  <c r="E32" i="7" l="1"/>
  <c r="G32" i="7" s="1"/>
  <c r="I32" i="7" s="1"/>
  <c r="K32" i="7" s="1"/>
  <c r="M32" i="7" s="1"/>
  <c r="O32" i="7" s="1"/>
  <c r="Q32" i="7" s="1"/>
  <c r="S32" i="7" s="1"/>
  <c r="U32" i="7" s="1"/>
  <c r="W32" i="7" s="1"/>
  <c r="Y32" i="7" s="1"/>
  <c r="AA32" i="7" s="1"/>
  <c r="AC32" i="7" s="1"/>
  <c r="AE32" i="7" s="1"/>
  <c r="AG32" i="7"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AK84" i="20"/>
  <c r="AK191" i="20" s="1"/>
  <c r="T811" i="20" s="1"/>
  <c r="AF811" i="20" s="1"/>
  <c r="BE76" i="3" s="1"/>
  <c r="D13" i="11"/>
  <c r="O58" i="7"/>
  <c r="Q53" i="7"/>
  <c r="T105" i="4"/>
  <c r="H97" i="13"/>
  <c r="P20" i="21" a="1"/>
  <c r="P20" i="21" s="1"/>
  <c r="S20" i="21" s="1"/>
  <c r="DU755" i="3"/>
  <c r="O756" i="3" s="1"/>
  <c r="BG753" i="3"/>
  <c r="BT753" i="3"/>
  <c r="AX695" i="20"/>
  <c r="AO695" i="20" s="1"/>
  <c r="BH718" i="3"/>
  <c r="DX670" i="3"/>
  <c r="E130" i="20" s="1"/>
  <c r="E133" i="20" s="1"/>
  <c r="E136" i="20" s="1"/>
  <c r="AW122" i="20"/>
  <c r="K8" i="7"/>
  <c r="M8" i="7" s="1"/>
  <c r="EW670" i="3"/>
  <c r="AD130" i="20" s="1"/>
  <c r="AD133" i="20" s="1"/>
  <c r="AD136" i="20" s="1"/>
  <c r="AJ986" i="3"/>
  <c r="AB990" i="3"/>
  <c r="AJ990" i="3" s="1"/>
  <c r="M15" i="7"/>
  <c r="K22" i="7"/>
  <c r="K35" i="7" s="1"/>
  <c r="F27" i="21"/>
  <c r="G61" i="21"/>
  <c r="G63" i="21" s="1"/>
  <c r="G65" i="21" s="1"/>
  <c r="E13" i="21" s="1"/>
  <c r="F28" i="21"/>
  <c r="G28" i="21" s="1"/>
  <c r="G52" i="21"/>
  <c r="G54" i="21" s="1"/>
  <c r="G56" i="21" s="1"/>
  <c r="E12" i="21" s="1"/>
  <c r="I35" i="7" l="1"/>
  <c r="E35" i="7"/>
  <c r="G35" i="7"/>
  <c r="T805" i="20"/>
  <c r="AF805" i="20" s="1"/>
  <c r="BE72" i="3" s="1"/>
  <c r="H105" i="13"/>
  <c r="T107" i="4"/>
  <c r="H107" i="13" s="1"/>
  <c r="Q58" i="7"/>
  <c r="S53" i="7"/>
  <c r="G45" i="21"/>
  <c r="G47" i="21" s="1"/>
  <c r="E10" i="21" s="1"/>
  <c r="E11" i="21"/>
  <c r="AP705" i="20"/>
  <c r="AJ711" i="20" s="1"/>
  <c r="AK794" i="20" s="1"/>
  <c r="T819" i="20" s="1"/>
  <c r="AF819" i="20" s="1"/>
  <c r="BE82" i="3" s="1"/>
  <c r="AP706" i="20"/>
  <c r="K9" i="7"/>
  <c r="AJ992" i="3"/>
  <c r="AB991" i="3"/>
  <c r="DU802" i="3"/>
  <c r="U373" i="20" s="1"/>
  <c r="P421" i="3"/>
  <c r="M22" i="7"/>
  <c r="M35" i="7" s="1"/>
  <c r="O15" i="7"/>
  <c r="M9" i="7"/>
  <c r="O8" i="7"/>
  <c r="G27" i="21"/>
  <c r="F26" i="21"/>
  <c r="AJ994" i="3" l="1"/>
  <c r="AJ1016" i="3"/>
  <c r="AD11" i="15"/>
  <c r="AD23" i="15" s="1"/>
  <c r="AD26" i="15" s="1"/>
  <c r="AD28" i="15" s="1"/>
  <c r="AI11" i="15"/>
  <c r="AI23" i="15" s="1"/>
  <c r="AI26" i="15" s="1"/>
  <c r="AI28" i="15" s="1"/>
  <c r="S58" i="7"/>
  <c r="U53" i="7"/>
  <c r="AJ1045" i="3"/>
  <c r="AJ1049" i="3"/>
  <c r="AP553" i="20" s="1"/>
  <c r="AP550" i="20"/>
  <c r="G26" i="21"/>
  <c r="F29" i="21"/>
  <c r="G29" i="21"/>
  <c r="O22" i="7"/>
  <c r="O35" i="7" s="1"/>
  <c r="Q15" i="7"/>
  <c r="O9" i="7"/>
  <c r="Q8" i="7"/>
  <c r="U58" i="7" l="1"/>
  <c r="W53" i="7"/>
  <c r="AJ1053" i="3"/>
  <c r="AP552" i="20"/>
  <c r="AP554" i="20" s="1"/>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G101" i="21"/>
  <c r="G113" i="21"/>
  <c r="G97" i="21"/>
  <c r="S22" i="7"/>
  <c r="S35" i="7" s="1"/>
  <c r="U15" i="7"/>
  <c r="U8" i="7"/>
  <c r="S9" i="7"/>
  <c r="AA53" i="7" l="1"/>
  <c r="Y58" i="7"/>
  <c r="G115" i="21"/>
  <c r="E17" i="21" s="1"/>
  <c r="E14" i="21" s="1"/>
  <c r="E18" i="21" s="1"/>
  <c r="U22" i="7"/>
  <c r="U35" i="7" s="1"/>
  <c r="W15" i="7"/>
  <c r="U9" i="7"/>
  <c r="W8" i="7"/>
  <c r="AC53" i="7" l="1"/>
  <c r="AA58" i="7"/>
  <c r="W22" i="7"/>
  <c r="W35" i="7" s="1"/>
  <c r="Y15" i="7"/>
  <c r="W9" i="7"/>
  <c r="Y8" i="7"/>
  <c r="AE53" i="7" l="1"/>
  <c r="AC58" i="7"/>
  <c r="Y22" i="7"/>
  <c r="Y35" i="7" s="1"/>
  <c r="AA15" i="7"/>
  <c r="Y9" i="7"/>
  <c r="AA8" i="7"/>
  <c r="AG53" i="7" l="1"/>
  <c r="AG58" i="7" s="1"/>
  <c r="AE58" i="7"/>
  <c r="AC15" i="7"/>
  <c r="AA22" i="7"/>
  <c r="AA35" i="7" s="1"/>
  <c r="AC8" i="7"/>
  <c r="AA9" i="7"/>
  <c r="AE15" i="7" l="1"/>
  <c r="AC22" i="7"/>
  <c r="AC35" i="7" s="1"/>
  <c r="AC9" i="7"/>
  <c r="AE8" i="7"/>
  <c r="AE22" i="7" l="1"/>
  <c r="AE35" i="7" s="1"/>
  <c r="AG15" i="7"/>
  <c r="AG22" i="7" s="1"/>
  <c r="AG35" i="7" s="1"/>
  <c r="AE9" i="7"/>
  <c r="AG8" i="7"/>
  <c r="AG9" i="7" s="1"/>
  <c r="BH753" i="3" l="1"/>
  <c r="AC753" i="3" s="1"/>
  <c r="BE42" i="3" s="1"/>
  <c r="E93" i="20" l="1"/>
  <c r="E94" i="20" s="1"/>
  <c r="E95" i="20" s="1"/>
  <c r="E103" i="20"/>
  <c r="E106" i="20" s="1"/>
  <c r="AP106" i="20" s="1"/>
  <c r="AK109" i="20" s="1"/>
  <c r="T806" i="20" s="1"/>
  <c r="AF806" i="20" s="1"/>
  <c r="BE73" i="3" l="1"/>
  <c r="H3" i="21"/>
  <c r="O725" i="3" l="1"/>
  <c r="O724" i="3"/>
  <c r="AO628" i="3"/>
  <c r="G108" i="4" l="1"/>
  <c r="G30" i="4"/>
  <c r="G38" i="4" s="1"/>
  <c r="G63" i="4" s="1"/>
  <c r="G97" i="4" s="1"/>
  <c r="G105" i="4" s="1"/>
  <c r="AA922" i="3"/>
  <c r="D11" i="8"/>
  <c r="I11" i="8" s="1"/>
  <c r="J11" i="8" s="1"/>
  <c r="AQ119" i="20"/>
  <c r="X725" i="3"/>
  <c r="AH725" i="3" s="1"/>
  <c r="BU725" i="3" s="1"/>
  <c r="FO725" i="3"/>
  <c r="EM642" i="3" s="1"/>
  <c r="AQ112" i="20"/>
  <c r="D4" i="8"/>
  <c r="I4" i="8" s="1"/>
  <c r="J4" i="8" s="1"/>
  <c r="X718" i="3"/>
  <c r="AH718" i="3" s="1"/>
  <c r="BU718" i="3" s="1"/>
  <c r="FE718" i="3"/>
  <c r="O723" i="3"/>
  <c r="O727" i="3"/>
  <c r="X724" i="3"/>
  <c r="AH724" i="3" s="1"/>
  <c r="BU724" i="3" s="1"/>
  <c r="AQ118" i="20"/>
  <c r="D10" i="8"/>
  <c r="I10" i="8" s="1"/>
  <c r="J10" i="8" s="1"/>
  <c r="FO724" i="3"/>
  <c r="X721" i="3"/>
  <c r="AH721" i="3" s="1"/>
  <c r="BU721" i="3" s="1"/>
  <c r="D7" i="8"/>
  <c r="I7" i="8" s="1"/>
  <c r="J7" i="8" s="1"/>
  <c r="AQ115" i="20"/>
  <c r="FJ721" i="3"/>
  <c r="AM556" i="3"/>
  <c r="AO629" i="3" s="1"/>
  <c r="H108" i="4" l="1"/>
  <c r="H30" i="4"/>
  <c r="H38" i="4" s="1"/>
  <c r="H63" i="4" s="1"/>
  <c r="H97" i="4" s="1"/>
  <c r="H105" i="4" s="1"/>
  <c r="O729" i="3"/>
  <c r="AF628" i="3"/>
  <c r="E41" i="7" s="1"/>
  <c r="AQ121" i="20"/>
  <c r="X727" i="3"/>
  <c r="AH727" i="3" s="1"/>
  <c r="BU727" i="3" s="1"/>
  <c r="D13" i="8"/>
  <c r="I13" i="8" s="1"/>
  <c r="J13" i="8" s="1"/>
  <c r="FT727" i="3"/>
  <c r="EH638" i="3"/>
  <c r="AQ117" i="20"/>
  <c r="X723" i="3"/>
  <c r="AH723" i="3" s="1"/>
  <c r="BU723" i="3" s="1"/>
  <c r="D9" i="8"/>
  <c r="I9" i="8" s="1"/>
  <c r="J9" i="8" s="1"/>
  <c r="FJ723" i="3"/>
  <c r="EH640" i="3" s="1"/>
  <c r="EC635" i="3"/>
  <c r="O728" i="3"/>
  <c r="X719" i="3"/>
  <c r="AH719" i="3" s="1"/>
  <c r="BU719" i="3" s="1"/>
  <c r="D5" i="8"/>
  <c r="I5" i="8" s="1"/>
  <c r="J5" i="8" s="1"/>
  <c r="AQ113" i="20"/>
  <c r="FE719" i="3"/>
  <c r="EC636" i="3" s="1"/>
  <c r="X720" i="3"/>
  <c r="AH720" i="3" s="1"/>
  <c r="BU720" i="3" s="1"/>
  <c r="AQ114" i="20"/>
  <c r="D6" i="8"/>
  <c r="I6" i="8" s="1"/>
  <c r="J6" i="8" s="1"/>
  <c r="FE720" i="3"/>
  <c r="EC637" i="3" s="1"/>
  <c r="O726" i="3"/>
  <c r="EM641" i="3"/>
  <c r="Q41" i="7" l="1"/>
  <c r="W41" i="7"/>
  <c r="AA41" i="7"/>
  <c r="K41" i="7"/>
  <c r="M41" i="7"/>
  <c r="O41" i="7"/>
  <c r="S41" i="7"/>
  <c r="Y41" i="7"/>
  <c r="G41" i="7"/>
  <c r="I41" i="7"/>
  <c r="U41" i="7"/>
  <c r="AC41" i="7"/>
  <c r="AE41" i="7"/>
  <c r="AG41" i="7"/>
  <c r="ER644" i="3"/>
  <c r="D12" i="8"/>
  <c r="I12" i="8" s="1"/>
  <c r="J12" i="8" s="1"/>
  <c r="AQ120" i="20"/>
  <c r="X726" i="3"/>
  <c r="AH726" i="3" s="1"/>
  <c r="BU726" i="3" s="1"/>
  <c r="FO726" i="3"/>
  <c r="AQ122" i="20"/>
  <c r="D14" i="8"/>
  <c r="I14" i="8" s="1"/>
  <c r="J14" i="8" s="1"/>
  <c r="X728" i="3"/>
  <c r="AH728" i="3" s="1"/>
  <c r="BU728" i="3" s="1"/>
  <c r="FT728" i="3"/>
  <c r="ER645" i="3" s="1"/>
  <c r="X722" i="3"/>
  <c r="AH722" i="3" s="1"/>
  <c r="BU722" i="3" s="1"/>
  <c r="D8" i="8"/>
  <c r="I8" i="8" s="1"/>
  <c r="J8" i="8" s="1"/>
  <c r="AQ116" i="20"/>
  <c r="FJ722" i="3"/>
  <c r="EC670" i="3"/>
  <c r="J130" i="20" s="1"/>
  <c r="J133" i="20" s="1"/>
  <c r="J136" i="20" s="1"/>
  <c r="FE753" i="3"/>
  <c r="D15" i="8"/>
  <c r="I15" i="8" s="1"/>
  <c r="J15" i="8" s="1"/>
  <c r="AQ123" i="20"/>
  <c r="X729" i="3"/>
  <c r="AH729" i="3" s="1"/>
  <c r="BU729" i="3" s="1"/>
  <c r="FT729" i="3"/>
  <c r="ER646" i="3" s="1"/>
  <c r="O753" i="3"/>
  <c r="J40" i="8" l="1"/>
  <c r="Z809" i="3" s="1"/>
  <c r="E6" i="7" s="1"/>
  <c r="BU753" i="3"/>
  <c r="AH753" i="3" s="1"/>
  <c r="BE43" i="3" s="1"/>
  <c r="ER670" i="3"/>
  <c r="Y130" i="20" s="1"/>
  <c r="Y133" i="20" s="1"/>
  <c r="Y136" i="20" s="1"/>
  <c r="EH639" i="3"/>
  <c r="EH670" i="3" s="1"/>
  <c r="O130" i="20" s="1"/>
  <c r="O133" i="20" s="1"/>
  <c r="O136" i="20" s="1"/>
  <c r="FJ753" i="3"/>
  <c r="D40" i="8"/>
  <c r="Y800" i="3"/>
  <c r="Y801" i="3"/>
  <c r="FT753" i="3"/>
  <c r="EM643" i="3"/>
  <c r="EM670" i="3" s="1"/>
  <c r="T130" i="20" s="1"/>
  <c r="T133" i="20" s="1"/>
  <c r="T136" i="20" s="1"/>
  <c r="FO753" i="3"/>
  <c r="M960" i="3" l="1"/>
  <c r="M961" i="3" s="1"/>
  <c r="E138" i="20"/>
  <c r="E139" i="20" s="1"/>
  <c r="AK143" i="20" s="1"/>
  <c r="T807" i="20" s="1"/>
  <c r="AF807" i="20" s="1"/>
  <c r="BE74" i="3" s="1"/>
  <c r="E7" i="7"/>
  <c r="G6" i="7"/>
  <c r="AO627" i="3"/>
  <c r="F29" i="4" s="1"/>
  <c r="AF627" i="3"/>
  <c r="E40" i="7" s="1"/>
  <c r="E4" i="7"/>
  <c r="Z818" i="3"/>
  <c r="F38" i="4" l="1"/>
  <c r="F63" i="4" s="1"/>
  <c r="F97" i="4" s="1"/>
  <c r="F105" i="4" s="1"/>
  <c r="E29" i="4"/>
  <c r="R29" i="4" s="1"/>
  <c r="S29" i="4" s="1"/>
  <c r="E29" i="13" s="1"/>
  <c r="G7" i="7"/>
  <c r="I6" i="7"/>
  <c r="E5" i="7"/>
  <c r="E11" i="7" s="1"/>
  <c r="E37" i="7" s="1"/>
  <c r="G4" i="7"/>
  <c r="S40" i="7"/>
  <c r="S43" i="7" s="1"/>
  <c r="O40" i="7"/>
  <c r="O43" i="7" s="1"/>
  <c r="Y40" i="7"/>
  <c r="Y43" i="7" s="1"/>
  <c r="M40" i="7"/>
  <c r="M43" i="7" s="1"/>
  <c r="AG40" i="7"/>
  <c r="AG43" i="7" s="1"/>
  <c r="G40" i="7"/>
  <c r="G43" i="7" s="1"/>
  <c r="E43" i="7"/>
  <c r="AC40" i="7"/>
  <c r="AC43" i="7" s="1"/>
  <c r="Q40" i="7"/>
  <c r="Q43" i="7" s="1"/>
  <c r="AA40" i="7"/>
  <c r="AA43" i="7" s="1"/>
  <c r="K40" i="7"/>
  <c r="K43" i="7" s="1"/>
  <c r="AE40" i="7"/>
  <c r="AE43" i="7" s="1"/>
  <c r="W40" i="7"/>
  <c r="W43" i="7" s="1"/>
  <c r="U40" i="7"/>
  <c r="U43" i="7" s="1"/>
  <c r="I40" i="7"/>
  <c r="I43" i="7" s="1"/>
  <c r="N10" i="23"/>
  <c r="F108" i="4"/>
  <c r="K6" i="7" l="1"/>
  <c r="I7" i="7"/>
  <c r="E49" i="7"/>
  <c r="E45" i="7"/>
  <c r="G5" i="7"/>
  <c r="G11" i="7" s="1"/>
  <c r="G37" i="7" s="1"/>
  <c r="I4" i="7"/>
  <c r="M6" i="7" l="1"/>
  <c r="K7" i="7"/>
  <c r="G45" i="7"/>
  <c r="G49" i="7"/>
  <c r="I5" i="7"/>
  <c r="I11" i="7" s="1"/>
  <c r="I37" i="7" s="1"/>
  <c r="K4" i="7"/>
  <c r="E48" i="7"/>
  <c r="E47" i="7"/>
  <c r="E60" i="7"/>
  <c r="M7" i="7" l="1"/>
  <c r="O6" i="7"/>
  <c r="E62" i="7"/>
  <c r="E66" i="7"/>
  <c r="E67" i="7"/>
  <c r="I45" i="7"/>
  <c r="I49" i="7"/>
  <c r="M4" i="7"/>
  <c r="K5" i="7"/>
  <c r="K11" i="7" s="1"/>
  <c r="K37" i="7" s="1"/>
  <c r="G60" i="7"/>
  <c r="G47" i="7"/>
  <c r="G48" i="7"/>
  <c r="O7" i="7" l="1"/>
  <c r="Q6" i="7"/>
  <c r="K45" i="7"/>
  <c r="K49" i="7"/>
  <c r="I48" i="7"/>
  <c r="I60" i="7"/>
  <c r="I47" i="7"/>
  <c r="E70" i="7"/>
  <c r="E72" i="7" s="1"/>
  <c r="G67" i="7"/>
  <c r="G62" i="7"/>
  <c r="G66" i="7"/>
  <c r="O4" i="7"/>
  <c r="M5" i="7"/>
  <c r="M11" i="7" s="1"/>
  <c r="M37" i="7" s="1"/>
  <c r="G70" i="7" l="1"/>
  <c r="G72" i="7" s="1"/>
  <c r="Q7" i="7"/>
  <c r="S6" i="7"/>
  <c r="M45" i="7"/>
  <c r="M49" i="7"/>
  <c r="O5" i="7"/>
  <c r="Q4" i="7"/>
  <c r="O11" i="7"/>
  <c r="O37" i="7" s="1"/>
  <c r="I66" i="7"/>
  <c r="I67" i="7"/>
  <c r="I62" i="7"/>
  <c r="K47" i="7"/>
  <c r="K60" i="7"/>
  <c r="K48" i="7"/>
  <c r="S7" i="7" l="1"/>
  <c r="U6" i="7"/>
  <c r="I70" i="7"/>
  <c r="I72" i="7" s="1"/>
  <c r="S4" i="7"/>
  <c r="Q5" i="7"/>
  <c r="Q11" i="7" s="1"/>
  <c r="Q37" i="7" s="1"/>
  <c r="K66" i="7"/>
  <c r="K67" i="7"/>
  <c r="K62" i="7"/>
  <c r="O45" i="7"/>
  <c r="O49" i="7"/>
  <c r="M48" i="7"/>
  <c r="M47" i="7"/>
  <c r="M60" i="7"/>
  <c r="U7" i="7" l="1"/>
  <c r="W6" i="7"/>
  <c r="M62" i="7"/>
  <c r="M67" i="7"/>
  <c r="M66" i="7"/>
  <c r="O47" i="7"/>
  <c r="O48" i="7"/>
  <c r="O60" i="7"/>
  <c r="K70" i="7"/>
  <c r="K72" i="7" s="1"/>
  <c r="Q49" i="7"/>
  <c r="Q45" i="7"/>
  <c r="U4" i="7"/>
  <c r="S5" i="7"/>
  <c r="S11" i="7" s="1"/>
  <c r="S37" i="7" s="1"/>
  <c r="M70" i="7" l="1"/>
  <c r="M72" i="7" s="1"/>
  <c r="Y6" i="7"/>
  <c r="W7" i="7"/>
  <c r="S49" i="7"/>
  <c r="S45" i="7"/>
  <c r="U5" i="7"/>
  <c r="U11" i="7" s="1"/>
  <c r="U37" i="7" s="1"/>
  <c r="W4" i="7"/>
  <c r="Q60" i="7"/>
  <c r="Q48" i="7"/>
  <c r="Q47" i="7"/>
  <c r="O67" i="7"/>
  <c r="O66" i="7"/>
  <c r="O62" i="7"/>
  <c r="O70" i="7" l="1"/>
  <c r="O72" i="7" s="1"/>
  <c r="Y7" i="7"/>
  <c r="AA6" i="7"/>
  <c r="Q66" i="7"/>
  <c r="Q67" i="7"/>
  <c r="Q62" i="7"/>
  <c r="U45" i="7"/>
  <c r="U49" i="7"/>
  <c r="W5" i="7"/>
  <c r="W11" i="7" s="1"/>
  <c r="W37" i="7" s="1"/>
  <c r="Y4" i="7"/>
  <c r="S48" i="7"/>
  <c r="S47" i="7"/>
  <c r="S60" i="7"/>
  <c r="AC6" i="7" l="1"/>
  <c r="AA7" i="7"/>
  <c r="S67" i="7"/>
  <c r="S66" i="7"/>
  <c r="S62" i="7"/>
  <c r="W49" i="7"/>
  <c r="W45" i="7"/>
  <c r="AA4" i="7"/>
  <c r="Y5" i="7"/>
  <c r="Y11" i="7" s="1"/>
  <c r="Y37" i="7" s="1"/>
  <c r="U48" i="7"/>
  <c r="U60" i="7"/>
  <c r="U47" i="7"/>
  <c r="Q70" i="7"/>
  <c r="Q72" i="7" s="1"/>
  <c r="S70" i="7" l="1"/>
  <c r="AE6" i="7"/>
  <c r="AC7" i="7"/>
  <c r="Y49" i="7"/>
  <c r="Y45" i="7"/>
  <c r="U66" i="7"/>
  <c r="U67" i="7"/>
  <c r="U62" i="7"/>
  <c r="W60" i="7"/>
  <c r="W47" i="7"/>
  <c r="W48" i="7"/>
  <c r="S72" i="7"/>
  <c r="AA5" i="7"/>
  <c r="AA11" i="7" s="1"/>
  <c r="AA37" i="7" s="1"/>
  <c r="AC4" i="7"/>
  <c r="AE7" i="7" l="1"/>
  <c r="AG6" i="7"/>
  <c r="AG7" i="7" s="1"/>
  <c r="U70" i="7"/>
  <c r="U72" i="7" s="1"/>
  <c r="AA45" i="7"/>
  <c r="AA49" i="7"/>
  <c r="AC5" i="7"/>
  <c r="AC11" i="7" s="1"/>
  <c r="AC37" i="7" s="1"/>
  <c r="AE4" i="7"/>
  <c r="W67" i="7"/>
  <c r="W62" i="7"/>
  <c r="W66" i="7"/>
  <c r="Y47" i="7"/>
  <c r="Y48" i="7"/>
  <c r="Y60" i="7"/>
  <c r="W70" i="7" l="1"/>
  <c r="W72" i="7" s="1"/>
  <c r="Y67" i="7"/>
  <c r="Y62" i="7"/>
  <c r="Y66" i="7"/>
  <c r="AC45" i="7"/>
  <c r="AC49" i="7"/>
  <c r="AE5" i="7"/>
  <c r="AE11" i="7" s="1"/>
  <c r="AE37" i="7" s="1"/>
  <c r="AG4" i="7"/>
  <c r="AA60" i="7"/>
  <c r="AA47" i="7"/>
  <c r="AA48" i="7"/>
  <c r="Y70" i="7" l="1"/>
  <c r="Y72" i="7" s="1"/>
  <c r="AA66" i="7"/>
  <c r="AA67" i="7"/>
  <c r="AA62" i="7"/>
  <c r="AE49" i="7"/>
  <c r="AE45" i="7"/>
  <c r="AG5" i="7"/>
  <c r="AG11" i="7" s="1"/>
  <c r="AG37" i="7" s="1"/>
  <c r="AC60" i="7"/>
  <c r="AC48" i="7"/>
  <c r="AC47" i="7"/>
  <c r="AC66" i="7" l="1"/>
  <c r="AC62" i="7"/>
  <c r="AC67" i="7"/>
  <c r="AG49" i="7"/>
  <c r="AG45" i="7"/>
  <c r="AE47" i="7"/>
  <c r="AE60" i="7"/>
  <c r="AE48" i="7"/>
  <c r="AA70" i="7"/>
  <c r="AA72" i="7" s="1"/>
  <c r="AE62" i="7" l="1"/>
  <c r="AE66" i="7"/>
  <c r="AE67" i="7"/>
  <c r="AC70" i="7"/>
  <c r="AC72" i="7" s="1"/>
  <c r="AG48" i="7"/>
  <c r="AG60" i="7"/>
  <c r="AG47" i="7"/>
  <c r="AG62" i="7" l="1"/>
  <c r="AG66" i="7"/>
  <c r="AG67" i="7"/>
  <c r="AE70" i="7"/>
  <c r="AE72" i="7" s="1"/>
  <c r="AG70" i="7" l="1"/>
  <c r="AG72" i="7" s="1"/>
  <c r="AM554" i="3" l="1"/>
  <c r="BE21" i="3" s="1"/>
  <c r="AM555" i="3"/>
  <c r="AA919" i="3" s="1"/>
  <c r="AM559" i="3"/>
  <c r="AM566" i="3"/>
  <c r="AO632" i="3"/>
  <c r="AO639" i="3" s="1"/>
  <c r="AB48" i="15" s="1"/>
  <c r="AE699" i="3"/>
  <c r="AB50" i="15"/>
  <c r="BE62" i="3" s="1"/>
  <c r="AB72" i="15"/>
  <c r="BE63" i="3" s="1"/>
  <c r="E49" i="13"/>
  <c r="B76" i="13"/>
  <c r="B77" i="13"/>
  <c r="C45" i="4"/>
  <c r="B45" i="4" s="1"/>
  <c r="E45" i="4" s="1"/>
  <c r="S45" i="4"/>
  <c r="E45" i="13" s="1"/>
  <c r="C46" i="4"/>
  <c r="B46" i="13" s="1"/>
  <c r="S46" i="4"/>
  <c r="E46" i="13" s="1"/>
  <c r="C49" i="4"/>
  <c r="S49" i="4"/>
  <c r="C76" i="4"/>
  <c r="B76" i="4" s="1"/>
  <c r="E76" i="4" s="1"/>
  <c r="C77" i="4"/>
  <c r="B77" i="4" s="1"/>
  <c r="C83" i="4"/>
  <c r="C96" i="4" s="1"/>
  <c r="C99" i="4"/>
  <c r="B99" i="13" s="1"/>
  <c r="K99" i="4"/>
  <c r="K104" i="4"/>
  <c r="K105" i="4" s="1"/>
  <c r="K108" i="4"/>
  <c r="I9" i="21"/>
  <c r="G144" i="21" s="1"/>
  <c r="B46" i="4" l="1"/>
  <c r="E46" i="4" s="1"/>
  <c r="R46" i="4" s="1"/>
  <c r="C47" i="11"/>
  <c r="B83" i="4"/>
  <c r="E83" i="4" s="1"/>
  <c r="R83" i="4" s="1"/>
  <c r="R96" i="4" s="1"/>
  <c r="B45" i="13"/>
  <c r="C84" i="11"/>
  <c r="D84" i="11" s="1"/>
  <c r="C54" i="4"/>
  <c r="B54" i="13" s="1"/>
  <c r="C77" i="11"/>
  <c r="C78" i="11" s="1"/>
  <c r="D78" i="11" s="1"/>
  <c r="R76" i="4"/>
  <c r="R77" i="4" s="1"/>
  <c r="E77" i="4"/>
  <c r="R45" i="4"/>
  <c r="E54" i="4"/>
  <c r="B96" i="13"/>
  <c r="B96" i="4"/>
  <c r="B99" i="4"/>
  <c r="E99" i="4" s="1"/>
  <c r="B49" i="4"/>
  <c r="E49" i="4" s="1"/>
  <c r="R49" i="4" s="1"/>
  <c r="B83" i="13"/>
  <c r="B84" i="11"/>
  <c r="B97" i="11" s="1"/>
  <c r="C100" i="11"/>
  <c r="C50" i="11"/>
  <c r="B100" i="11"/>
  <c r="B105" i="11" s="1"/>
  <c r="B50" i="11"/>
  <c r="AA918" i="3"/>
  <c r="S54" i="4"/>
  <c r="E54" i="13" s="1"/>
  <c r="C104" i="4"/>
  <c r="B77" i="11"/>
  <c r="B78" i="11" s="1"/>
  <c r="B47" i="11"/>
  <c r="D47" i="11" s="1"/>
  <c r="B49" i="13"/>
  <c r="C97" i="11"/>
  <c r="C46" i="11"/>
  <c r="E96" i="4"/>
  <c r="G143" i="21"/>
  <c r="B46" i="11"/>
  <c r="D97" i="11" l="1"/>
  <c r="R54" i="4"/>
  <c r="B54" i="4"/>
  <c r="D77" i="11"/>
  <c r="C105" i="11"/>
  <c r="D105" i="11" s="1"/>
  <c r="D100" i="11"/>
  <c r="B104" i="13"/>
  <c r="B104" i="4"/>
  <c r="B55" i="11"/>
  <c r="D50" i="11"/>
  <c r="D46" i="11"/>
  <c r="C55" i="11"/>
  <c r="D55" i="11" s="1"/>
  <c r="R99" i="4"/>
  <c r="E104" i="4"/>
  <c r="S99" i="4" l="1"/>
  <c r="R104" i="4"/>
  <c r="E99" i="13" l="1"/>
  <c r="S104" i="4"/>
  <c r="BA1058" i="3" l="1"/>
  <c r="E104" i="13"/>
  <c r="BE19" i="3"/>
  <c r="BE20" i="3"/>
  <c r="BE22" i="3"/>
  <c r="M26" i="3"/>
  <c r="M27" i="3"/>
  <c r="BE44" i="3"/>
  <c r="BE70" i="3"/>
  <c r="BE77" i="3"/>
  <c r="BE81" i="3"/>
  <c r="BE83" i="3"/>
  <c r="BE101" i="3"/>
  <c r="P204" i="3"/>
  <c r="P205" i="3"/>
  <c r="AC454" i="3"/>
  <c r="AC455" i="3"/>
  <c r="AC456" i="3"/>
  <c r="F457" i="3"/>
  <c r="AO640" i="3"/>
  <c r="AO641" i="3"/>
  <c r="AZ1046" i="3"/>
  <c r="AZ1051" i="3"/>
  <c r="BA1055" i="3"/>
  <c r="AA1056" i="3"/>
  <c r="BA1056" i="3"/>
  <c r="AA1057" i="3"/>
  <c r="G1058" i="3"/>
  <c r="BA1059" i="3"/>
  <c r="T11" i="15"/>
  <c r="Y11" i="15"/>
  <c r="T23" i="15"/>
  <c r="Y23" i="15"/>
  <c r="T26" i="15"/>
  <c r="Y26" i="15"/>
  <c r="T28" i="15"/>
  <c r="Y28" i="15"/>
  <c r="T29" i="15"/>
  <c r="Y38" i="15"/>
  <c r="AD38" i="15"/>
  <c r="Y40" i="15"/>
  <c r="AD40" i="15"/>
  <c r="Y41" i="15"/>
  <c r="AB47" i="15"/>
  <c r="AB49" i="15"/>
  <c r="AB54" i="15"/>
  <c r="AB55" i="15"/>
  <c r="AB56" i="15"/>
  <c r="AB57" i="15"/>
  <c r="AB59" i="15"/>
  <c r="Y64" i="15"/>
  <c r="Y68" i="15"/>
  <c r="Y69" i="15"/>
  <c r="AB77" i="15"/>
  <c r="AB78" i="15"/>
  <c r="AB79" i="15"/>
  <c r="AB81" i="15"/>
  <c r="J82" i="15"/>
  <c r="N185" i="23"/>
  <c r="N186" i="23"/>
  <c r="N196" i="23"/>
  <c r="AB266" i="20"/>
  <c r="AG268" i="20"/>
  <c r="AG269" i="20"/>
  <c r="AG270" i="20"/>
  <c r="AK273" i="20"/>
  <c r="AF551" i="20"/>
  <c r="AF553" i="20"/>
  <c r="AK559" i="20"/>
  <c r="T812" i="20"/>
  <c r="AF812" i="20"/>
  <c r="T818" i="20"/>
  <c r="AF818" i="20"/>
  <c r="AF821"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R30" i="4"/>
  <c r="S30" i="4"/>
  <c r="B34" i="4"/>
  <c r="C34" i="4"/>
  <c r="E34" i="4"/>
  <c r="R34" i="4"/>
  <c r="S34" i="4"/>
  <c r="B38" i="4"/>
  <c r="C38" i="4"/>
  <c r="E38" i="4"/>
  <c r="R38" i="4"/>
  <c r="S38" i="4"/>
  <c r="B63" i="4"/>
  <c r="C63" i="4"/>
  <c r="E63" i="4"/>
  <c r="R63" i="4"/>
  <c r="S63" i="4"/>
  <c r="B97" i="4"/>
  <c r="C97" i="4"/>
  <c r="E97" i="4"/>
  <c r="R97" i="4"/>
  <c r="S97" i="4"/>
  <c r="B105" i="4"/>
  <c r="C105" i="4"/>
  <c r="E105" i="4"/>
  <c r="R105" i="4"/>
  <c r="S105" i="4"/>
  <c r="S107" i="4"/>
  <c r="E108" i="4"/>
  <c r="H4" i="21"/>
  <c r="H5" i="21"/>
  <c r="I10" i="21"/>
  <c r="I11" i="21"/>
  <c r="I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<sst xmlns="http://schemas.openxmlformats.org/spreadsheetml/2006/main" count="5013" uniqueCount="2758">
  <si>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</si>
  <si>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</si>
  <si>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</si>
  <si>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</si>
  <si>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</si>
  <si>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</si>
  <si>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</si>
  <si>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</si>
  <si>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</si>
  <si>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</si>
  <si>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</si>
  <si>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</si>
  <si>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</si>
  <si>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</si>
  <si>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</si>
  <si>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</si>
  <si>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</si>
  <si>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</si>
  <si>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</si>
  <si>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</si>
  <si>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</si>
  <si>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</si>
  <si>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</si>
  <si>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</si>
  <si>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</si>
  <si>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</si>
  <si>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</si>
  <si>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</si>
  <si>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</si>
  <si>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</si>
  <si>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</si>
  <si>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</si>
  <si>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</si>
  <si>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</si>
  <si>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</si>
  <si>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</si>
  <si>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</si>
  <si>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</si>
  <si>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</si>
  <si>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</si>
  <si>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</si>
  <si>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</si>
  <si>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</si>
  <si>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</si>
  <si>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</si>
  <si>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</si>
  <si>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</si>
  <si>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</si>
  <si>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</si>
  <si>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</si>
  <si>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</si>
  <si>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</si>
  <si>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</si>
  <si>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</si>
  <si>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</si>
  <si>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</si>
  <si>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</si>
  <si>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</si>
  <si>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</si>
  <si>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</si>
  <si>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</si>
  <si>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</si>
  <si>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</si>
  <si>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</si>
  <si>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</si>
  <si>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</si>
  <si>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</si>
  <si>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</si>
  <si>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</si>
  <si>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</si>
  <si>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</si>
  <si>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</si>
  <si>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</si>
  <si>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</si>
  <si>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</si>
  <si>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</si>
  <si>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</si>
  <si>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</si>
  <si>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</si>
  <si>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</si>
  <si>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</si>
  <si>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</si>
  <si>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</si>
  <si>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</si>
  <si>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</si>
  <si>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</si>
  <si>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</si>
  <si>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</si>
  <si>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</si>
  <si>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</si>
  <si>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</si>
  <si>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</si>
  <si>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</si>
  <si>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</si>
  <si>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</si>
  <si>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</si>
  <si>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</si>
  <si>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</si>
  <si>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</si>
  <si>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</si>
  <si>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</si>
  <si>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</si>
  <si>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</si>
  <si>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</si>
  <si>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</si>
  <si>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</si>
  <si>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</si>
  <si>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</si>
  <si>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</si>
  <si>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</si>
  <si>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</si>
  <si>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</si>
  <si>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</si>
  <si>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</si>
  <si>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</si>
  <si>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</si>
  <si>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</si>
  <si>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</si>
  <si>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</si>
  <si>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</si>
  <si>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</si>
  <si>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</si>
  <si>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</si>
  <si>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</si>
  <si>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</si>
  <si>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</si>
  <si>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</si>
  <si>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</si>
  <si>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</si>
  <si>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</si>
  <si>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</si>
  <si>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</si>
  <si>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</si>
  <si>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</si>
  <si>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</si>
  <si>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</si>
  <si>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</si>
  <si>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</si>
  <si>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</si>
  <si>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</si>
  <si>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</si>
  <si>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</si>
  <si>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</si>
  <si>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</si>
  <si>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</si>
  <si>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</si>
  <si>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</si>
  <si>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</si>
  <si>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</si>
  <si>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</si>
  <si>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</si>
  <si>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</si>
  <si>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</si>
  <si>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</si>
  <si>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</si>
  <si>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</si>
  <si>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</si>
  <si>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</si>
  <si>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</si>
  <si>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</si>
  <si>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</si>
  <si>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</si>
  <si>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</si>
  <si>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</si>
  <si>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</si>
  <si>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</si>
  <si>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</si>
  <si>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</si>
  <si>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</si>
  <si>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</si>
  <si>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</si>
  <si>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</si>
  <si>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</si>
  <si>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</si>
  <si>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</si>
  <si>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</si>
  <si>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</si>
  <si>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</si>
  <si>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</si>
  <si>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</si>
  <si>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</si>
  <si>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</si>
  <si>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</si>
  <si>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</si>
  <si>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</si>
  <si>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</si>
  <si>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</si>
  <si>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</si>
  <si>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</si>
  <si>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</si>
  <si>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</si>
  <si>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</si>
  <si>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</si>
  <si>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</si>
  <si>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</si>
  <si>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</si>
  <si>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</si>
  <si>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</si>
  <si>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</si>
  <si>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</si>
  <si>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</si>
  <si>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</si>
  <si>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</si>
  <si>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</si>
  <si>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</si>
  <si>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</si>
  <si>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</si>
  <si>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</si>
  <si>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</si>
  <si>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</si>
  <si>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</si>
  <si>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</si>
  <si>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</si>
  <si>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</si>
  <si>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</si>
  <si>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</si>
  <si>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</si>
  <si>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</si>
  <si>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</si>
  <si>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</si>
  <si>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</si>
  <si>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</si>
  <si>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</si>
  <si>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</si>
  <si>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</si>
  <si>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</si>
  <si>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</si>
  <si>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</si>
  <si>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</si>
  <si>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</si>
  <si>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</si>
  <si>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</si>
  <si>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</si>
  <si>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</si>
  <si>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</si>
  <si>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</si>
  <si>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</si>
  <si>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</si>
  <si>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</si>
  <si>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</si>
  <si>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</si>
  <si>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</si>
  <si>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</si>
  <si>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</si>
  <si>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</si>
  <si>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</si>
  <si>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</si>
  <si>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</si>
  <si>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</si>
  <si>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</si>
  <si>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</si>
  <si>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</si>
  <si>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</si>
  <si>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</si>
  <si>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</si>
  <si>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</si>
  <si>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</si>
  <si>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</si>
  <si>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</si>
  <si>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</si>
  <si>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</si>
  <si>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</si>
  <si>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</si>
  <si>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</si>
  <si>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</si>
  <si>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</si>
  <si>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</si>
  <si>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</si>
  <si>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</si>
  <si>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</si>
  <si>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</si>
  <si>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</si>
  <si>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</si>
  <si>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</si>
  <si>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</si>
  <si>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</si>
  <si>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</si>
  <si>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</si>
  <si>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</si>
  <si>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</si>
  <si>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</si>
  <si>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</si>
  <si>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</si>
  <si>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</si>
  <si>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</si>
  <si>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</si>
  <si>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</si>
  <si>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</si>
  <si>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</si>
  <si>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</si>
  <si>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</si>
  <si>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</si>
  <si>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</si>
  <si>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</si>
  <si>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</si>
  <si>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</si>
  <si>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</si>
  <si>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</si>
  <si>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</si>
  <si>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</si>
  <si>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</si>
  <si>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</si>
  <si>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</si>
  <si>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</si>
  <si>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</si>
  <si>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</si>
  <si>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</si>
  <si>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</si>
  <si>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</si>
  <si>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</si>
  <si>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</si>
  <si>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</si>
  <si>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</si>
  <si>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</si>
  <si>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</si>
  <si>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</si>
  <si>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</si>
  <si>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</si>
  <si>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</si>
  <si>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</si>
  <si>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</si>
  <si>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</si>
  <si>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</si>
  <si>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</si>
  <si>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</si>
  <si>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</si>
  <si>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</si>
  <si>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</si>
  <si>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</si>
  <si>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</si>
  <si>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</si>
  <si>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</si>
  <si>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</si>
  <si>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</si>
  <si>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</si>
  <si>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</si>
  <si>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</si>
  <si>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</si>
  <si>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</si>
  <si>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</si>
  <si>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</si>
  <si>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</si>
  <si>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</si>
  <si>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</si>
  <si>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</si>
  <si>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</si>
  <si>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</si>
  <si>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</si>
  <si>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</si>
  <si>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</si>
  <si>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</si>
  <si>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</si>
  <si>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</si>
  <si>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</si>
  <si>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</si>
  <si>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</si>
  <si>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</si>
  <si>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</si>
  <si>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</si>
  <si>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</si>
  <si>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</si>
  <si>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</si>
  <si>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</si>
  <si>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</si>
  <si>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</si>
  <si>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</si>
  <si>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</si>
  <si>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</si>
  <si>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</si>
  <si>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</si>
  <si>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</si>
  <si>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</si>
  <si>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</si>
  <si>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</si>
  <si>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</si>
  <si>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</si>
  <si>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</si>
  <si>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</si>
  <si>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</si>
  <si>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</si>
  <si>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</si>
  <si>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</si>
  <si>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</si>
  <si>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</si>
  <si>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</si>
  <si>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</si>
  <si>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</si>
  <si>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</si>
  <si>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</si>
  <si>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</si>
  <si>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</si>
  <si>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</si>
  <si>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</si>
  <si>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</si>
  <si>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</si>
  <si>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</si>
  <si>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</si>
  <si>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</si>
  <si>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</si>
  <si>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</si>
  <si>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</si>
  <si>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</si>
  <si>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</si>
  <si>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</si>
  <si>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</si>
  <si>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</si>
  <si>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</si>
  <si>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</si>
  <si>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</si>
  <si>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</si>
  <si>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</si>
  <si>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</si>
  <si>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</si>
  <si>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</si>
  <si>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</si>
  <si>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</si>
  <si>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</si>
  <si>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</si>
  <si>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</si>
  <si>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</si>
  <si>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</si>
  <si>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</si>
  <si>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</si>
  <si>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</si>
  <si>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</si>
  <si>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</si>
  <si>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</si>
  <si>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</si>
  <si>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</si>
  <si>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</si>
  <si>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</si>
  <si>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</si>
  <si>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</si>
  <si>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</si>
  <si>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</si>
  <si>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</si>
  <si>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</si>
  <si>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</si>
  <si>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</si>
  <si>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</si>
  <si>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</si>
  <si>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</si>
  <si>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</si>
  <si>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</si>
  <si>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</si>
  <si>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</si>
  <si>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</si>
  <si>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</si>
  <si>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</si>
  <si>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</si>
  <si>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</si>
  <si>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</si>
  <si>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</si>
  <si>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</si>
  <si>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</si>
  <si>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</si>
  <si>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</si>
  <si>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</si>
  <si>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</si>
  <si>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</si>
  <si>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</si>
  <si>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</si>
  <si>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</si>
  <si>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</si>
  <si>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</si>
  <si>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</si>
  <si>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</si>
  <si>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</si>
  <si>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</si>
  <si>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</si>
  <si>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</si>
  <si>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</si>
  <si>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</si>
  <si>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</si>
  <si>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</si>
  <si>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</si>
  <si>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</si>
  <si>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</si>
  <si>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</si>
  <si>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</si>
  <si>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</si>
  <si>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</si>
  <si>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</si>
  <si>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</si>
  <si>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</si>
  <si>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</si>
  <si>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</si>
  <si>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</si>
  <si>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</si>
  <si>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</si>
  <si>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</si>
  <si>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</si>
  <si>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</si>
  <si>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</si>
  <si>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</si>
  <si>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</si>
  <si>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</si>
  <si>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</si>
  <si>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</si>
  <si>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</si>
  <si>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</si>
  <si>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</si>
  <si>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</si>
  <si>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</si>
  <si>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</si>
  <si>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</si>
  <si>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</si>
  <si>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</si>
  <si>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</si>
  <si>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</si>
  <si>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</si>
  <si>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</si>
  <si>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</si>
  <si>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</si>
  <si>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</si>
  <si>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</si>
  <si>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</si>
  <si>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</si>
  <si>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</si>
  <si>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</si>
  <si>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</si>
  <si>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</si>
  <si>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</si>
  <si>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</si>
  <si>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</si>
  <si>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</si>
  <si>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</si>
  <si>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</si>
  <si>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</si>
  <si>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</si>
  <si>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</si>
  <si>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</si>
  <si>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</si>
  <si>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</si>
  <si>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</si>
  <si>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</si>
  <si>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</si>
  <si>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</si>
  <si>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</si>
  <si>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</si>
  <si>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</si>
  <si>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</si>
  <si>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</si>
  <si>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</si>
  <si>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</si>
  <si>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</si>
  <si>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</si>
  <si>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</si>
  <si>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</si>
  <si>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</si>
  <si>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</si>
  <si>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</si>
  <si>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</si>
  <si>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</si>
  <si>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</si>
  <si>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</si>
  <si>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</si>
  <si>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</si>
  <si>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</si>
  <si>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</si>
  <si>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</si>
  <si>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</si>
  <si>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</si>
  <si>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</si>
  <si>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</si>
  <si>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</si>
  <si>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</si>
  <si>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</si>
  <si>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</si>
  <si>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</si>
  <si>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</si>
  <si>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</si>
  <si>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</si>
  <si>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</si>
  <si>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</si>
  <si>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</si>
  <si>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</si>
  <si>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</si>
  <si>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</si>
  <si>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</si>
  <si>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</si>
  <si>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</si>
  <si>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</si>
  <si>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</si>
  <si>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</si>
  <si>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</si>
  <si>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</si>
  <si>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</si>
  <si>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</si>
  <si>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</si>
  <si>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</si>
  <si>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</si>
  <si>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</si>
  <si>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</si>
  <si>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</si>
  <si>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</si>
  <si>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</si>
  <si>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</si>
  <si>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</si>
  <si>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</si>
  <si>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</si>
  <si>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</si>
  <si>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</si>
  <si>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</si>
  <si>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</si>
  <si>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</si>
  <si>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</si>
  <si>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</si>
  <si>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</si>
  <si>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</si>
  <si>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</si>
  <si>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</si>
  <si>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</si>
  <si>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</si>
  <si>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</si>
  <si>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</si>
  <si>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</si>
  <si>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</si>
  <si>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</si>
  <si>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</si>
  <si>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</si>
  <si>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</si>
  <si>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</si>
  <si>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</si>
  <si>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</si>
  <si>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</si>
  <si>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</si>
  <si>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</si>
  <si>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</si>
  <si>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</si>
  <si>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</si>
  <si>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</si>
  <si>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</si>
  <si>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</si>
  <si>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</si>
  <si>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</si>
  <si>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</si>
  <si>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</si>
  <si>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</si>
  <si>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</si>
  <si>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</si>
  <si>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</si>
  <si>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</si>
  <si>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</si>
  <si>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</si>
  <si>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</si>
  <si>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</si>
  <si>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</si>
  <si>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</si>
  <si>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</si>
  <si>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</si>
  <si>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</si>
  <si>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</si>
  <si>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</si>
  <si>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</si>
  <si>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</si>
  <si>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</si>
  <si>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</si>
  <si>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</si>
  <si>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</si>
  <si>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</si>
  <si>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</si>
  <si>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</si>
  <si>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</si>
  <si>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</si>
  <si>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</si>
  <si>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</si>
  <si>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</si>
  <si>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</si>
  <si>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</si>
  <si>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</si>
  <si>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</si>
  <si>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</si>
  <si>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</si>
  <si>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</si>
  <si>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</si>
  <si>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</si>
  <si>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</si>
  <si>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</si>
  <si>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</si>
  <si>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</si>
  <si>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</si>
  <si>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</si>
  <si>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</si>
  <si>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</si>
  <si>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</si>
  <si>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</si>
  <si>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</si>
  <si>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</si>
  <si>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</si>
  <si>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</si>
  <si>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</si>
  <si>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</si>
  <si>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</si>
  <si>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</si>
  <si>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</si>
  <si>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</si>
  <si>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</si>
  <si>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</si>
  <si>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</si>
  <si>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</si>
  <si>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</si>
  <si>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</si>
  <si>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</si>
  <si>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</si>
  <si>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</si>
  <si>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</si>
  <si>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</si>
  <si>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</si>
  <si>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</si>
  <si>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</si>
  <si>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</si>
  <si>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</si>
  <si>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</si>
  <si>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</si>
  <si>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</si>
  <si>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</si>
  <si>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</si>
  <si>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</si>
  <si>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</si>
  <si>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</si>
  <si>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</si>
  <si>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</si>
  <si>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</si>
  <si>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</si>
  <si>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</si>
  <si>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</si>
  <si>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</si>
  <si>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</si>
  <si>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</si>
  <si>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</si>
  <si>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</si>
  <si>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</si>
  <si>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</si>
  <si>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</si>
  <si>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</si>
  <si>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</si>
  <si>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</si>
  <si>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</si>
  <si>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</si>
  <si>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</si>
  <si>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</si>
  <si>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</si>
  <si>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</si>
  <si>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</si>
  <si>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</si>
  <si>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</si>
  <si>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</si>
  <si>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</si>
  <si>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</si>
  <si>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</si>
  <si>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</si>
  <si>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</si>
  <si>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</si>
  <si>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</si>
  <si>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</si>
  <si>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</si>
  <si>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</si>
  <si>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</si>
  <si>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</si>
  <si>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</si>
  <si>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</si>
  <si>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</si>
  <si>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</si>
  <si>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</si>
  <si>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</si>
  <si>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</si>
  <si>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</si>
  <si>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</si>
  <si>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</si>
  <si>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</si>
  <si>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</si>
  <si>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</si>
  <si>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</si>
  <si>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</si>
  <si>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</si>
  <si>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</si>
  <si>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</si>
  <si>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</si>
  <si>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</si>
  <si>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</si>
  <si>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</si>
  <si>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</si>
  <si>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</si>
  <si>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</si>
  <si>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</si>
  <si>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</si>
  <si>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</si>
  <si>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</si>
  <si>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</si>
  <si>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</si>
  <si>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</si>
  <si>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</si>
  <si>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</si>
  <si>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</si>
  <si>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</si>
  <si>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</si>
  <si>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</si>
  <si>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</si>
  <si>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</si>
  <si>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</si>
  <si>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</si>
  <si>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</si>
  <si>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</si>
  <si>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</si>
  <si>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</si>
  <si>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</si>
  <si>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</si>
  <si>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</si>
  <si>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</si>
  <si>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</si>
  <si>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</si>
  <si>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</si>
  <si>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</si>
  <si>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</si>
  <si>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</si>
  <si>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</si>
  <si>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</si>
  <si>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</si>
  <si>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</si>
  <si>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</si>
  <si>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</si>
  <si>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</si>
  <si>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</si>
  <si>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</si>
  <si>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</si>
  <si>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</si>
  <si>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</si>
  <si>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</si>
  <si>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</si>
  <si>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</si>
  <si>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</si>
  <si>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</si>
  <si>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</si>
  <si>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</si>
  <si>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</si>
  <si>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</si>
  <si>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</si>
  <si>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</si>
  <si>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</si>
  <si>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</si>
  <si>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</si>
  <si>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</si>
  <si>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</si>
  <si>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</si>
  <si>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</si>
  <si>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</si>
  <si>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</si>
  <si>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</si>
  <si>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</si>
  <si>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</si>
  <si>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</si>
  <si>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</si>
  <si>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</si>
  <si>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</si>
  <si>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</si>
  <si>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</si>
  <si>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</si>
  <si>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</si>
  <si>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</si>
  <si>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</si>
  <si>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</si>
  <si>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</si>
  <si>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</si>
  <si>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</si>
  <si>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</si>
  <si>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</si>
  <si>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</si>
  <si>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</si>
  <si>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</si>
  <si>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</si>
  <si>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</si>
  <si>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</si>
  <si>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</si>
  <si>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</si>
  <si>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</si>
  <si>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</si>
  <si>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</si>
  <si>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</si>
  <si>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</si>
  <si>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</si>
  <si>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</si>
  <si>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</si>
  <si>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</si>
  <si>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</si>
  <si>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</si>
  <si>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</si>
  <si>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</si>
  <si>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</si>
  <si>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</si>
  <si>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</si>
  <si>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</si>
  <si>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</si>
  <si>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</si>
  <si>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</si>
  <si>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</si>
  <si>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</si>
  <si>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</si>
  <si>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</si>
  <si>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</si>
  <si>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</si>
  <si>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</si>
  <si>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</si>
  <si>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</si>
  <si>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</si>
  <si>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</si>
  <si>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</si>
  <si>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</si>
  <si>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</si>
  <si>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</si>
  <si>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</si>
  <si>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</si>
  <si>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</si>
  <si>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</si>
  <si>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</si>
  <si>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</si>
  <si>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</si>
  <si>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</si>
  <si>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</si>
  <si>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</si>
  <si>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</si>
  <si>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</si>
  <si>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</si>
  <si>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</si>
  <si>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</si>
  <si>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</si>
  <si>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</si>
  <si>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</si>
  <si>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</si>
  <si>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</si>
  <si>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</si>
  <si>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</si>
  <si>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</si>
  <si>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</si>
  <si>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</si>
  <si>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</si>
  <si>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</si>
  <si>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</si>
  <si>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</si>
  <si>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</si>
  <si>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</si>
  <si>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</si>
  <si>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</si>
  <si>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</si>
  <si>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</si>
  <si>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</si>
  <si>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</si>
  <si>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</si>
  <si>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</si>
  <si>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</si>
  <si>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</si>
  <si>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</si>
  <si>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</si>
  <si>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</si>
  <si>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</si>
  <si>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</si>
  <si>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</si>
  <si>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</si>
  <si>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</si>
  <si>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</si>
  <si>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</si>
  <si>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</si>
  <si>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</si>
  <si>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</si>
  <si>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</si>
  <si>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</si>
  <si>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</si>
  <si>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</si>
  <si>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</si>
  <si>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</si>
  <si>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</si>
  <si>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</si>
  <si>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</si>
  <si>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</si>
  <si>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</si>
  <si>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</si>
  <si>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</si>
  <si>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</si>
  <si>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</si>
  <si>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</si>
  <si>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</si>
  <si>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</si>
  <si>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</si>
  <si>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</si>
  <si>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</si>
  <si>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</si>
  <si>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</si>
  <si>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</si>
  <si>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</si>
  <si>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</si>
  <si>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</si>
  <si>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</si>
  <si>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</si>
  <si>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</si>
  <si>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</si>
  <si>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</si>
  <si>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</si>
  <si>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</si>
  <si>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</si>
  <si>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</si>
  <si>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</si>
  <si>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</si>
  <si>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</si>
  <si>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</si>
  <si>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</si>
  <si>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</si>
  <si>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</si>
  <si>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</si>
  <si>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</si>
  <si>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</si>
  <si>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</si>
  <si>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</si>
  <si>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</si>
  <si>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</si>
  <si>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</si>
  <si>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</si>
  <si>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</si>
  <si>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</si>
  <si>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</si>
  <si>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</si>
  <si>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</si>
  <si>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</si>
  <si>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</si>
  <si>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</si>
  <si>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</si>
  <si>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</si>
  <si>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</si>
  <si>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</si>
  <si>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</si>
  <si>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</si>
  <si>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</si>
  <si>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</si>
  <si>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</si>
  <si>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</si>
  <si>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</si>
  <si>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</si>
  <si>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</si>
  <si>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</si>
  <si>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</si>
  <si>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</si>
  <si>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</si>
  <si>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</si>
  <si>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</si>
  <si>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</si>
  <si>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</si>
  <si>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</si>
  <si>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</si>
  <si>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</si>
  <si>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</si>
  <si>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</si>
  <si>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</si>
  <si>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</si>
  <si>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</si>
  <si>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</si>
  <si>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</si>
  <si>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</si>
  <si>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</si>
  <si>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</si>
  <si>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</si>
  <si>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</si>
  <si>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</si>
  <si>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</si>
  <si>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</si>
  <si>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</si>
  <si>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</si>
  <si>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</si>
  <si>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</si>
  <si>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</si>
  <si>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</si>
  <si>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</si>
  <si>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</si>
  <si>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</si>
  <si>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</si>
  <si>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</si>
  <si>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</si>
  <si>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</si>
  <si>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</si>
  <si>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</si>
  <si>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</si>
  <si>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</si>
  <si>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</si>
  <si>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</si>
  <si>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</si>
  <si>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</si>
  <si>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</si>
  <si>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</si>
  <si>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</si>
  <si>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</si>
  <si>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</si>
  <si>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</si>
  <si>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</si>
  <si>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</si>
  <si>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</si>
  <si>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</si>
  <si>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</si>
  <si>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</si>
  <si>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</si>
  <si>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</si>
  <si>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</si>
  <si>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</si>
  <si>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</si>
  <si>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</si>
  <si>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</si>
  <si>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</si>
  <si>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</si>
  <si>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</si>
  <si>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</si>
  <si>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</si>
  <si>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</si>
  <si>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</si>
  <si>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</si>
  <si>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</si>
  <si>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</si>
  <si>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</si>
  <si>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</si>
  <si>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</si>
  <si>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</si>
  <si>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</si>
  <si>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</si>
  <si>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</si>
  <si>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</si>
  <si>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</si>
  <si>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</si>
  <si>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</si>
  <si>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</si>
  <si>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</si>
  <si>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</si>
  <si>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</si>
  <si>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</si>
  <si>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</si>
  <si>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</si>
  <si>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</si>
  <si>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</si>
  <si>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</si>
  <si>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</si>
  <si>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</si>
  <si>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</si>
  <si>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</si>
  <si>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</si>
  <si>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</si>
  <si>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</si>
  <si>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</si>
  <si>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</si>
  <si>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</si>
  <si>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</si>
  <si>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</si>
  <si>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</si>
  <si>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</si>
  <si>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</si>
  <si>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</si>
  <si>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</si>
  <si>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</si>
  <si>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</si>
  <si>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</si>
  <si>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</si>
  <si>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</si>
  <si>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</si>
  <si>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</si>
  <si>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</si>
  <si>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</si>
  <si>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</si>
  <si>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</si>
  <si>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</si>
  <si>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</si>
  <si>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</si>
  <si>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</si>
  <si>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</si>
  <si>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</si>
  <si>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</si>
  <si>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</si>
  <si>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</si>
  <si>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</si>
  <si>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</si>
  <si>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</si>
  <si>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</si>
  <si>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</si>
  <si>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</si>
  <si>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</si>
  <si>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</si>
  <si>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</si>
  <si>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</si>
  <si>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</si>
  <si>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</si>
  <si>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</si>
  <si>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</si>
  <si>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</si>
  <si>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</si>
  <si>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</si>
  <si>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</si>
  <si>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</si>
  <si>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</si>
  <si>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</si>
  <si>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</si>
  <si>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</si>
  <si>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</si>
  <si>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</si>
  <si>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</si>
  <si>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</si>
  <si>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</si>
  <si>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</si>
  <si>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</si>
  <si>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</si>
  <si>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</si>
  <si>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</si>
  <si>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</si>
  <si>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</si>
  <si>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</si>
  <si>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</si>
  <si>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</si>
  <si>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</si>
  <si>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</si>
  <si>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</si>
  <si>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</si>
  <si>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</si>
  <si>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</si>
  <si>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</si>
  <si>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</si>
  <si>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</si>
  <si>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</si>
  <si>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</si>
  <si>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</si>
  <si>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</si>
  <si>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</si>
  <si>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</si>
  <si>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</si>
  <si>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</si>
  <si>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</si>
  <si>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</si>
  <si>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</si>
  <si>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</si>
  <si>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</si>
  <si>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</si>
  <si>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</si>
  <si>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</si>
  <si>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</si>
  <si>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</si>
  <si>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</si>
  <si>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</si>
  <si>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</si>
  <si>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</si>
  <si>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</si>
  <si>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</si>
  <si>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</si>
  <si>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</si>
  <si>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</si>
  <si>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</si>
  <si>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</si>
  <si>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</si>
  <si>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</si>
  <si>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</si>
  <si>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</si>
  <si>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</si>
  <si>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</si>
  <si>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</si>
  <si>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</si>
  <si>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</si>
  <si>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</si>
  <si>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</si>
  <si>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</si>
  <si>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</si>
  <si>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</si>
  <si>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</si>
  <si>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</si>
  <si>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</si>
  <si>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</si>
  <si>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</si>
  <si>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</si>
  <si>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</si>
  <si>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</si>
  <si>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</si>
  <si>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</si>
  <si>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</si>
  <si>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</si>
  <si>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</si>
  <si>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</si>
  <si>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</si>
  <si>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</si>
  <si>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</si>
  <si>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</si>
  <si>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</si>
  <si>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</si>
  <si>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</si>
  <si>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</si>
  <si>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</si>
  <si>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</si>
  <si>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</si>
  <si>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</si>
  <si>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</si>
  <si>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</si>
  <si>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</si>
  <si>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</si>
  <si>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</si>
  <si>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</si>
  <si>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</si>
  <si>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</si>
  <si>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</si>
  <si>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</si>
  <si>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</si>
  <si>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</si>
  <si>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</si>
  <si>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</si>
  <si>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</si>
  <si>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</si>
  <si>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</si>
  <si>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</si>
  <si>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</si>
  <si>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</si>
  <si>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</si>
  <si>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</si>
  <si>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</si>
  <si>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</si>
  <si>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</si>
  <si>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</si>
  <si>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</si>
  <si>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</si>
  <si>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</si>
  <si>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</si>
  <si>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</si>
  <si>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</si>
  <si>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</si>
  <si>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</si>
  <si>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</si>
  <si>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</si>
  <si>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</si>
  <si>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</si>
  <si>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</si>
  <si>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</si>
  <si>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</si>
  <si>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</si>
  <si>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</si>
  <si>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</si>
  <si>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</si>
  <si>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</si>
  <si>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</si>
  <si>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</si>
  <si>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</si>
  <si>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</si>
  <si>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</si>
  <si>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</si>
  <si>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</si>
  <si>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</si>
  <si>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</si>
  <si>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</si>
  <si>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</si>
  <si>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</si>
  <si>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</si>
  <si>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</si>
  <si>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</si>
  <si>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</si>
  <si>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</si>
  <si>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</si>
  <si>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</si>
  <si>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</si>
  <si>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</si>
  <si>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</si>
  <si>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</si>
  <si>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</si>
  <si>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</si>
  <si>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</si>
  <si>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</si>
  <si>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</si>
  <si>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</si>
  <si>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</si>
  <si>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</si>
  <si>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</si>
  <si>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</si>
  <si>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</si>
  <si>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</si>
  <si>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</si>
  <si>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</si>
  <si>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</si>
  <si>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</si>
  <si>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</si>
  <si>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</si>
  <si>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</si>
  <si>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</si>
  <si>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</si>
  <si>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</si>
  <si>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</si>
  <si>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</si>
  <si>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</si>
  <si>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</si>
  <si>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</si>
  <si>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</si>
  <si>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</si>
  <si>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</si>
  <si>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</si>
  <si>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</si>
  <si>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</si>
  <si>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</si>
  <si>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</si>
  <si>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</si>
  <si>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</si>
  <si>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</si>
  <si>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</si>
  <si>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</si>
  <si>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</si>
  <si>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</si>
  <si>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</si>
  <si>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</si>
  <si>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</si>
  <si>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</si>
  <si>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</si>
  <si>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</si>
  <si>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</si>
  <si>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</si>
  <si>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</si>
  <si>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</si>
  <si>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</si>
  <si>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</si>
  <si>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</si>
  <si>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</si>
  <si>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</si>
  <si>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</si>
  <si>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</si>
  <si>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</si>
  <si>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</si>
  <si>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</si>
  <si>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</si>
  <si>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</si>
  <si>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</si>
  <si>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</si>
  <si>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</si>
  <si>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</si>
  <si>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</si>
  <si>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</si>
  <si>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</si>
  <si>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</si>
  <si>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</si>
  <si>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</si>
  <si>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</si>
  <si>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</si>
  <si>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</si>
  <si>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</si>
  <si>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</si>
  <si>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</si>
  <si>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</si>
  <si>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</si>
  <si>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</si>
  <si>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</si>
  <si>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</si>
  <si>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</si>
  <si>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</si>
  <si>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</si>
  <si>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</si>
  <si>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</si>
  <si>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</si>
  <si>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</si>
  <si>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</si>
  <si>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</si>
  <si>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</si>
  <si>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</si>
  <si>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</si>
  <si>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</si>
  <si>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</si>
  <si>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</si>
  <si>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</si>
  <si>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</si>
  <si>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</si>
  <si>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</si>
  <si>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</si>
  <si>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</si>
  <si>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</si>
  <si>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</si>
  <si>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</si>
  <si>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</si>
  <si>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</si>
  <si>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</si>
  <si>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</si>
  <si>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</si>
  <si>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</si>
  <si>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</si>
  <si>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</si>
  <si>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</si>
  <si>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</si>
  <si>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</si>
  <si>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</si>
  <si>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</si>
  <si>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</si>
  <si>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</si>
  <si>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</si>
  <si>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</si>
  <si>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</si>
  <si>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</si>
  <si>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</si>
  <si>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</si>
  <si>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</si>
  <si>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</si>
  <si>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</si>
  <si>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</si>
  <si>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</si>
  <si>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</si>
  <si>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</si>
  <si>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</si>
  <si>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</si>
  <si>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</si>
  <si>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</si>
  <si>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</si>
  <si>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</si>
  <si>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</si>
  <si>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</si>
  <si>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</si>
  <si>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</si>
  <si>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</si>
  <si>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</si>
  <si>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</si>
  <si>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</si>
  <si>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</si>
  <si>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</si>
  <si>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</si>
  <si>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</si>
  <si>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</si>
  <si>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</si>
  <si>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</si>
  <si>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</si>
  <si>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</si>
  <si>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</si>
  <si>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</si>
  <si>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</si>
  <si>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</si>
  <si>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</si>
  <si>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</si>
  <si>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</si>
  <si>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</si>
  <si>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</si>
  <si>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</si>
  <si>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</si>
  <si>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</si>
  <si>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</si>
  <si>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</si>
  <si>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</si>
  <si>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</si>
  <si>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</si>
  <si>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</si>
  <si>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</si>
  <si>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</si>
  <si>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</si>
  <si>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</si>
  <si>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</si>
  <si>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</si>
  <si>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</si>
  <si>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</si>
  <si>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</si>
  <si>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</si>
  <si>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</si>
  <si>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</si>
  <si>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</si>
  <si>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</si>
  <si>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</si>
  <si>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</si>
  <si>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</si>
  <si>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</si>
  <si>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</si>
  <si>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</si>
  <si>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</si>
  <si>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</si>
  <si>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</si>
  <si>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</si>
  <si>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</si>
  <si>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</si>
  <si>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</si>
  <si>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</si>
  <si>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</si>
  <si>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</si>
  <si>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</si>
  <si>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</si>
  <si>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</si>
  <si>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</si>
  <si>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</si>
  <si>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</si>
  <si>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</si>
  <si>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</si>
  <si>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</si>
  <si>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</si>
  <si>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</si>
  <si>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</si>
  <si>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</si>
  <si>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</si>
  <si>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</si>
  <si>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</si>
  <si>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</si>
  <si>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</si>
  <si>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</si>
  <si>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</si>
  <si>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</si>
  <si>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</si>
  <si>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</si>
  <si>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</si>
  <si>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</si>
  <si>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</si>
  <si>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</si>
  <si>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</si>
  <si>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</si>
  <si>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</si>
  <si>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</si>
  <si>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</si>
  <si>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</si>
  <si>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</si>
  <si>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</si>
  <si>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</si>
  <si>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</si>
  <si>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</si>
  <si>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</si>
  <si>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</si>
  <si>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</si>
  <si>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</si>
  <si>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</si>
  <si>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</si>
  <si>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</si>
  <si>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</si>
  <si>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</si>
  <si>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</si>
  <si>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</si>
  <si>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</si>
  <si>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</si>
  <si>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</si>
  <si>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</si>
  <si>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</si>
  <si>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</si>
  <si>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</si>
  <si>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</si>
  <si>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</si>
  <si>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</si>
  <si>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</si>
  <si>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</si>
  <si>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</si>
  <si>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</si>
  <si>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</si>
  <si>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</si>
  <si>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</si>
  <si>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</si>
  <si>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</si>
  <si>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</si>
  <si>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</si>
  <si>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</si>
  <si>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</si>
  <si>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</si>
  <si>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</si>
  <si>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</si>
  <si>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</si>
  <si>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</si>
  <si>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</si>
  <si>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</si>
  <si>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</si>
  <si>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</si>
  <si>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</si>
  <si>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</si>
  <si>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</si>
  <si>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</si>
  <si>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</si>
  <si>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</si>
  <si>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</si>
  <si>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</si>
  <si>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</si>
  <si>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</si>
  <si>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</si>
  <si>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</si>
  <si>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</si>
  <si>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</si>
  <si>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</si>
  <si>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</si>
  <si>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</si>
  <si>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</si>
  <si>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</si>
  <si>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</si>
  <si>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</si>
  <si>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</si>
  <si>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</si>
  <si>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</si>
  <si>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</si>
  <si>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</si>
  <si>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</si>
  <si>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</si>
  <si>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</si>
  <si>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</si>
  <si>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</si>
  <si>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</si>
  <si>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</si>
  <si>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</si>
  <si>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</si>
  <si>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</si>
  <si>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</si>
  <si>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</si>
  <si>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</si>
  <si>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</si>
  <si>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</si>
  <si>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</si>
  <si>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</si>
  <si>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</si>
  <si>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</si>
  <si>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</si>
  <si>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</si>
  <si>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</si>
  <si>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</si>
  <si>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</si>
  <si>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</si>
  <si>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</si>
  <si>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</si>
  <si>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</si>
  <si>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</si>
  <si>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</si>
  <si>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</si>
  <si>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</si>
  <si>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</si>
  <si>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</si>
  <si>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</si>
  <si>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</si>
  <si>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</si>
  <si>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</si>
  <si>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</si>
  <si>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</si>
  <si>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</si>
  <si>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</si>
  <si>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</si>
  <si>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</si>
  <si>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</si>
  <si>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</si>
  <si>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</si>
  <si>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</si>
  <si>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</si>
  <si>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</si>
  <si>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</si>
  <si>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</si>
  <si>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</si>
  <si>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</si>
  <si>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</si>
  <si>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</si>
  <si>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</si>
  <si>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</si>
  <si>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</si>
  <si>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</si>
  <si>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</si>
  <si>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</si>
  <si>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</si>
  <si>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</si>
  <si>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</si>
  <si>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</si>
  <si>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</si>
  <si>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</si>
  <si>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</si>
  <si>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</si>
  <si>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</si>
  <si>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</si>
  <si>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</si>
  <si>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</si>
  <si>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</si>
  <si>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</si>
  <si>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</si>
  <si>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</si>
  <si>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</si>
  <si>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</si>
  <si>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</si>
  <si>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</si>
  <si>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</si>
  <si>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</si>
  <si>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</si>
  <si>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</si>
  <si>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</si>
  <si>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</si>
  <si>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</si>
  <si>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</si>
  <si>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</si>
  <si>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</si>
  <si>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</si>
  <si>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</si>
  <si>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</si>
  <si>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</si>
  <si>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</si>
  <si>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</si>
  <si>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</si>
  <si>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</si>
  <si>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</si>
  <si>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</si>
  <si>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</si>
  <si>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</si>
  <si>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</si>
  <si>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</si>
  <si>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</si>
  <si>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</si>
  <si>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</si>
  <si>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</si>
  <si>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</si>
  <si>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</si>
  <si>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</si>
  <si>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</si>
  <si>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</si>
  <si>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</si>
  <si>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</si>
  <si>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</si>
  <si>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</si>
  <si>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</si>
  <si>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</si>
  <si>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</si>
  <si>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</si>
  <si>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</si>
  <si>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</si>
  <si>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</si>
  <si>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</si>
  <si>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</si>
  <si>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</si>
  <si>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</si>
  <si>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</si>
  <si>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</si>
  <si>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</si>
  <si>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</si>
  <si>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</si>
  <si>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</si>
  <si>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</si>
  <si>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</si>
  <si>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</si>
  <si>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</si>
  <si>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</si>
  <si>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</si>
  <si>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</si>
  <si>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</si>
  <si>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</si>
  <si>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</si>
  <si>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</si>
  <si>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</si>
  <si>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</si>
  <si>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</si>
  <si>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</si>
  <si>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</si>
  <si>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</si>
  <si>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</si>
  <si>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</si>
  <si>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</si>
  <si>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</si>
  <si>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</si>
  <si>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</si>
  <si>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</si>
  <si>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</si>
  <si>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</si>
  <si>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</si>
  <si>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</si>
  <si>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</si>
  <si>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</si>
  <si>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</si>
  <si>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</si>
  <si>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</si>
  <si>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</si>
  <si>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</si>
  <si>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</si>
  <si>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</si>
  <si>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</si>
  <si>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</si>
  <si>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</si>
  <si>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</si>
  <si>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</si>
  <si>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</si>
  <si>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</si>
  <si>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</si>
  <si>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</si>
  <si>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</si>
  <si>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</si>
  <si>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</si>
  <si>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</si>
  <si>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</si>
  <si>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</si>
  <si>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</si>
  <si>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</si>
  <si>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</si>
  <si>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</si>
  <si>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</si>
  <si>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</si>
  <si>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</si>
  <si>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</si>
  <si>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</si>
  <si>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</si>
  <si>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</si>
  <si>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</si>
  <si>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</si>
  <si>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</si>
  <si>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</si>
  <si>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</si>
  <si>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</si>
  <si>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</si>
  <si>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</si>
  <si>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</si>
  <si>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</si>
  <si>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</si>
  <si>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</si>
  <si>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</si>
  <si>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</si>
  <si>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</si>
  <si>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</si>
  <si>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</si>
  <si>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</si>
  <si>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</si>
  <si>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</si>
  <si>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</si>
  <si>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</si>
  <si>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</si>
  <si>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</si>
  <si>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</si>
  <si>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</si>
  <si>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</si>
  <si>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</si>
  <si>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</si>
  <si>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</si>
  <si>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</si>
  <si>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</si>
  <si>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</si>
  <si>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</si>
  <si>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</si>
  <si>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</si>
  <si>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</si>
  <si>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</si>
  <si>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</si>
  <si>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</si>
  <si>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</si>
  <si>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</si>
  <si>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</si>
  <si>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</si>
  <si>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</si>
  <si>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</si>
  <si>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</si>
  <si>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</si>
  <si>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</si>
  <si>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</si>
  <si>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</si>
  <si>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</si>
  <si>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</si>
  <si>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</si>
  <si>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</si>
  <si>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</si>
  <si>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</si>
  <si>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</si>
  <si>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</si>
  <si>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</si>
  <si>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</si>
  <si>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</si>
  <si>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</si>
  <si>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</si>
  <si>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</si>
  <si>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</si>
  <si>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</si>
  <si>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</si>
  <si>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</si>
  <si>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</si>
  <si>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</si>
  <si>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</si>
  <si>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</si>
  <si>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</si>
  <si>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</si>
  <si>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</si>
  <si>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</si>
  <si>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</si>
  <si>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</si>
  <si>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</si>
  <si>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</si>
  <si>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</si>
  <si>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</si>
  <si>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</si>
  <si>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</si>
  <si>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</si>
  <si>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</si>
  <si>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</si>
  <si>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</si>
  <si>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</si>
  <si>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</si>
  <si>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</si>
  <si>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</si>
  <si>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</si>
  <si>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</si>
  <si>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</si>
  <si>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</si>
  <si>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</si>
  <si>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</si>
  <si>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</si>
  <si>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</si>
  <si>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</si>
  <si>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</si>
  <si>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</si>
  <si>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</si>
  <si>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</si>
  <si>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</si>
  <si>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</si>
  <si>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</si>
  <si>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</si>
  <si>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</si>
  <si>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</si>
  <si>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</si>
  <si>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</si>
  <si>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</si>
  <si>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</si>
  <si>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</si>
  <si>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</si>
  <si>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</si>
  <si>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</si>
  <si>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</si>
  <si>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</si>
  <si>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</si>
  <si>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</si>
  <si>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</si>
  <si>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</si>
  <si>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</si>
  <si>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</si>
  <si>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</si>
  <si>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</si>
  <si>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</si>
  <si>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</si>
  <si>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</si>
  <si>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</si>
  <si>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</si>
  <si>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</si>
  <si>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</si>
  <si>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</si>
  <si>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</si>
  <si>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</si>
  <si>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</si>
  <si>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</si>
  <si>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</si>
  <si>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</si>
  <si>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</si>
  <si>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</si>
  <si>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</si>
  <si>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</si>
  <si>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</si>
  <si>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</si>
  <si>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</si>
  <si>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</si>
  <si>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</si>
  <si>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</si>
  <si>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</si>
  <si>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</si>
  <si>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</si>
  <si>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</si>
  <si>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</si>
  <si>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</si>
  <si>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</si>
  <si>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</si>
  <si>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</si>
  <si>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</si>
  <si>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</si>
  <si>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</si>
  <si>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</si>
  <si>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</si>
  <si>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</si>
  <si>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</si>
  <si>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</si>
  <si>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</si>
  <si>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</si>
  <si>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</si>
  <si>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</si>
  <si>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</si>
  <si>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</si>
  <si>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</si>
  <si>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</si>
  <si>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</si>
  <si>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</si>
  <si>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</si>
  <si>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</si>
  <si>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</si>
  <si>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</si>
  <si>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</si>
  <si>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</si>
  <si>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</si>
  <si>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</si>
  <si>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</si>
  <si>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</si>
  <si>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</si>
  <si>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</si>
  <si>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</si>
  <si>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</si>
  <si>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</si>
  <si>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</si>
  <si>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</si>
  <si>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</si>
  <si>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</si>
  <si>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</si>
  <si>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</si>
  <si>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</si>
  <si>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</si>
  <si>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</si>
  <si>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</si>
  <si>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</si>
  <si>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</si>
  <si>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</si>
  <si>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</si>
  <si>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</si>
  <si>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</si>
  <si>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</si>
  <si>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</si>
  <si>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</si>
  <si>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</si>
  <si>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</si>
  <si>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</si>
  <si>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</si>
  <si>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</si>
  <si>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</si>
  <si>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</si>
  <si>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</si>
  <si>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</si>
  <si>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</si>
  <si>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</si>
  <si>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</si>
  <si>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</si>
  <si>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</si>
  <si>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</si>
  <si>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</si>
  <si>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</si>
  <si>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</si>
  <si>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</si>
  <si>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</si>
  <si>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</si>
  <si>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</si>
  <si>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</si>
  <si>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</si>
  <si>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</si>
  <si>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</si>
  <si>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</si>
  <si>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</si>
  <si>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</si>
  <si>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</si>
  <si>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</si>
  <si>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</si>
  <si>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</si>
  <si>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</si>
  <si>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</si>
  <si>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</si>
  <si>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</si>
  <si>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</si>
  <si>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</si>
  <si>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</si>
  <si>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</si>
  <si>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</si>
  <si>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</si>
  <si>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</si>
  <si>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</si>
  <si>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</si>
  <si>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</si>
  <si>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</si>
  <si>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</si>
  <si>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</si>
  <si>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</si>
  <si>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</si>
  <si>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</si>
  <si>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</si>
  <si>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</si>
  <si>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</si>
  <si>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</si>
  <si>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</si>
  <si>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</si>
  <si>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</si>
  <si>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</si>
  <si>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</si>
  <si>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</si>
  <si>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</si>
  <si>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</si>
  <si>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</si>
  <si>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</si>
  <si>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</si>
  <si>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</si>
  <si>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</si>
  <si>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</si>
  <si>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</si>
  <si>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</si>
  <si>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</si>
  <si>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</si>
  <si>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</si>
  <si>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</si>
  <si>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</si>
  <si>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</si>
  <si>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</si>
  <si>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</si>
  <si>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</si>
  <si>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</si>
  <si>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</si>
  <si>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</si>
  <si>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</si>
  <si>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</si>
  <si>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</si>
  <si>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</si>
  <si>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</si>
  <si>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</si>
  <si>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</si>
  <si>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</si>
  <si>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</si>
  <si>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</si>
  <si>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</si>
  <si>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</si>
  <si>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</si>
  <si>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</si>
  <si>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</si>
  <si>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</si>
  <si>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</si>
  <si>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</si>
  <si>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</si>
  <si>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</si>
  <si>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</si>
  <si>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</si>
  <si>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</si>
  <si>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</si>
  <si>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</si>
  <si>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</si>
  <si>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</si>
  <si>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</si>
  <si>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</si>
  <si>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</si>
  <si>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</si>
  <si>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</si>
  <si>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</si>
  <si>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</si>
  <si>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</si>
  <si>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</si>
  <si>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</si>
  <si>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</si>
  <si>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</si>
  <si>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</si>
  <si>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</si>
  <si>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</si>
  <si>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</si>
  <si>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</si>
  <si>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</si>
  <si>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</si>
  <si>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</si>
  <si>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</si>
  <si>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</si>
  <si>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</si>
  <si>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</si>
  <si>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</si>
  <si>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</si>
  <si>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</si>
  <si>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</si>
  <si>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</si>
  <si>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</si>
  <si>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</si>
  <si>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</si>
  <si>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</si>
  <si>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</si>
  <si>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</si>
  <si>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</si>
  <si>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</si>
  <si>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</si>
  <si>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</si>
  <si>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</si>
  <si>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</si>
  <si>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</si>
  <si>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</si>
  <si>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</si>
  <si>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</si>
  <si>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</si>
  <si>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</si>
  <si>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</si>
  <si>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</si>
  <si>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</si>
  <si>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</si>
  <si>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</si>
  <si>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</si>
  <si>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</si>
  <si>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</si>
  <si>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</si>
  <si>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</si>
  <si>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</si>
  <si>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</si>
  <si>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</si>
  <si>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</si>
  <si>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</si>
  <si>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</si>
  <si>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</si>
  <si>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</si>
  <si>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</si>
  <si>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</si>
  <si>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</si>
  <si>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</si>
  <si>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</si>
  <si>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</si>
  <si>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</si>
  <si>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</si>
  <si>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</si>
  <si>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</si>
  <si>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</si>
  <si>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</si>
  <si>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</si>
  <si>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</si>
  <si>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</si>
  <si>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</si>
  <si>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</si>
  <si>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</si>
  <si>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</si>
  <si>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</si>
  <si>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</si>
  <si>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</si>
  <si>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</si>
  <si>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</si>
  <si>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</si>
  <si>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</si>
  <si>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</si>
  <si>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</si>
  <si>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</si>
  <si>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</si>
  <si>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</si>
  <si>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</si>
  <si>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</si>
  <si>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</si>
  <si>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</si>
  <si>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</si>
  <si>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</si>
  <si>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</si>
  <si>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</si>
  <si>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</si>
  <si>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</si>
  <si>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</si>
  <si>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</si>
  <si>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</si>
  <si>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</si>
  <si>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</si>
  <si>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</si>
  <si>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</si>
  <si>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</si>
  <si>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</si>
  <si>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</si>
  <si>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</si>
  <si>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</si>
  <si>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</si>
  <si>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</si>
  <si>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</si>
  <si>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</si>
  <si>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</si>
  <si>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</si>
  <si>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</si>
  <si>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</si>
  <si>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</si>
  <si>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</si>
  <si>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</si>
  <si>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</si>
  <si>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</si>
  <si>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</si>
  <si>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</si>
  <si>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</si>
  <si>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</si>
  <si>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</si>
  <si>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</si>
  <si>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</si>
  <si>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</si>
  <si>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</si>
  <si>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</si>
  <si>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</si>
  <si>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</si>
  <si>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</si>
  <si>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</si>
  <si>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</si>
  <si>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</si>
  <si>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</si>
  <si>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</si>
  <si>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</si>
  <si>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</si>
  <si>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</si>
  <si>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</si>
  <si>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</si>
  <si>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</si>
  <si>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</si>
  <si>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</si>
  <si>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</si>
  <si>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</si>
  <si>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</si>
  <si>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</si>
  <si>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</si>
  <si>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</si>
  <si>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</si>
  <si>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</si>
  <si>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</si>
  <si>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</si>
  <si>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</si>
  <si>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</si>
  <si>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</si>
  <si>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</si>
  <si>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</si>
  <si>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</si>
  <si>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</si>
  <si>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</si>
  <si>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</si>
  <si>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</si>
  <si>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</si>
  <si>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</si>
  <si>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</si>
  <si>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</si>
  <si>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</si>
  <si>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</si>
  <si>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</si>
  <si>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</si>
  <si>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</si>
  <si>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</si>
  <si>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</si>
  <si>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</si>
  <si>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</si>
  <si>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</si>
  <si>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</si>
  <si>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</si>
  <si>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</si>
  <si>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</si>
  <si>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</si>
  <si>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</si>
  <si>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</si>
  <si>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</si>
  <si>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</si>
  <si>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</si>
  <si>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</si>
  <si>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</si>
  <si>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</si>
  <si>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</si>
  <si>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</si>
  <si>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</si>
  <si>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</si>
  <si>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</si>
  <si>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</si>
  <si>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</si>
  <si>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</si>
  <si>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</si>
  <si>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</si>
  <si>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</si>
  <si>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</si>
  <si>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</si>
  <si>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</si>
  <si>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</si>
  <si>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</si>
  <si>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</si>
  <si>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</si>
  <si>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</si>
  <si>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</si>
  <si>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</si>
  <si>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</si>
  <si>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</si>
  <si>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</si>
  <si>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</si>
  <si>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</si>
  <si>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</si>
  <si>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</si>
  <si>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</si>
  <si>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</si>
  <si>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</si>
  <si>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</si>
  <si>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</si>
  <si>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</si>
  <si>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</si>
  <si>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</si>
  <si>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</si>
  <si>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</si>
  <si>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</si>
  <si>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</si>
  <si>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</si>
  <si>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</si>
  <si>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</si>
  <si>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</si>
  <si>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</si>
  <si>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</si>
  <si>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</si>
  <si>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</si>
  <si>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</si>
  <si>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</si>
  <si>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</si>
  <si>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</si>
  <si>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</si>
  <si>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</si>
  <si>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</si>
  <si>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</si>
  <si>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</si>
  <si>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</si>
  <si>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</si>
  <si>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</si>
  <si>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</si>
  <si>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</si>
  <si>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</si>
  <si>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</si>
  <si>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</si>
  <si>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</si>
  <si>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</si>
  <si>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</si>
  <si>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</si>
  <si>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</si>
  <si>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</si>
  <si>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</si>
  <si>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</si>
  <si>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</si>
  <si>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</si>
  <si>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</si>
  <si>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</si>
  <si>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</si>
  <si>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</si>
  <si>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</si>
  <si>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</si>
  <si>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</si>
  <si>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</si>
  <si>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</si>
  <si>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</si>
  <si>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</si>
  <si>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</si>
  <si>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</si>
  <si>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</si>
  <si>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</si>
  <si>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</si>
  <si>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</si>
  <si>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</si>
  <si>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</si>
  <si>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</si>
  <si>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</si>
  <si>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</si>
  <si>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</si>
  <si>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</si>
  <si>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</si>
  <si>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</si>
  <si>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</si>
  <si>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</si>
  <si>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</si>
  <si>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</si>
  <si>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</si>
  <si>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</si>
  <si>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</si>
  <si>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</si>
  <si>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</si>
  <si>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</si>
  <si>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</si>
  <si>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</si>
  <si>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</si>
  <si>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</si>
  <si>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</si>
  <si>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</si>
  <si>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</si>
  <si>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</si>
  <si>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</si>
  <si>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</si>
  <si>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</si>
  <si>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</si>
  <si>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</si>
  <si>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</si>
  <si>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</si>
  <si>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</si>
  <si>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</si>
  <si>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</si>
  <si>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</si>
  <si>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</si>
  <si>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</si>
  <si>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</si>
  <si>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</si>
  <si>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</si>
  <si>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</si>
  <si>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</si>
  <si>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</si>
  <si>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</si>
  <si>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</si>
  <si>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</si>
  <si>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</si>
  <si>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</si>
  <si>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</si>
  <si>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</si>
  <si>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</si>
  <si>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</si>
  <si>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</si>
  <si>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</si>
  <si>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</si>
  <si>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</si>
  <si>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</si>
  <si>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</si>
  <si>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</si>
  <si>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</si>
  <si>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</si>
  <si>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</si>
  <si>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</si>
  <si>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</si>
  <si>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</si>
  <si>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</si>
  <si>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</si>
  <si>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</si>
  <si>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</si>
  <si>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</si>
  <si>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</si>
  <si>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</si>
  <si>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</si>
  <si>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</si>
  <si>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</si>
  <si>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</si>
  <si>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</si>
  <si>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</si>
  <si>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</si>
  <si>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</si>
  <si>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</si>
  <si>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</si>
  <si>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</si>
  <si>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</si>
  <si>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</si>
  <si>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</si>
  <si>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</si>
  <si>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</si>
  <si>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</si>
  <si>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</si>
  <si>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</si>
  <si>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</si>
  <si>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</si>
  <si>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</si>
  <si>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</si>
  <si>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</si>
  <si>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</si>
  <si>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</si>
  <si>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</si>
  <si>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</si>
  <si>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</si>
  <si>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</si>
  <si>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</si>
  <si>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</si>
  <si>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</si>
  <si>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</si>
  <si>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</si>
  <si>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</si>
  <si>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</si>
  <si>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</si>
  <si>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</si>
  <si>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</si>
  <si>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</si>
  <si>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</si>
  <si>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</si>
  <si>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</si>
  <si>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Oasis Villas I Apartments</t>
  </si>
  <si>
    <t>September</t>
  </si>
  <si>
    <t>Indio</t>
  </si>
  <si>
    <t>Pedro S. G. Rodriguez</t>
  </si>
  <si>
    <t>Executive Director / CEO</t>
  </si>
  <si>
    <t>Housing Authority of County of Riverside</t>
  </si>
  <si>
    <t>Heidi Marshall</t>
  </si>
  <si>
    <t>Executive Director</t>
  </si>
  <si>
    <t>5555 Arlington Avenue</t>
  </si>
  <si>
    <t>Hmarshall@rivcoeda.org</t>
  </si>
  <si>
    <t>85856 Middleton St.</t>
  </si>
  <si>
    <t>Thermal</t>
  </si>
  <si>
    <t>45701 Monroe St. Ste G.</t>
  </si>
  <si>
    <t>CA</t>
  </si>
  <si>
    <t>760-342-6466</t>
  </si>
  <si>
    <t>pedro.rodriguez@cvhc.org</t>
  </si>
  <si>
    <t>Oasis Villas 1 LLC</t>
  </si>
  <si>
    <t>45701 Monroe Street, Suite G</t>
  </si>
  <si>
    <t>Managing GP</t>
  </si>
  <si>
    <t>Elissa Dennis</t>
  </si>
  <si>
    <t>Community Economics, Inc.</t>
  </si>
  <si>
    <t>Oakland</t>
  </si>
  <si>
    <t>538 9th Street, Suite 200</t>
  </si>
  <si>
    <t>510-832-8300</t>
  </si>
  <si>
    <t>510-832-2227</t>
  </si>
  <si>
    <t>edennis@communityeconomics.org</t>
  </si>
  <si>
    <t>Financial Consultant</t>
  </si>
  <si>
    <t>45701 Monroe St. Ste. G</t>
  </si>
  <si>
    <t>Indio, CA 92201</t>
  </si>
  <si>
    <t>Mary Ann Ybarra</t>
  </si>
  <si>
    <t>maryann.ybarra@cvhc.org</t>
  </si>
  <si>
    <t>Y&amp;M Architects</t>
  </si>
  <si>
    <t>255 S. Sante Fe Ave. #103</t>
  </si>
  <si>
    <t>Los Angeles, CA 90012</t>
  </si>
  <si>
    <t>Ryan Yanagita</t>
  </si>
  <si>
    <t>213-623-2104</t>
  </si>
  <si>
    <t>213-623-2108</t>
  </si>
  <si>
    <t>ryanagita@ymarch.com</t>
  </si>
  <si>
    <t>Gubb &amp; Barshay</t>
  </si>
  <si>
    <t>235 Montgomery St., Suite 1110</t>
  </si>
  <si>
    <t>San Francisco, CA 94104</t>
  </si>
  <si>
    <t>Nicole Kline</t>
  </si>
  <si>
    <t>nkline@gubbandbarshay.com</t>
  </si>
  <si>
    <t>Green Dinosaur, Inc.</t>
  </si>
  <si>
    <t>8695 Washington Blvd., Ste. 205</t>
  </si>
  <si>
    <t>Culver City, CA 95834</t>
  </si>
  <si>
    <t>Shane Hansen</t>
  </si>
  <si>
    <t>213-455-3311</t>
  </si>
  <si>
    <t>213-221-4733</t>
  </si>
  <si>
    <t>shansen@greendinosaur.org</t>
  </si>
  <si>
    <t>Thomas Tomaszewski, CPA</t>
  </si>
  <si>
    <t>3811 Tilden Drive</t>
  </si>
  <si>
    <t>El Dorado Hills, CA 94762</t>
  </si>
  <si>
    <t>Thomas Tomaszewski</t>
  </si>
  <si>
    <t>916-933-7247</t>
  </si>
  <si>
    <t>tom.tomaszewski@sbcglobal.net</t>
  </si>
  <si>
    <t>Community Economics</t>
  </si>
  <si>
    <t>538 9th Street, Ste. 200</t>
  </si>
  <si>
    <t>Oakland, CA 94607</t>
  </si>
  <si>
    <t>40%/60%</t>
  </si>
  <si>
    <t>Laurin Associates</t>
  </si>
  <si>
    <t>1501 Sports Drive, Suite A</t>
  </si>
  <si>
    <t>Sacramento, CA 95834</t>
  </si>
  <si>
    <t>Stefanie Williams</t>
  </si>
  <si>
    <t>swilliams@laurinassociates.com</t>
  </si>
  <si>
    <t>Bluewater Appraisal Services</t>
  </si>
  <si>
    <t>7216 Manzanita Street</t>
  </si>
  <si>
    <t>Carlsbad, CA 92011</t>
  </si>
  <si>
    <t>shawn@bluewaterappraisals.com</t>
  </si>
  <si>
    <t>Shawn Horn</t>
  </si>
  <si>
    <t>California Municipal Finance Authority</t>
  </si>
  <si>
    <t>2111 Palomar Airport Rd., Ste. 320</t>
  </si>
  <si>
    <t>John Stoecker</t>
  </si>
  <si>
    <t>jstoecker@cmfa-ca.com</t>
  </si>
  <si>
    <t>Hyder &amp; Company</t>
  </si>
  <si>
    <t>1649 Capalina Rd., Ste. 500</t>
  </si>
  <si>
    <t>Steve Margetic</t>
  </si>
  <si>
    <t>San Marcos, CA 92069</t>
  </si>
  <si>
    <t>steve.margetic@hyder.co</t>
  </si>
  <si>
    <t>One or Two Story Garden</t>
  </si>
  <si>
    <t>R-3 (Multiple Family residential)</t>
  </si>
  <si>
    <t>R-3 (Multiple Family residential) / 8-14 du/ac</t>
  </si>
  <si>
    <t>Building shall not exceed 3 stories, with a maximum height of height of 40 ft.</t>
  </si>
  <si>
    <t>132:80 Required Parking (32 - 1BR @ 1 Space/Unit, 24 - 2BR @ 2 Spaces/Unit, 16 - 3BR @ 2 Spaces/Unit, 8 - 4BR @ 2.5 Spaces/Unit)</t>
  </si>
  <si>
    <t>CTCAC/CDLAC 4%</t>
  </si>
  <si>
    <t>County of Riverside PLHA</t>
  </si>
  <si>
    <t>HCD Joe Serna, Jr. FWHG</t>
  </si>
  <si>
    <t>Bank of America, N.A.</t>
  </si>
  <si>
    <t>Riverside County Land Donation</t>
  </si>
  <si>
    <t>LP equity available during construction</t>
  </si>
  <si>
    <t>Fixed</t>
  </si>
  <si>
    <t>Los Angeles, CA 90071</t>
  </si>
  <si>
    <t>Daniel Rodriguez</t>
  </si>
  <si>
    <t>333 S. Hope St., 20th Floor</t>
  </si>
  <si>
    <t>651 Bannon Street</t>
  </si>
  <si>
    <t>Sacramento, CA 95811</t>
  </si>
  <si>
    <t>Gustavo Velasquez</t>
  </si>
  <si>
    <t>3403 Tenth Street, Suite 3000</t>
  </si>
  <si>
    <t>Riverside, CA 92501</t>
  </si>
  <si>
    <t>Juan Garcia</t>
  </si>
  <si>
    <t>TBD</t>
  </si>
  <si>
    <t>Loan, Non-Taxable</t>
  </si>
  <si>
    <t>Loan, Residual Reciepts</t>
  </si>
  <si>
    <t>Air Conditioning</t>
  </si>
  <si>
    <t>CUAC by Green Dinosaur, Inc.</t>
  </si>
  <si>
    <t>Phone system, office supplies, training, software</t>
  </si>
  <si>
    <t>Payroll taxes, health benefits, and workers compensation</t>
  </si>
  <si>
    <t>Supplies, pool, and misc. maintenance</t>
  </si>
  <si>
    <t>Licenses and permits</t>
  </si>
  <si>
    <t>HCD Joe Serna Jr., FWHG</t>
  </si>
  <si>
    <t>HCD Joe Serna Jr. Farmworker Housing Grant</t>
  </si>
  <si>
    <t>The Coachella Valley Housing Coalition</t>
  </si>
  <si>
    <t>USDA 514</t>
  </si>
  <si>
    <t>HCD Joe Serna, Jr, FWHG</t>
  </si>
  <si>
    <t>1 bedroom</t>
  </si>
  <si>
    <t>2 bedroom</t>
  </si>
  <si>
    <t>3 bedroom</t>
  </si>
  <si>
    <t>4 bedroom</t>
  </si>
  <si>
    <t>Variable</t>
  </si>
  <si>
    <t>SOFR</t>
  </si>
  <si>
    <t>USDA 514 loan</t>
  </si>
  <si>
    <t>Deferred developer fee</t>
  </si>
  <si>
    <t>GP equity</t>
  </si>
  <si>
    <t>annual renewals</t>
  </si>
  <si>
    <t xml:space="preserve">33 years </t>
  </si>
  <si>
    <t xml:space="preserve">USDA </t>
  </si>
  <si>
    <t>PV system</t>
  </si>
  <si>
    <t>Predevelopment loan interest</t>
  </si>
  <si>
    <t>borrower legal</t>
  </si>
  <si>
    <t>Tranition or other USDA required reserve</t>
  </si>
  <si>
    <t>prevailing wage monitoring</t>
  </si>
  <si>
    <t>USDA</t>
  </si>
  <si>
    <t>Serna</t>
  </si>
  <si>
    <t>Provided</t>
  </si>
  <si>
    <t>Not Applicable</t>
  </si>
  <si>
    <t>751-160-009-3 and 751-160-012-5</t>
  </si>
  <si>
    <t>45701 Monroe St., Ste. G</t>
  </si>
  <si>
    <t>Pedro S.G. Rodriguez</t>
  </si>
  <si>
    <t>(760) 347-3157</t>
  </si>
  <si>
    <t>GP Equity</t>
  </si>
  <si>
    <t>Jonathan Bell</t>
  </si>
  <si>
    <t>(202) 205-9217</t>
  </si>
  <si>
    <t>33 year Loan</t>
  </si>
  <si>
    <t>Need to Provide</t>
  </si>
  <si>
    <t>415-781-6600</t>
  </si>
  <si>
    <t>USDA-RD Section 514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</si>
</sst>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z.%20Staff%20Coverage\z.%20App%20Support\CVHC%20-%20Oasis\Oasis%20%20for%20CDLAC%202025%20R3%20with%20USDA%208-18-25%20linked%20to%20workbook.xls" TargetMode="External"/><Relationship Id="rId1" Type="http://schemas.openxmlformats.org/officeDocument/2006/relationships/externalLinkPath" Target="file:///C:\Users\Allyson\Box\Allyson%20Ujimori\1.%20Projects\z.%20Staff%20Coverage\z.%20App%20Support\CVHC%20-%20Oasis\Oasis%20%20for%20CDLAC%202025%20R3%20with%20USDA%208-18-25%20linked%20to%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s"/>
      <sheetName val="Sheet1"/>
    </sheetNames>
    <sheetDataSet>
      <sheetData sheetId="0">
        <row r="9">
          <cell r="C9">
            <v>10000000</v>
          </cell>
        </row>
        <row r="10">
          <cell r="C10">
            <v>7000000</v>
          </cell>
          <cell r="AD10">
            <v>994.5</v>
          </cell>
        </row>
        <row r="11">
          <cell r="C11">
            <v>499900</v>
          </cell>
        </row>
        <row r="12">
          <cell r="C12">
            <v>100</v>
          </cell>
        </row>
        <row r="13">
          <cell r="C13">
            <v>31741548.867229387</v>
          </cell>
        </row>
        <row r="14">
          <cell r="AD14">
            <v>1188.28</v>
          </cell>
        </row>
        <row r="16">
          <cell r="H16">
            <v>0.28499999999999998</v>
          </cell>
          <cell r="AD16">
            <v>790.56999999999994</v>
          </cell>
        </row>
        <row r="17">
          <cell r="AD17">
            <v>1081.57</v>
          </cell>
        </row>
        <row r="18">
          <cell r="B18">
            <v>15448918.328221949</v>
          </cell>
          <cell r="D18">
            <v>7.0000000000000007E-2</v>
          </cell>
          <cell r="AD18">
            <v>1372.57</v>
          </cell>
        </row>
        <row r="19">
          <cell r="B19">
            <v>18605705.78095983</v>
          </cell>
        </row>
        <row r="20">
          <cell r="AD20">
            <v>874.15</v>
          </cell>
        </row>
        <row r="21">
          <cell r="AD21">
            <v>1199.1500000000001</v>
          </cell>
        </row>
        <row r="22">
          <cell r="AD22">
            <v>1523.15</v>
          </cell>
        </row>
        <row r="25">
          <cell r="C25">
            <v>355000</v>
          </cell>
        </row>
        <row r="27">
          <cell r="C27">
            <v>25000</v>
          </cell>
        </row>
        <row r="28">
          <cell r="C28">
            <v>2069800</v>
          </cell>
        </row>
        <row r="40">
          <cell r="C40">
            <v>10832100</v>
          </cell>
        </row>
        <row r="41">
          <cell r="C41">
            <v>21848100</v>
          </cell>
        </row>
        <row r="42">
          <cell r="C42">
            <v>550600</v>
          </cell>
        </row>
        <row r="43">
          <cell r="C43">
            <v>2188200</v>
          </cell>
        </row>
        <row r="44">
          <cell r="C44">
            <v>732700</v>
          </cell>
        </row>
        <row r="45">
          <cell r="C45">
            <v>1194500</v>
          </cell>
        </row>
        <row r="46">
          <cell r="C46">
            <v>1194500</v>
          </cell>
        </row>
        <row r="49">
          <cell r="C49">
            <v>690000</v>
          </cell>
        </row>
        <row r="50">
          <cell r="C50">
            <v>155000</v>
          </cell>
        </row>
        <row r="52">
          <cell r="C52">
            <v>681681</v>
          </cell>
        </row>
        <row r="54">
          <cell r="C54">
            <v>2145441.3188784518</v>
          </cell>
          <cell r="D54">
            <v>2145441.3188784518</v>
          </cell>
        </row>
        <row r="55">
          <cell r="C55">
            <v>1589215.7917618165</v>
          </cell>
        </row>
        <row r="56">
          <cell r="C56">
            <v>305409.68081886333</v>
          </cell>
          <cell r="D56">
            <v>14241.902214351139</v>
          </cell>
          <cell r="AF56">
            <v>8000</v>
          </cell>
        </row>
        <row r="57">
          <cell r="AF57">
            <v>4000</v>
          </cell>
        </row>
        <row r="58">
          <cell r="C58">
            <v>60000</v>
          </cell>
          <cell r="AF58">
            <v>177950.21539643875</v>
          </cell>
        </row>
        <row r="59">
          <cell r="C59">
            <v>10000</v>
          </cell>
          <cell r="AF59">
            <v>207989.52725289698</v>
          </cell>
        </row>
        <row r="60">
          <cell r="C60">
            <v>484713</v>
          </cell>
          <cell r="AF60">
            <v>42000</v>
          </cell>
        </row>
        <row r="61">
          <cell r="C61">
            <v>75000</v>
          </cell>
        </row>
        <row r="64">
          <cell r="C64">
            <v>26052</v>
          </cell>
          <cell r="AD64">
            <v>2605200</v>
          </cell>
        </row>
        <row r="65">
          <cell r="C65">
            <v>139631.80433795156</v>
          </cell>
          <cell r="D65">
            <v>6511.3276634277927</v>
          </cell>
        </row>
        <row r="66">
          <cell r="C66">
            <v>10000</v>
          </cell>
          <cell r="AD66">
            <v>7.0000000000000007E-2</v>
          </cell>
        </row>
        <row r="68">
          <cell r="C68">
            <v>20000</v>
          </cell>
          <cell r="AD68">
            <v>5000000</v>
          </cell>
        </row>
        <row r="70">
          <cell r="AD70">
            <v>0.01</v>
          </cell>
        </row>
        <row r="71">
          <cell r="C71">
            <v>60000</v>
          </cell>
          <cell r="D71">
            <v>2797.9274611398964</v>
          </cell>
        </row>
        <row r="72">
          <cell r="C72">
            <v>60000</v>
          </cell>
        </row>
        <row r="75">
          <cell r="C75">
            <v>487969.87132466782</v>
          </cell>
        </row>
        <row r="76">
          <cell r="C76">
            <v>100000</v>
          </cell>
        </row>
        <row r="79">
          <cell r="C79">
            <v>27500</v>
          </cell>
        </row>
        <row r="80">
          <cell r="C80">
            <v>3045787.5</v>
          </cell>
        </row>
        <row r="82">
          <cell r="C82">
            <v>85289.900107633031</v>
          </cell>
        </row>
        <row r="83">
          <cell r="C83">
            <v>2025681</v>
          </cell>
        </row>
        <row r="84">
          <cell r="C84">
            <v>746876</v>
          </cell>
        </row>
        <row r="85">
          <cell r="C85">
            <v>20000</v>
          </cell>
        </row>
        <row r="86">
          <cell r="C86">
            <v>30000</v>
          </cell>
          <cell r="AA86">
            <v>6800</v>
          </cell>
        </row>
        <row r="87">
          <cell r="C87">
            <v>70000</v>
          </cell>
        </row>
        <row r="88">
          <cell r="C88">
            <v>150000</v>
          </cell>
        </row>
        <row r="89">
          <cell r="C89">
            <v>30000</v>
          </cell>
        </row>
        <row r="90">
          <cell r="C90">
            <v>35000</v>
          </cell>
        </row>
        <row r="91">
          <cell r="C91">
            <v>200000</v>
          </cell>
        </row>
        <row r="95">
          <cell r="C95">
            <v>2500000</v>
          </cell>
        </row>
        <row r="105">
          <cell r="C105">
            <v>145000</v>
          </cell>
        </row>
        <row r="125">
          <cell r="G125">
            <v>0.80981955993260368</v>
          </cell>
        </row>
        <row r="126">
          <cell r="D126">
            <v>0.81179820722804286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81640625" customWidth="1"/>
    <col min="39" max="16384" width="2.5429687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0" t="s">
        <v>2603</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2602</v>
      </c>
      <c r="E18" s="441"/>
      <c r="G18" s="441"/>
      <c r="H18" s="441"/>
      <c r="I18" s="441"/>
      <c r="J18" s="1273" t="s">
        <v>2601</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2517</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5" customHeight="1">
      <c r="A40" s="4"/>
      <c r="B40"/>
      <c r="C40" s="2"/>
      <c r="D40" s="4"/>
      <c r="E40" s="4" t="s">
        <v>653</v>
      </c>
      <c r="F40" s="1260" t="s">
        <v>1164</v>
      </c>
    </row>
    <row r="41" spans="1:38" s="1260" customFormat="1" ht="13.25" customHeight="1">
      <c r="A41" s="4"/>
      <c r="B41"/>
      <c r="C41" s="2"/>
      <c r="D41" s="4"/>
      <c r="E41" s="4"/>
    </row>
    <row r="42" spans="1:38" ht="13">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5"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904</v>
      </c>
      <c r="F94" s="204" t="s">
        <v>905</v>
      </c>
      <c r="G94" s="204"/>
      <c r="L94" s="4"/>
      <c r="M94" s="4"/>
      <c r="P94" s="4"/>
      <c r="Q94" s="4"/>
      <c r="R94" s="4"/>
      <c r="S94" s="4"/>
      <c r="T94" s="4"/>
      <c r="U94" s="4"/>
      <c r="V94" s="4"/>
      <c r="W94" s="4"/>
      <c r="X94" s="4"/>
      <c r="Y94" s="4"/>
      <c r="Z94" s="4"/>
      <c r="AA94" s="4"/>
      <c r="AB94" s="4"/>
    </row>
    <row r="95" spans="1:37" ht="13">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923</v>
      </c>
      <c r="F125" s="4"/>
    </row>
    <row r="126" spans="2:10"/>
    <row r="127" spans="2:10" ht="13">
      <c r="D127" s="2" t="s">
        <v>341</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1213</v>
      </c>
      <c r="F136" s="4"/>
    </row>
    <row r="137" spans="4:37">
      <c r="F137" s="4"/>
    </row>
    <row r="138" spans="4:37" ht="13">
      <c r="D138" s="2" t="s">
        <v>303</v>
      </c>
      <c r="E138" s="2" t="s">
        <v>2041</v>
      </c>
      <c r="F138" s="2"/>
      <c r="G138" s="2"/>
      <c r="H138" s="2"/>
    </row>
    <row r="139" spans="4:37">
      <c r="E139" t="s">
        <v>112</v>
      </c>
      <c r="F139" t="s">
        <v>52</v>
      </c>
    </row>
    <row r="140" spans="4:37">
      <c r="E140" t="s">
        <v>113</v>
      </c>
      <c r="F140" t="s">
        <v>466</v>
      </c>
    </row>
    <row r="141" spans="4:37"/>
    <row r="142" spans="4:37" ht="13">
      <c r="D142" s="2" t="s">
        <v>429</v>
      </c>
      <c r="E142" s="2" t="s">
        <v>2042</v>
      </c>
    </row>
    <row r="143" spans="4:37">
      <c r="E143" s="204" t="s">
        <v>2043</v>
      </c>
      <c r="F143" s="204"/>
    </row>
    <row r="144" spans="4:37"/>
    <row r="145" spans="3:7" ht="13">
      <c r="C145" s="2" t="s">
        <v>6</v>
      </c>
      <c r="G145" s="2" t="s">
        <v>380</v>
      </c>
    </row>
    <row r="146" spans="3:7" ht="13">
      <c r="D146" s="2" t="s">
        <v>207</v>
      </c>
      <c r="E146" s="2" t="s">
        <v>135</v>
      </c>
    </row>
    <row r="147" spans="3:7">
      <c r="E147" t="s">
        <v>797</v>
      </c>
    </row>
    <row r="148" spans="3:7"/>
    <row r="149" spans="3:7" ht="13">
      <c r="D149" s="2" t="s">
        <v>341</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303</v>
      </c>
      <c r="E161" s="2" t="s">
        <v>381</v>
      </c>
    </row>
    <row r="162" spans="3:20">
      <c r="E162" s="4" t="s">
        <v>929</v>
      </c>
      <c r="F162" s="4"/>
    </row>
    <row r="163" spans="3:20"/>
    <row r="164" spans="3:20" ht="13">
      <c r="D164" s="2" t="s">
        <v>429</v>
      </c>
      <c r="E164" s="2" t="s">
        <v>172</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297</v>
      </c>
    </row>
    <row r="171" spans="3:20">
      <c r="F171" s="4"/>
    </row>
    <row r="172" spans="3:20" ht="13">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207</v>
      </c>
      <c r="E176" s="2" t="s">
        <v>298</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348</v>
      </c>
      <c r="G255" s="204" t="s">
        <v>944</v>
      </c>
      <c r="I255" s="4"/>
      <c r="K255" s="4"/>
      <c r="L255" s="4"/>
      <c r="M255" s="4"/>
      <c r="N255" s="4"/>
      <c r="O255" s="4"/>
      <c r="P255" s="3"/>
    </row>
    <row r="256" spans="2:21" ht="13">
      <c r="B256" s="2"/>
      <c r="C256" s="2"/>
      <c r="E256" s="4"/>
      <c r="F256" s="204"/>
      <c r="G256" s="204"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287</v>
      </c>
      <c r="G268" s="4"/>
    </row>
    <row r="269" spans="2:21" ht="13">
      <c r="B269" s="2"/>
      <c r="C269" s="2"/>
      <c r="E269" s="4" t="s">
        <v>255</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49"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940</v>
      </c>
      <c r="H292" s="4"/>
      <c r="K292" s="4"/>
      <c r="L292" s="4"/>
      <c r="M292" s="4"/>
      <c r="N292" s="4"/>
      <c r="O292" s="4"/>
      <c r="P292" s="4"/>
      <c r="Q292" s="4"/>
      <c r="R292" s="4"/>
      <c r="S292" s="4"/>
      <c r="T292" s="4"/>
      <c r="U292" s="4"/>
      <c r="V292" s="4"/>
      <c r="W292" s="4"/>
    </row>
    <row r="293" spans="2:23" ht="13">
      <c r="B293" s="2"/>
      <c r="D293" s="4"/>
      <c r="E293" s="4"/>
      <c r="F293" s="4" t="s">
        <v>349</v>
      </c>
      <c r="G293" s="4" t="s">
        <v>561</v>
      </c>
      <c r="K293" s="4"/>
      <c r="L293" s="4"/>
      <c r="M293" s="4"/>
      <c r="N293" s="4"/>
      <c r="O293" s="4"/>
      <c r="P293" s="4"/>
      <c r="Q293" s="4"/>
      <c r="R293" s="4"/>
      <c r="S293" s="4"/>
      <c r="T293" s="4"/>
      <c r="U293" s="4"/>
      <c r="V293" s="4"/>
      <c r="W293" s="4"/>
    </row>
    <row r="294" spans="2:23" ht="13">
      <c r="B294" s="2"/>
      <c r="D294" s="4"/>
      <c r="E294" s="4"/>
      <c r="F294" s="4" t="s">
        <v>444</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289</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2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1258</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8164062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1268</v>
      </c>
      <c r="B2" s="1279"/>
      <c r="C2" s="1279"/>
      <c r="D2" s="1279"/>
      <c r="E2" s="1279"/>
      <c r="F2" s="1279"/>
      <c r="G2" s="1279"/>
      <c r="H2" s="1279"/>
      <c r="I2" s="1279"/>
      <c r="J2" s="1279"/>
    </row>
    <row r="3" spans="1:10"/>
    <row r="4" spans="1:10" ht="12.75" customHeight="1">
      <c r="A4" s="1276" t="s">
        <v>2046</v>
      </c>
      <c r="B4" s="1276"/>
      <c r="C4" s="1276"/>
      <c r="D4" s="1276"/>
      <c r="E4" s="1276"/>
      <c r="F4" s="1276"/>
      <c r="G4" s="1276"/>
      <c r="H4" s="1276"/>
      <c r="I4" s="1276"/>
      <c r="J4" s="1276"/>
    </row>
    <row r="5" spans="1:10">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row r="10" spans="1:10" ht="12.75" customHeight="1">
      <c r="A10" s="1280" t="s">
        <v>1873</v>
      </c>
      <c r="B10" s="1280"/>
      <c r="C10" s="1280"/>
      <c r="D10" s="1280"/>
      <c r="E10" s="1280"/>
      <c r="F10" s="1280"/>
      <c r="G10" s="1280"/>
      <c r="H10" s="1280"/>
      <c r="I10" s="1280"/>
      <c r="J10" s="1280"/>
    </row>
    <row r="11" spans="1:10">
      <c r="A11" s="1280"/>
      <c r="B11" s="1280"/>
      <c r="C11" s="1280"/>
      <c r="D11" s="1280"/>
      <c r="E11" s="1280"/>
      <c r="F11" s="1280"/>
      <c r="G11" s="1280"/>
      <c r="H11" s="1280"/>
      <c r="I11" s="1280"/>
      <c r="J11" s="1280"/>
    </row>
    <row r="12" spans="1:10">
      <c r="A12" s="1280"/>
      <c r="B12" s="1280"/>
      <c r="C12" s="1280"/>
      <c r="D12" s="1280"/>
      <c r="E12" s="1280"/>
      <c r="F12" s="1280"/>
      <c r="G12" s="1280"/>
      <c r="H12" s="1280"/>
      <c r="I12" s="1280"/>
      <c r="J12" s="1280"/>
    </row>
    <row r="13" spans="1:10">
      <c r="A13" s="1280"/>
      <c r="B13" s="1280"/>
      <c r="C13" s="1280"/>
      <c r="D13" s="1280"/>
      <c r="E13" s="1280"/>
      <c r="F13" s="1280"/>
      <c r="G13" s="1280"/>
      <c r="H13" s="1280"/>
      <c r="I13" s="1280"/>
      <c r="J13" s="1280"/>
    </row>
    <row r="14" spans="1:10">
      <c r="A14" s="1280"/>
      <c r="B14" s="1280"/>
      <c r="C14" s="1280"/>
      <c r="D14" s="1280"/>
      <c r="E14" s="1280"/>
      <c r="F14" s="1280"/>
      <c r="G14" s="1280"/>
      <c r="H14" s="1280"/>
      <c r="I14" s="1280"/>
      <c r="J14" s="1280"/>
    </row>
    <row r="15" spans="1:10">
      <c r="A15" s="1280"/>
      <c r="B15" s="1280"/>
      <c r="C15" s="1280"/>
      <c r="D15" s="1280"/>
      <c r="E15" s="1280"/>
      <c r="F15" s="1280"/>
      <c r="G15" s="1280"/>
      <c r="H15" s="1280"/>
      <c r="I15" s="1280"/>
      <c r="J15" s="1280"/>
    </row>
    <row r="16" spans="1:10">
      <c r="A16" s="524"/>
      <c r="B16" s="524"/>
      <c r="C16" s="524"/>
      <c r="D16" s="524"/>
      <c r="E16" s="524"/>
      <c r="F16" s="524"/>
      <c r="G16" s="524"/>
      <c r="H16" s="524"/>
      <c r="I16" s="524"/>
      <c r="J16" s="524"/>
    </row>
    <row r="17" spans="1:10">
      <c r="A17" s="476" t="s">
        <v>1872</v>
      </c>
      <c r="B17" s="416"/>
      <c r="C17" s="416"/>
      <c r="D17" s="416"/>
      <c r="E17" s="416"/>
      <c r="F17" s="416"/>
      <c r="G17" s="416"/>
      <c r="H17" s="416"/>
      <c r="I17" s="416"/>
      <c r="J17" s="416"/>
    </row>
    <row r="18" spans="1:10">
      <c r="A18" s="416" t="s">
        <v>250</v>
      </c>
      <c r="B18" s="416"/>
      <c r="C18" s="416"/>
      <c r="D18" s="416"/>
      <c r="E18" s="416"/>
      <c r="F18" s="416"/>
      <c r="G18" s="416"/>
      <c r="H18" s="416"/>
      <c r="I18" s="416"/>
      <c r="J18" s="416"/>
    </row>
    <row r="19" spans="1:10">
      <c r="A19" s="1279" t="s">
        <v>1189</v>
      </c>
      <c r="B19" s="1279"/>
      <c r="C19" s="1279"/>
      <c r="D19" s="1279"/>
      <c r="E19" s="1279"/>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6" t="s">
        <v>1190</v>
      </c>
      <c r="B56" s="1276"/>
      <c r="C56" s="1276"/>
      <c r="D56" s="1276"/>
      <c r="E56" s="1276"/>
      <c r="F56" s="1276"/>
      <c r="G56" s="1276"/>
      <c r="H56" s="1276"/>
      <c r="I56" s="1276"/>
      <c r="J56" s="1276"/>
    </row>
    <row r="57" spans="1:10">
      <c r="A57" s="1276"/>
      <c r="B57" s="1276"/>
      <c r="C57" s="1276"/>
      <c r="D57" s="1276"/>
      <c r="E57" s="1276"/>
      <c r="F57" s="1276"/>
      <c r="G57" s="1276"/>
      <c r="H57" s="1276"/>
      <c r="I57" s="1276"/>
      <c r="J57" s="1276"/>
    </row>
    <row r="58" spans="1:10">
      <c r="A58" s="1276"/>
      <c r="B58" s="1276"/>
      <c r="C58" s="1276"/>
      <c r="D58" s="1276"/>
      <c r="E58" s="1276"/>
      <c r="F58" s="1276"/>
      <c r="G58" s="1276"/>
      <c r="H58" s="1276"/>
      <c r="I58" s="1276"/>
      <c r="J58" s="1276"/>
    </row>
    <row r="59" spans="1:10"/>
    <row r="60" spans="1:10">
      <c r="A60" s="402" t="s">
        <v>1189</v>
      </c>
    </row>
    <row r="61" spans="1:10"/>
    <row r="62" spans="1:10"/>
    <row r="63" spans="1:10"/>
    <row r="64" spans="1:10"/>
    <row r="65" spans="1:9"/>
    <row r="66" spans="1:9"/>
    <row r="67" spans="1:9"/>
    <row r="68" spans="1:9"/>
    <row r="69" spans="1:9"/>
    <row r="70" spans="1:9"/>
    <row r="71" spans="1:9" ht="13">
      <c r="A71" s="1277" t="s">
        <v>1869</v>
      </c>
      <c r="B71" s="1277"/>
      <c r="C71" s="1277"/>
      <c r="D71" s="1277"/>
      <c r="E71" s="1277"/>
      <c r="F71" s="1277"/>
      <c r="G71" s="1277"/>
      <c r="H71" s="1277"/>
      <c r="I71" s="1277"/>
    </row>
    <row r="72" spans="1:9">
      <c r="A72" s="1267" t="s">
        <v>2044</v>
      </c>
      <c r="B72" s="1267"/>
      <c r="C72" s="1267"/>
      <c r="D72" s="1267"/>
      <c r="E72" s="1267"/>
    </row>
    <row r="73" spans="1:9">
      <c r="A73" s="1267" t="s">
        <v>2045</v>
      </c>
      <c r="B73" s="1267"/>
      <c r="C73" s="1267"/>
      <c r="D73" s="1267"/>
      <c r="E73" s="1267"/>
    </row>
    <row r="74" spans="1:9">
      <c r="A74" s="1267" t="s">
        <v>1870</v>
      </c>
      <c r="B74" s="1267"/>
      <c r="C74" s="1267"/>
      <c r="D74" s="1267"/>
      <c r="E74" s="1267"/>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63" workbookViewId="0">
      <selection activeCell="B1054" sqref="B1054"/>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281" t="s">
        <v>2457</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75"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c r="A15" s="484"/>
      <c r="B15" s="485" t="s">
        <v>2745</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c r="A20" s="484"/>
      <c r="B20" s="485" t="s">
        <v>2745</v>
      </c>
      <c r="D20" s="1283" t="s">
        <v>1922</v>
      </c>
      <c r="E20" s="1283"/>
      <c r="F20" s="1283"/>
      <c r="I20" s="490"/>
    </row>
    <row r="21" spans="1:9">
      <c r="A21" s="484"/>
      <c r="D21" s="1283"/>
      <c r="E21" s="1283"/>
      <c r="F21" s="1283"/>
      <c r="I21" s="490"/>
    </row>
    <row r="22" spans="1:9">
      <c r="A22" s="484"/>
      <c r="D22" s="392"/>
      <c r="E22" s="96" t="s">
        <v>1918</v>
      </c>
      <c r="F22" s="392"/>
      <c r="I22" s="490"/>
    </row>
    <row r="23" spans="1:9">
      <c r="A23" s="484"/>
      <c r="B23" s="484"/>
      <c r="D23" s="446"/>
      <c r="I23" s="490"/>
    </row>
    <row r="24" spans="1:9">
      <c r="A24" s="484"/>
      <c r="B24" s="485" t="s">
        <v>2746</v>
      </c>
      <c r="D24" s="1283" t="s">
        <v>1091</v>
      </c>
      <c r="E24" s="1283"/>
      <c r="F24" s="1283"/>
      <c r="I24" s="490"/>
    </row>
    <row r="25" spans="1:9">
      <c r="A25" s="484"/>
      <c r="B25" s="484"/>
      <c r="D25" s="1283"/>
      <c r="E25" s="1283"/>
      <c r="F25" s="1283"/>
      <c r="I25" s="490"/>
    </row>
    <row r="26" spans="1:9">
      <c r="I26" s="490"/>
    </row>
    <row r="27" spans="1:9">
      <c r="A27" s="484"/>
      <c r="B27" s="485" t="s">
        <v>307</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2746</v>
      </c>
      <c r="D33" s="1283" t="s">
        <v>2048</v>
      </c>
      <c r="E33" s="1283"/>
      <c r="F33" s="1283"/>
      <c r="I33" s="490"/>
    </row>
    <row r="34" spans="1:9">
      <c r="D34" s="1283"/>
      <c r="E34" s="1283"/>
      <c r="F34" s="1283"/>
      <c r="I34" s="490"/>
    </row>
    <row r="35" spans="1:9">
      <c r="A35" s="484"/>
      <c r="B35" s="484"/>
      <c r="D35" s="447"/>
      <c r="I35" s="490"/>
    </row>
    <row r="36" spans="1:9" ht="14.5" customHeight="1">
      <c r="A36" s="484"/>
      <c r="B36" s="485" t="s">
        <v>2746</v>
      </c>
      <c r="D36" s="1283" t="s">
        <v>1214</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2746</v>
      </c>
      <c r="D41" s="1283" t="s">
        <v>1092</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2745</v>
      </c>
      <c r="D47" s="1283" t="s">
        <v>1093</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2746</v>
      </c>
      <c r="D52" s="1283" t="s">
        <v>1094</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2745</v>
      </c>
      <c r="D56" s="1307" t="s">
        <v>1095</v>
      </c>
      <c r="E56" s="1307"/>
      <c r="F56" s="1307"/>
      <c r="I56" s="490"/>
    </row>
    <row r="57" spans="1:9">
      <c r="A57" s="484"/>
      <c r="B57" s="484"/>
      <c r="D57" s="1307"/>
      <c r="E57" s="1307"/>
      <c r="F57" s="1307"/>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2746</v>
      </c>
      <c r="D61" s="1283" t="s">
        <v>1096</v>
      </c>
      <c r="E61" s="1283"/>
      <c r="F61" s="1283"/>
      <c r="I61" s="490"/>
    </row>
    <row r="62" spans="1:9">
      <c r="D62" s="1283"/>
      <c r="E62" s="1283"/>
      <c r="F62" s="1283"/>
      <c r="I62" s="490"/>
    </row>
    <row r="63" spans="1:9">
      <c r="D63" s="1283"/>
      <c r="E63" s="1283"/>
      <c r="F63" s="1283"/>
      <c r="I63" s="490"/>
    </row>
    <row r="64" spans="1:9">
      <c r="I64" s="490"/>
    </row>
    <row r="65" spans="1:9">
      <c r="A65" s="484"/>
      <c r="B65" s="485" t="s">
        <v>2745</v>
      </c>
      <c r="D65" s="1283" t="s">
        <v>1097</v>
      </c>
      <c r="E65" s="1283"/>
      <c r="F65" s="1283"/>
      <c r="I65" s="490"/>
    </row>
    <row r="66" spans="1:9">
      <c r="D66" s="1283"/>
      <c r="E66" s="1283"/>
      <c r="F66" s="1283"/>
      <c r="I66" s="490"/>
    </row>
    <row r="67" spans="1:9">
      <c r="I67" s="490"/>
    </row>
    <row r="68" spans="1:9">
      <c r="A68" s="484"/>
      <c r="B68" s="485" t="s">
        <v>2746</v>
      </c>
      <c r="D68" s="1283" t="s">
        <v>1098</v>
      </c>
      <c r="E68" s="1283"/>
      <c r="F68" s="1283"/>
      <c r="I68" s="490"/>
    </row>
    <row r="69" spans="1:9">
      <c r="D69" s="1283"/>
      <c r="E69" s="1283"/>
      <c r="F69" s="1283"/>
      <c r="I69" s="490"/>
    </row>
    <row r="70" spans="1:9">
      <c r="D70" s="1283"/>
      <c r="E70" s="1283"/>
      <c r="F70" s="1283"/>
      <c r="I70" s="490"/>
    </row>
    <row r="71" spans="1:9">
      <c r="I71" s="490"/>
    </row>
    <row r="72" spans="1:9">
      <c r="A72" s="484"/>
      <c r="B72" s="485" t="s">
        <v>2745</v>
      </c>
      <c r="D72" s="1283" t="s">
        <v>1099</v>
      </c>
      <c r="E72" s="1283"/>
      <c r="F72" s="1283"/>
      <c r="I72" s="490"/>
    </row>
    <row r="73" spans="1:9">
      <c r="D73" s="1283"/>
      <c r="E73" s="1283"/>
      <c r="F73" s="1283"/>
      <c r="I73" s="490"/>
    </row>
    <row r="74" spans="1:9">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75" customHeight="1">
      <c r="A80" s="484"/>
      <c r="B80" s="485" t="s">
        <v>2745</v>
      </c>
      <c r="D80" s="1283" t="s">
        <v>1245</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2745</v>
      </c>
      <c r="D89" s="1283" t="s">
        <v>1742</v>
      </c>
      <c r="E89" s="1283"/>
      <c r="F89" s="1283"/>
      <c r="I89" s="490"/>
    </row>
    <row r="90" spans="1:9">
      <c r="A90" s="484"/>
      <c r="B90" s="484"/>
      <c r="D90" s="1283"/>
      <c r="E90" s="1283"/>
      <c r="F90" s="1283"/>
      <c r="I90" s="490"/>
    </row>
    <row r="91" spans="1:9">
      <c r="A91" s="484"/>
      <c r="B91" s="484"/>
      <c r="D91" s="445"/>
      <c r="E91" s="445"/>
      <c r="F91" s="445"/>
      <c r="I91" s="490"/>
    </row>
    <row r="92" spans="1:9">
      <c r="A92" s="484"/>
      <c r="B92" s="485" t="s">
        <v>2745</v>
      </c>
      <c r="D92" s="1283" t="s">
        <v>1745</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2745</v>
      </c>
      <c r="D96" s="1283" t="s">
        <v>1744</v>
      </c>
      <c r="E96" s="1283"/>
      <c r="F96" s="1283"/>
      <c r="I96" s="490"/>
    </row>
    <row r="97" spans="1:9" s="987" customFormat="1">
      <c r="A97" s="985"/>
      <c r="B97" s="985"/>
      <c r="C97" s="986"/>
      <c r="D97" s="1283"/>
      <c r="E97" s="1283"/>
      <c r="F97" s="1283"/>
      <c r="I97" s="1154"/>
    </row>
    <row r="98" spans="1:9">
      <c r="A98" s="484"/>
      <c r="B98" s="484"/>
      <c r="D98" s="392"/>
      <c r="E98" s="312" t="s">
        <v>1923</v>
      </c>
      <c r="F98" s="445"/>
      <c r="I98" s="490"/>
    </row>
    <row r="99" spans="1:9">
      <c r="A99" s="484"/>
      <c r="B99" s="484"/>
      <c r="D99" s="385"/>
      <c r="E99" s="385"/>
      <c r="F99" s="385"/>
      <c r="I99" s="490"/>
    </row>
    <row r="100" spans="1:9">
      <c r="A100" s="484"/>
      <c r="B100" s="485" t="s">
        <v>2746</v>
      </c>
      <c r="D100" s="1283" t="s">
        <v>1743</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2746</v>
      </c>
      <c r="D103" s="1283" t="s">
        <v>1194</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2746</v>
      </c>
      <c r="D119" s="1303" t="s">
        <v>1103</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2745</v>
      </c>
      <c r="C128" s="402"/>
      <c r="D128" s="1303" t="s">
        <v>2049</v>
      </c>
      <c r="E128" s="1303"/>
      <c r="F128" s="1303"/>
      <c r="I128" s="490"/>
    </row>
    <row r="129" spans="1:9">
      <c r="A129" s="484"/>
      <c r="B129" s="484"/>
      <c r="C129" s="402"/>
      <c r="D129" s="1303"/>
      <c r="E129" s="1303"/>
      <c r="F129" s="1303"/>
      <c r="I129" s="490"/>
    </row>
    <row r="130" spans="1:9">
      <c r="I130" s="490"/>
    </row>
    <row r="131" spans="1:9">
      <c r="A131" s="484"/>
      <c r="B131" s="485" t="s">
        <v>2745</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2746</v>
      </c>
      <c r="D137" s="1283" t="s">
        <v>1105</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2745</v>
      </c>
      <c r="D151" s="1283" t="s">
        <v>1177</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2072</v>
      </c>
      <c r="E169" s="1304"/>
      <c r="F169" s="1304"/>
      <c r="G169" s="507"/>
      <c r="I169" s="490"/>
    </row>
    <row r="170" spans="1:9" ht="13.75" customHeight="1">
      <c r="D170" s="1295"/>
      <c r="E170" s="1295"/>
      <c r="F170" s="1295"/>
      <c r="G170" s="1295"/>
      <c r="I170" s="490"/>
    </row>
    <row r="171" spans="1:9" ht="14.5" customHeight="1">
      <c r="A171" s="489"/>
      <c r="B171" s="485" t="s">
        <v>2746</v>
      </c>
      <c r="C171" s="476"/>
      <c r="D171" s="1263" t="s">
        <v>2212</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2745</v>
      </c>
      <c r="C177" s="476"/>
      <c r="D177" s="1263" t="s">
        <v>1106</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2746</v>
      </c>
      <c r="D182" s="1287" t="s">
        <v>2050</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2745</v>
      </c>
      <c r="D197" s="1300" t="s">
        <v>1747</v>
      </c>
      <c r="E197" s="1300"/>
      <c r="F197" s="1300"/>
      <c r="I197" s="490"/>
    </row>
    <row r="198" spans="1:9">
      <c r="A198" s="404"/>
      <c r="B198" s="404"/>
      <c r="D198" s="1301" t="s">
        <v>1901</v>
      </c>
      <c r="E198" s="1301"/>
      <c r="F198" s="1301"/>
      <c r="I198" s="490"/>
    </row>
    <row r="199" spans="1:9">
      <c r="A199" s="404"/>
      <c r="B199" s="404"/>
      <c r="D199" s="96" t="s">
        <v>1748</v>
      </c>
      <c r="E199" s="1302" t="s">
        <v>1924</v>
      </c>
      <c r="F199" s="1302"/>
      <c r="I199" s="490"/>
    </row>
    <row r="200" spans="1:9">
      <c r="A200" s="404"/>
      <c r="B200" s="404"/>
      <c r="D200" s="3"/>
      <c r="E200" s="3"/>
      <c r="F200" s="3"/>
      <c r="I200" s="490"/>
    </row>
    <row r="201" spans="1:9">
      <c r="A201" s="404"/>
      <c r="B201" s="485" t="s">
        <v>2746</v>
      </c>
      <c r="D201" s="1301" t="s">
        <v>1749</v>
      </c>
      <c r="E201" s="1301"/>
      <c r="F201" s="1301"/>
      <c r="I201" s="490"/>
    </row>
    <row r="202" spans="1:9">
      <c r="A202" s="404"/>
      <c r="B202" s="404"/>
      <c r="D202" s="1300" t="s">
        <v>1901</v>
      </c>
      <c r="E202" s="1300"/>
      <c r="F202" s="1300"/>
      <c r="I202" s="490"/>
    </row>
    <row r="203" spans="1:9">
      <c r="A203" s="404"/>
      <c r="B203" s="404"/>
      <c r="D203" s="57" t="s">
        <v>1750</v>
      </c>
      <c r="E203" s="1302" t="s">
        <v>1925</v>
      </c>
      <c r="F203" s="1302"/>
      <c r="I203" s="490"/>
    </row>
    <row r="204" spans="1:9">
      <c r="A204" s="404"/>
      <c r="B204" s="404"/>
      <c r="D204" s="3"/>
      <c r="E204" s="3"/>
      <c r="F204" s="3"/>
      <c r="I204" s="490"/>
    </row>
    <row r="205" spans="1:9">
      <c r="A205" s="404"/>
      <c r="B205" s="485" t="s">
        <v>2746</v>
      </c>
      <c r="D205" s="1301" t="s">
        <v>1751</v>
      </c>
      <c r="E205" s="1301"/>
      <c r="F205" s="1301"/>
      <c r="I205" s="490"/>
    </row>
    <row r="206" spans="1:9">
      <c r="A206" s="404"/>
      <c r="B206" s="404"/>
      <c r="D206" s="1300" t="s">
        <v>1901</v>
      </c>
      <c r="E206" s="1300"/>
      <c r="F206" s="1300"/>
      <c r="I206" s="490"/>
    </row>
    <row r="207" spans="1:9">
      <c r="A207" s="404"/>
      <c r="B207" s="404"/>
      <c r="D207" s="57" t="s">
        <v>1748</v>
      </c>
      <c r="E207" s="1302" t="s">
        <v>1926</v>
      </c>
      <c r="F207" s="1302"/>
      <c r="I207" s="490"/>
    </row>
    <row r="208" spans="1:9">
      <c r="A208" s="404"/>
      <c r="B208" s="404"/>
      <c r="D208" s="392"/>
      <c r="E208" s="392"/>
      <c r="F208" s="392"/>
      <c r="I208" s="490"/>
    </row>
    <row r="209" spans="1:9" ht="14.25" customHeight="1">
      <c r="A209" s="484"/>
      <c r="B209" s="485" t="s">
        <v>2746</v>
      </c>
      <c r="D209" s="386" t="s">
        <v>1894</v>
      </c>
      <c r="E209" s="385"/>
      <c r="F209" s="385"/>
      <c r="I209" s="490"/>
    </row>
    <row r="210" spans="1:9">
      <c r="A210" s="484"/>
      <c r="B210" s="484"/>
      <c r="D210" s="1300" t="s">
        <v>1901</v>
      </c>
      <c r="E210" s="1300"/>
      <c r="F210" s="1300"/>
      <c r="I210" s="490"/>
    </row>
    <row r="211" spans="1:9">
      <c r="D211" s="385"/>
      <c r="E211" s="1302" t="s">
        <v>1927</v>
      </c>
      <c r="F211" s="1302"/>
      <c r="I211" s="490"/>
    </row>
    <row r="212" spans="1:9">
      <c r="D212" s="447"/>
      <c r="I212" s="490"/>
    </row>
    <row r="213" spans="1:9">
      <c r="B213" s="485" t="s">
        <v>2746</v>
      </c>
      <c r="D213" s="1301" t="s">
        <v>1752</v>
      </c>
      <c r="E213" s="1301"/>
      <c r="F213" s="1301"/>
      <c r="I213" s="490"/>
    </row>
    <row r="214" spans="1:9">
      <c r="D214" s="1300" t="s">
        <v>1901</v>
      </c>
      <c r="E214" s="1300"/>
      <c r="F214" s="1300"/>
      <c r="I214" s="490"/>
    </row>
    <row r="215" spans="1:9">
      <c r="D215" s="57" t="s">
        <v>1748</v>
      </c>
      <c r="E215" s="1302" t="s">
        <v>1928</v>
      </c>
      <c r="F215" s="1302"/>
      <c r="I215" s="490"/>
    </row>
    <row r="216" spans="1:9">
      <c r="D216" s="451"/>
      <c r="E216" s="451"/>
      <c r="F216" s="451"/>
      <c r="I216" s="490"/>
    </row>
    <row r="217" spans="1:9">
      <c r="A217" s="484"/>
      <c r="B217" s="485" t="s">
        <v>2746</v>
      </c>
      <c r="D217" s="1283" t="s">
        <v>1216</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75" customHeight="1">
      <c r="A227" s="490"/>
      <c r="C227" s="490"/>
      <c r="D227" s="1291" t="s">
        <v>546</v>
      </c>
      <c r="E227" s="1291"/>
      <c r="F227" s="1291"/>
      <c r="I227" s="490"/>
    </row>
    <row r="228" spans="1:9">
      <c r="A228" s="484"/>
      <c r="B228" s="485" t="s">
        <v>2745</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2745</v>
      </c>
      <c r="D233" s="1283" t="s">
        <v>1754</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1118</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2745</v>
      </c>
      <c r="D245" s="1283" t="s">
        <v>2052</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1895</v>
      </c>
      <c r="I248" s="490"/>
    </row>
    <row r="249" spans="1:9">
      <c r="A249" s="484"/>
      <c r="B249" s="484"/>
      <c r="D249" s="446"/>
      <c r="E249" s="446"/>
      <c r="F249" s="446"/>
      <c r="I249" s="490"/>
    </row>
    <row r="250" spans="1:9" ht="14.5" customHeight="1">
      <c r="A250" s="484"/>
      <c r="B250" s="485" t="s">
        <v>2746</v>
      </c>
      <c r="D250" s="1283" t="s">
        <v>2053</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2745</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2745</v>
      </c>
      <c r="D259" s="1283" t="s">
        <v>1119</v>
      </c>
      <c r="E259" s="1283"/>
      <c r="F259" s="1283"/>
      <c r="I259" s="490"/>
    </row>
    <row r="260" spans="1:9">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2745</v>
      </c>
      <c r="D267" s="1283" t="s">
        <v>1196</v>
      </c>
      <c r="E267" s="1283"/>
      <c r="F267" s="1283"/>
      <c r="I267" s="490"/>
    </row>
    <row r="268" spans="1:9">
      <c r="D268" s="1283"/>
      <c r="E268" s="1283"/>
      <c r="F268" s="1283"/>
      <c r="I268" s="490"/>
    </row>
    <row r="269" spans="1:9">
      <c r="E269" s="1036" t="s">
        <v>1897</v>
      </c>
      <c r="I269" s="490"/>
    </row>
    <row r="270" spans="1:9">
      <c r="D270" s="446"/>
      <c r="E270" s="446"/>
      <c r="F270" s="446"/>
      <c r="I270" s="490"/>
    </row>
    <row r="271" spans="1:9" ht="14.5" customHeight="1">
      <c r="A271" s="484"/>
      <c r="B271" s="485" t="s">
        <v>2746</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2746</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c r="A290" s="484"/>
      <c r="B290" s="485" t="s">
        <v>2746</v>
      </c>
      <c r="D290" s="1283" t="s">
        <v>1125</v>
      </c>
      <c r="E290" s="1283"/>
      <c r="F290" s="1283"/>
      <c r="I290" s="490"/>
    </row>
    <row r="291" spans="1:9">
      <c r="A291" s="484"/>
      <c r="B291" s="484"/>
      <c r="D291" s="1283"/>
      <c r="E291" s="1283"/>
      <c r="F291" s="1283"/>
      <c r="I291" s="490"/>
    </row>
    <row r="292" spans="1:9">
      <c r="D292" s="446"/>
      <c r="E292" s="446"/>
      <c r="F292" s="446"/>
      <c r="I292" s="490"/>
    </row>
    <row r="293" spans="1:9">
      <c r="A293" s="484"/>
      <c r="B293" s="485" t="s">
        <v>2746</v>
      </c>
      <c r="D293" s="1283" t="s">
        <v>1126</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2746</v>
      </c>
      <c r="D297" s="1283" t="s">
        <v>1127</v>
      </c>
      <c r="E297" s="1283"/>
      <c r="F297" s="1283"/>
      <c r="I297" s="490"/>
    </row>
    <row r="298" spans="1:9">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2746</v>
      </c>
      <c r="D305" s="1284" t="s">
        <v>1129</v>
      </c>
      <c r="E305" s="1284"/>
      <c r="F305" s="1284"/>
      <c r="I305" s="490"/>
    </row>
    <row r="306" spans="1:9">
      <c r="A306" s="484"/>
      <c r="B306" s="484"/>
      <c r="D306" s="494"/>
      <c r="E306" s="495"/>
      <c r="F306" s="495"/>
      <c r="I306" s="490"/>
    </row>
    <row r="307" spans="1:9" ht="13.75" customHeight="1">
      <c r="B307" s="485" t="s">
        <v>2746</v>
      </c>
      <c r="D307" s="1293" t="s">
        <v>1219</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2746</v>
      </c>
      <c r="D313" s="1293" t="s">
        <v>1130</v>
      </c>
      <c r="E313" s="1293"/>
      <c r="F313" s="1293"/>
      <c r="I313" s="490"/>
    </row>
    <row r="314" spans="1:9">
      <c r="D314" s="1293"/>
      <c r="E314" s="1293"/>
      <c r="F314" s="1293"/>
      <c r="I314" s="490"/>
    </row>
    <row r="315" spans="1:9">
      <c r="A315" s="484"/>
      <c r="B315" s="484"/>
      <c r="D315" s="494"/>
      <c r="E315" s="495"/>
      <c r="F315" s="495"/>
      <c r="I315" s="490"/>
    </row>
    <row r="316" spans="1:9">
      <c r="B316" s="485" t="s">
        <v>2746</v>
      </c>
      <c r="D316" s="1284" t="s">
        <v>1131</v>
      </c>
      <c r="E316" s="1284"/>
      <c r="F316" s="1284"/>
      <c r="I316" s="490"/>
    </row>
    <row r="317" spans="1:9">
      <c r="E317" s="446"/>
      <c r="F317" s="446"/>
      <c r="I317" s="490"/>
    </row>
    <row r="318" spans="1:9">
      <c r="A318" s="484"/>
      <c r="B318" s="485" t="s">
        <v>2746</v>
      </c>
      <c r="D318" s="1283" t="s">
        <v>2244</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2746</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2746</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979</v>
      </c>
      <c r="E351" s="1296"/>
      <c r="F351" s="1296"/>
      <c r="G351" s="1027"/>
      <c r="H351" s="1027"/>
      <c r="I351" s="1156"/>
    </row>
    <row r="352" spans="1:9" ht="13.5" thickTop="1">
      <c r="D352" s="1294" t="s">
        <v>2245</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2746</v>
      </c>
      <c r="C355" s="487"/>
      <c r="D355" s="1284" t="s">
        <v>1900</v>
      </c>
      <c r="E355" s="1284"/>
      <c r="F355" s="1284"/>
      <c r="I355" s="490"/>
    </row>
    <row r="356" spans="1:9" ht="12.75" customHeight="1">
      <c r="D356" s="1037"/>
      <c r="E356" s="96" t="s">
        <v>1899</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c r="A360" s="484"/>
      <c r="B360" s="485" t="s">
        <v>2746</v>
      </c>
      <c r="C360" s="476"/>
      <c r="D360" s="1295" t="s">
        <v>2056</v>
      </c>
      <c r="E360" s="1295"/>
      <c r="F360" s="1295"/>
      <c r="I360" s="480"/>
    </row>
    <row r="361" spans="1:9">
      <c r="A361" s="476"/>
      <c r="B361" s="476"/>
      <c r="C361" s="476"/>
      <c r="D361" s="447"/>
      <c r="E361" s="447"/>
      <c r="F361" s="446"/>
      <c r="I361" s="490"/>
    </row>
    <row r="362" spans="1:9">
      <c r="A362" s="476"/>
      <c r="B362" s="485" t="s">
        <v>2746</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5" customHeight="1">
      <c r="A375" s="476"/>
      <c r="B375" s="485" t="s">
        <v>2746</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2746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2746</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2746</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2746</v>
      </c>
      <c r="D423" s="1263" t="s">
        <v>1881</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2746</v>
      </c>
      <c r="C429" s="476"/>
      <c r="D429" s="1263" t="s">
        <v>1240</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c r="A435" s="484"/>
      <c r="B435" s="485" t="s">
        <v>2746</v>
      </c>
      <c r="C435" s="487"/>
      <c r="D435" s="1283" t="s">
        <v>2058</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2746</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2746</v>
      </c>
      <c r="C471" s="484"/>
      <c r="D471" s="1283" t="s">
        <v>1197</v>
      </c>
      <c r="E471" s="1283"/>
      <c r="F471" s="1283"/>
      <c r="I471" s="490"/>
    </row>
    <row r="472" spans="1:9">
      <c r="D472" s="1283"/>
      <c r="E472" s="1283"/>
      <c r="F472" s="1283"/>
      <c r="I472" s="490"/>
    </row>
    <row r="473" spans="1:9">
      <c r="D473" s="446"/>
      <c r="E473" s="446"/>
      <c r="F473" s="446"/>
      <c r="I473" s="490"/>
    </row>
    <row r="474" spans="1:9">
      <c r="B474" s="485" t="s">
        <v>2746</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2746</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2746</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2746</v>
      </c>
      <c r="C486" s="402"/>
      <c r="D486" s="1283"/>
      <c r="E486" s="1283"/>
      <c r="F486" s="1283"/>
      <c r="I486" s="490"/>
    </row>
    <row r="487" spans="1:9">
      <c r="A487" s="402"/>
      <c r="C487" s="402"/>
      <c r="D487" s="1283"/>
      <c r="E487" s="1283"/>
      <c r="F487" s="1283"/>
      <c r="I487" s="490"/>
    </row>
    <row r="488" spans="1:9">
      <c r="A488" s="402"/>
      <c r="B488" s="485" t="s">
        <v>2746</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2746</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c r="A499" s="484"/>
      <c r="B499" s="484"/>
      <c r="D499" s="1295" t="s">
        <v>1141</v>
      </c>
      <c r="E499" s="1295"/>
      <c r="F499" s="1295"/>
      <c r="I499" s="490"/>
    </row>
    <row r="500" spans="1:9">
      <c r="A500" s="484"/>
      <c r="B500" s="484"/>
      <c r="D500" s="447"/>
      <c r="I500" s="490"/>
    </row>
    <row r="501" spans="1:9">
      <c r="A501" s="484"/>
      <c r="B501" s="485" t="s">
        <v>2746</v>
      </c>
      <c r="D501" s="1263" t="s">
        <v>1142</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2746</v>
      </c>
      <c r="D504" s="1287" t="s">
        <v>1273</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2746</v>
      </c>
      <c r="D509" s="1284" t="s">
        <v>1143</v>
      </c>
      <c r="E509" s="1284"/>
      <c r="F509" s="1284"/>
      <c r="I509" s="490"/>
    </row>
    <row r="510" spans="1:9">
      <c r="A510" s="484"/>
      <c r="B510" s="484"/>
      <c r="D510" s="446"/>
      <c r="I510" s="490"/>
    </row>
    <row r="511" spans="1:9">
      <c r="A511" s="484"/>
      <c r="B511" s="485" t="s">
        <v>2746</v>
      </c>
      <c r="D511" s="1283" t="s">
        <v>1144</v>
      </c>
      <c r="E511" s="1283"/>
      <c r="F511" s="1283"/>
      <c r="I511" s="490"/>
    </row>
    <row r="512" spans="1:9">
      <c r="A512" s="484"/>
      <c r="D512" s="1283"/>
      <c r="E512" s="1283"/>
      <c r="F512" s="1283"/>
      <c r="I512" s="490"/>
    </row>
    <row r="513" spans="1:9">
      <c r="A513" s="490"/>
      <c r="B513" s="490"/>
      <c r="D513" s="447"/>
      <c r="I513" s="490"/>
    </row>
    <row r="514" spans="1:9">
      <c r="A514" s="490"/>
      <c r="B514" s="485" t="s">
        <v>2746</v>
      </c>
      <c r="D514" s="1284" t="s">
        <v>1145</v>
      </c>
      <c r="E514" s="1284"/>
      <c r="F514" s="1284"/>
      <c r="I514" s="490"/>
    </row>
    <row r="515" spans="1:9">
      <c r="D515" s="446"/>
      <c r="E515" s="446"/>
      <c r="F515" s="446"/>
      <c r="I515" s="490"/>
    </row>
    <row r="516" spans="1:9">
      <c r="B516" s="485" t="s">
        <v>2746</v>
      </c>
      <c r="D516" s="1283" t="s">
        <v>2279</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2745</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2745</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5" customHeight="1">
      <c r="A536" s="483"/>
      <c r="B536" s="485" t="s">
        <v>2746</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75" customHeight="1">
      <c r="A548" s="484"/>
      <c r="B548" s="485" t="s">
        <v>2745</v>
      </c>
      <c r="C548" s="487"/>
      <c r="D548" s="1284" t="s">
        <v>884</v>
      </c>
      <c r="E548" s="1284"/>
      <c r="F548" s="1284"/>
      <c r="I548" s="490"/>
    </row>
    <row r="549" spans="1:9" ht="13.75" customHeight="1">
      <c r="A549" s="487"/>
      <c r="B549" s="487"/>
      <c r="C549" s="487"/>
      <c r="D549" s="446"/>
      <c r="I549" s="490"/>
    </row>
    <row r="550" spans="1:9">
      <c r="A550" s="484"/>
      <c r="B550" s="485" t="s">
        <v>2745</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2745</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2745</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2745</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2746</v>
      </c>
      <c r="C563" s="487"/>
      <c r="D563" s="1283" t="s">
        <v>2246</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2746</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2745</v>
      </c>
      <c r="C569" s="487"/>
      <c r="D569" s="1284" t="s">
        <v>1087</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c r="A572" s="484"/>
      <c r="B572" s="484"/>
      <c r="C572" s="487"/>
      <c r="E572" s="446"/>
      <c r="F572" s="446"/>
      <c r="I572" s="490"/>
    </row>
    <row r="573" spans="1:9">
      <c r="A573" s="484"/>
      <c r="B573" s="485" t="s">
        <v>2745</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2745</v>
      </c>
      <c r="C578" s="487"/>
      <c r="D578" s="1283" t="s">
        <v>2062</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2745</v>
      </c>
      <c r="D588" s="1287" t="s">
        <v>888</v>
      </c>
      <c r="E588" s="1287"/>
      <c r="F588" s="1287"/>
      <c r="I588" s="490"/>
    </row>
    <row r="589" spans="1:9">
      <c r="A589" s="490"/>
      <c r="B589" s="490"/>
      <c r="D589" s="476"/>
      <c r="I589" s="490"/>
    </row>
    <row r="590" spans="1:9">
      <c r="A590" s="490"/>
      <c r="B590" s="485" t="s">
        <v>2745</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2746</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2745</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2746</v>
      </c>
      <c r="D602" s="1287" t="s">
        <v>1069</v>
      </c>
      <c r="E602" s="1287"/>
      <c r="F602" s="1287"/>
      <c r="I602" s="490"/>
    </row>
    <row r="603" spans="1:9">
      <c r="A603" s="490"/>
      <c r="B603" s="490"/>
      <c r="D603" s="1287"/>
      <c r="E603" s="1287"/>
      <c r="F603" s="1287"/>
      <c r="I603" s="490"/>
    </row>
    <row r="604" spans="1:9">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2745</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2745</v>
      </c>
      <c r="D620" s="1308" t="s">
        <v>1111</v>
      </c>
      <c r="E620" s="1308"/>
      <c r="F620" s="1308"/>
      <c r="I620" s="490"/>
    </row>
    <row r="621" spans="1:9">
      <c r="D621" s="1308"/>
      <c r="E621" s="1308"/>
      <c r="F621" s="1308"/>
      <c r="I621" s="490"/>
    </row>
    <row r="622" spans="1:9">
      <c r="I622" s="490"/>
    </row>
    <row r="623" spans="1:9">
      <c r="B623" s="485" t="s">
        <v>2745</v>
      </c>
      <c r="D623" s="1308" t="s">
        <v>1112</v>
      </c>
      <c r="E623" s="1308"/>
      <c r="F623" s="1308"/>
      <c r="I623" s="490"/>
    </row>
    <row r="624" spans="1:9">
      <c r="C624" s="500"/>
      <c r="D624" s="1308"/>
      <c r="E624" s="1308"/>
      <c r="F624" s="1308"/>
      <c r="I624" s="490"/>
    </row>
    <row r="625" spans="1:9">
      <c r="C625" s="500"/>
      <c r="I625" s="490"/>
    </row>
    <row r="626" spans="1:9">
      <c r="B626" s="485" t="s">
        <v>2746</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2745</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2746</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2746</v>
      </c>
      <c r="C643" s="487"/>
      <c r="D643" s="1283" t="s">
        <v>1225</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2746</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2745</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2746</v>
      </c>
      <c r="C658" s="487"/>
      <c r="D658" s="1283" t="s">
        <v>1283</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2746</v>
      </c>
      <c r="C664" s="487"/>
      <c r="D664" s="1283" t="s">
        <v>1282</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2755</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c r="A685" s="484"/>
      <c r="B685" s="485" t="s">
        <v>2745</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2745</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2745</v>
      </c>
      <c r="C694" s="483"/>
      <c r="D694" s="1284" t="s">
        <v>917</v>
      </c>
      <c r="E694" s="1284"/>
      <c r="F694" s="1284"/>
      <c r="H694" s="501"/>
      <c r="I694" s="483"/>
      <c r="J694" s="501"/>
      <c r="K694" s="501"/>
    </row>
    <row r="695" spans="1:11">
      <c r="A695" s="484"/>
      <c r="B695" s="484"/>
      <c r="C695" s="483"/>
      <c r="D695" s="1284" t="s">
        <v>894</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2745</v>
      </c>
      <c r="C698" s="483"/>
      <c r="D698" s="1284" t="s">
        <v>2468</v>
      </c>
      <c r="E698" s="1284"/>
      <c r="F698" s="1284"/>
      <c r="H698" s="501"/>
      <c r="I698" s="483"/>
      <c r="J698" s="501"/>
      <c r="K698" s="501"/>
    </row>
    <row r="699" spans="1:11">
      <c r="A699" s="484"/>
      <c r="B699" s="484"/>
      <c r="C699" s="483"/>
      <c r="D699" s="1284" t="s">
        <v>894</v>
      </c>
      <c r="E699" s="1284"/>
      <c r="F699" s="1284"/>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2745</v>
      </c>
      <c r="C702" s="483"/>
      <c r="D702" s="1283" t="s">
        <v>2243</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2745</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2746</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2746</v>
      </c>
      <c r="C725" s="483"/>
      <c r="D725" s="1283" t="s">
        <v>2461</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2746</v>
      </c>
      <c r="C729" s="483"/>
      <c r="D729" s="1283" t="s">
        <v>2460</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2746</v>
      </c>
      <c r="C733" s="483"/>
      <c r="D733" s="1283" t="s">
        <v>2459</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2746</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2746</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c r="A758" s="484"/>
      <c r="B758" s="485" t="s">
        <v>2745</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2745</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2746</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2746</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2746</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2745</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2745</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2746</v>
      </c>
      <c r="C794" s="989"/>
      <c r="D794" s="1316" t="s">
        <v>1758</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2746</v>
      </c>
      <c r="C798" s="989"/>
      <c r="D798" s="1316" t="s">
        <v>1759</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1802</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2746</v>
      </c>
      <c r="C808" s="989"/>
      <c r="D808" s="1316" t="s">
        <v>1760</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2746</v>
      </c>
      <c r="C815" s="989"/>
      <c r="D815" s="1316" t="s">
        <v>1761</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2746</v>
      </c>
      <c r="C822" s="989"/>
      <c r="D822" s="1288" t="s">
        <v>1762</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2745</v>
      </c>
      <c r="C834" s="989"/>
      <c r="D834" s="1260" t="s">
        <v>1765</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2745</v>
      </c>
      <c r="C848" s="989"/>
      <c r="D848" s="1260" t="s">
        <v>1766</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2746</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2746</v>
      </c>
      <c r="C861" s="989"/>
      <c r="D861" s="1260" t="s">
        <v>1768</v>
      </c>
      <c r="E861" s="1260"/>
      <c r="F861" s="1260"/>
      <c r="G861" s="3"/>
      <c r="I861" s="490" t="s">
        <v>1880</v>
      </c>
    </row>
    <row r="862" spans="1:9" ht="12.75" customHeight="1">
      <c r="A862" s="175"/>
      <c r="B862" s="175"/>
      <c r="C862" s="989"/>
      <c r="D862" s="1260" t="s">
        <v>1769</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2746</v>
      </c>
      <c r="C865" s="989"/>
      <c r="D865" s="1260" t="s">
        <v>1770</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2745</v>
      </c>
      <c r="C875" s="354"/>
      <c r="D875" s="1300" t="s">
        <v>1773</v>
      </c>
      <c r="E875" s="1300"/>
      <c r="F875" s="130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2745</v>
      </c>
      <c r="C878" s="354"/>
      <c r="D878" s="1260" t="s">
        <v>1774</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2746</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2746</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2746</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2745</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2745</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2745</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2746</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2745</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2746</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2746</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2745</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2745</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2746</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2746</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2746</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2746</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2746</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2745</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2746</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2746</v>
      </c>
      <c r="C1007" s="174"/>
      <c r="D1007" s="1260" t="s">
        <v>2229</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2746</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2746</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2745</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2746</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2746</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2745</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2746</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2746</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2745</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2247</v>
      </c>
      <c r="E1045" s="1301"/>
      <c r="F1045" s="1301"/>
      <c r="G1045" s="98"/>
      <c r="I1045" s="490"/>
    </row>
    <row r="1046" spans="1:9" ht="12.75" customHeight="1">
      <c r="A1046" s="175"/>
      <c r="B1046" s="485" t="s">
        <v>2745</v>
      </c>
      <c r="C1046" s="354"/>
      <c r="D1046" s="1301" t="s">
        <v>985</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2746</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2745</v>
      </c>
      <c r="C1062" s="402"/>
      <c r="D1062" s="402" t="s">
        <v>1812</v>
      </c>
      <c r="I1062" s="490"/>
    </row>
    <row r="1063" spans="1:9">
      <c r="A1063" s="402"/>
      <c r="B1063" s="402"/>
      <c r="C1063" s="402"/>
      <c r="I1063" s="490"/>
    </row>
    <row r="1064" spans="1:9">
      <c r="A1064" s="402"/>
      <c r="B1064" s="485" t="s">
        <v>2746</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2745</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2745</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2746</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2746</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2746</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2745</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2746</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2746</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2746</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2745</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2746</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85" workbookViewId="0">
      <selection activeCell="AC887" sqref="AC887:AH887"/>
    </sheetView>
  </sheetViews>
  <sheetFormatPr defaultColWidth="0" defaultRowHeight="0" customHeight="1" zeroHeight="1"/>
  <cols>
    <col min="1" max="46" width="2.81640625" customWidth="1"/>
    <col min="47" max="47" width="2.81640625" hidden="1" customWidth="1"/>
    <col min="48" max="50" width="3.81640625" hidden="1" customWidth="1"/>
    <col min="51" max="51" width="4.81640625" hidden="1" customWidth="1"/>
    <col min="52" max="52" width="8.453125" hidden="1" customWidth="1"/>
    <col min="53" max="53" width="7.453125" hidden="1" customWidth="1"/>
    <col min="54" max="55" width="3.81640625" hidden="1" customWidth="1"/>
    <col min="56" max="56" width="8.1796875" hidden="1" customWidth="1"/>
    <col min="57" max="57" width="8.453125" hidden="1" customWidth="1"/>
    <col min="58" max="58" width="8.1796875" hidden="1" customWidth="1"/>
    <col min="59" max="59" width="11.1796875" hidden="1" customWidth="1"/>
    <col min="60" max="60" width="3.81640625" hidden="1" customWidth="1"/>
    <col min="61" max="61" width="8.1796875" hidden="1" customWidth="1"/>
    <col min="62" max="16384" width="3.81640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Inland (Fresno, Imperial, Kern, Kings, Madera, Merced, Riverside, San Bernardino, Stanislaus, and Tulare Counties)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21</v>
      </c>
    </row>
    <row r="8" spans="1:58" ht="26.25" customHeight="1">
      <c r="A8" s="1835" t="s">
        <v>100</v>
      </c>
      <c r="B8" s="1835"/>
      <c r="C8" s="1835"/>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1835"/>
      <c r="AM8" s="1835"/>
      <c r="AN8" s="1835"/>
      <c r="AO8" s="1835"/>
      <c r="AP8" s="1835"/>
      <c r="AQ8" s="1835"/>
      <c r="AR8" s="1835"/>
      <c r="AS8" s="1835"/>
      <c r="AT8" s="1835"/>
      <c r="AU8" s="898"/>
      <c r="AV8" s="898"/>
      <c r="AW8" s="898"/>
      <c r="AX8" s="898"/>
      <c r="AY8" s="898"/>
      <c r="BD8" s="3" t="s">
        <v>2509</v>
      </c>
      <c r="BE8" s="1249">
        <f>SUMIF($AC$718:$AC$752,"&lt;=35%",$G$718:G$752)-SUM($BE$5:BE7)</f>
        <v>0</v>
      </c>
    </row>
    <row r="9" spans="1:58" ht="13" customHeight="1">
      <c r="A9" s="1836" t="s">
        <v>2076</v>
      </c>
      <c r="B9" s="1836"/>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1836"/>
      <c r="AD9" s="1836"/>
      <c r="AE9" s="1836"/>
      <c r="AF9" s="1836"/>
      <c r="AG9" s="1836"/>
      <c r="AH9" s="1836"/>
      <c r="AI9" s="1836"/>
      <c r="AJ9" s="1836"/>
      <c r="AK9" s="1836"/>
      <c r="AL9" s="1836"/>
      <c r="AM9" s="1836"/>
      <c r="AN9" s="1836"/>
      <c r="AO9" s="1836"/>
      <c r="AP9" s="1836"/>
      <c r="AQ9" s="1836"/>
      <c r="AR9" s="1836"/>
      <c r="AS9" s="1836"/>
      <c r="AT9" s="1836"/>
      <c r="AU9" s="13"/>
      <c r="AV9" s="13"/>
      <c r="AW9" s="13"/>
      <c r="AX9" s="13"/>
      <c r="AY9" s="13"/>
      <c r="BD9" s="1248" t="s">
        <v>2501</v>
      </c>
      <c r="BE9" s="1249">
        <f>SUMIF($AC$718:$AC$752,"&lt;=40%",$G$718:G$752)-SUM($BE$5:BE8)</f>
        <v>38</v>
      </c>
    </row>
    <row r="10" spans="1:58" ht="13" customHeight="1">
      <c r="A10" s="1836" t="s">
        <v>2458</v>
      </c>
      <c r="B10" s="1836"/>
      <c r="C10" s="1836"/>
      <c r="D10" s="1836"/>
      <c r="E10" s="1836"/>
      <c r="F10" s="1836"/>
      <c r="G10" s="1836"/>
      <c r="H10" s="1836"/>
      <c r="I10" s="1836"/>
      <c r="J10" s="1836"/>
      <c r="K10" s="1836"/>
      <c r="L10" s="1836"/>
      <c r="M10" s="1836"/>
      <c r="N10" s="1836"/>
      <c r="O10" s="1836"/>
      <c r="P10" s="1836"/>
      <c r="Q10" s="1836"/>
      <c r="R10" s="1836"/>
      <c r="S10" s="1836"/>
      <c r="T10" s="1836"/>
      <c r="U10" s="1836"/>
      <c r="V10" s="1836"/>
      <c r="W10" s="1836"/>
      <c r="X10" s="1836"/>
      <c r="Y10" s="1836"/>
      <c r="Z10" s="1836"/>
      <c r="AA10" s="1836"/>
      <c r="AB10" s="1836"/>
      <c r="AC10" s="1836"/>
      <c r="AD10" s="1836"/>
      <c r="AE10" s="1836"/>
      <c r="AF10" s="1836"/>
      <c r="AG10" s="1836"/>
      <c r="AH10" s="1836"/>
      <c r="AI10" s="1836"/>
      <c r="AJ10" s="1836"/>
      <c r="AK10" s="1836"/>
      <c r="AL10" s="1836"/>
      <c r="AM10" s="1836"/>
      <c r="AN10" s="1836"/>
      <c r="AO10" s="1836"/>
      <c r="AP10" s="1836"/>
      <c r="AQ10" s="1836"/>
      <c r="AR10" s="1836"/>
      <c r="AS10" s="1836"/>
      <c r="AT10" s="1836"/>
      <c r="AU10" s="13"/>
      <c r="AV10" s="13"/>
      <c r="AW10" s="13"/>
      <c r="AX10" s="13"/>
      <c r="AY10" s="13"/>
      <c r="BD10" s="3" t="s">
        <v>2510</v>
      </c>
      <c r="BE10" s="1249">
        <f>SUMIF($AC$718:$AC$752,"&lt;=45%",$G$718:G$752)-SUM($BE$5:BE9)</f>
        <v>0</v>
      </c>
    </row>
    <row r="11" spans="1:58" ht="13" customHeight="1">
      <c r="A11" s="1836" t="s">
        <v>2604</v>
      </c>
      <c r="B11" s="1836"/>
      <c r="C11" s="1836"/>
      <c r="D11" s="1836"/>
      <c r="E11" s="1836"/>
      <c r="F11" s="1836"/>
      <c r="G11" s="1836"/>
      <c r="H11" s="1836"/>
      <c r="I11" s="1836"/>
      <c r="J11" s="1836"/>
      <c r="K11" s="1836"/>
      <c r="L11" s="1836"/>
      <c r="M11" s="1836"/>
      <c r="N11" s="1836"/>
      <c r="O11" s="1836"/>
      <c r="P11" s="1836"/>
      <c r="Q11" s="1836"/>
      <c r="R11" s="1836"/>
      <c r="S11" s="1836"/>
      <c r="T11" s="1836"/>
      <c r="U11" s="1836"/>
      <c r="V11" s="1836"/>
      <c r="W11" s="1836"/>
      <c r="X11" s="1836"/>
      <c r="Y11" s="1836"/>
      <c r="Z11" s="1836"/>
      <c r="AA11" s="1836"/>
      <c r="AB11" s="1836"/>
      <c r="AC11" s="1836"/>
      <c r="AD11" s="1836"/>
      <c r="AE11" s="1836"/>
      <c r="AF11" s="1836"/>
      <c r="AG11" s="1836"/>
      <c r="AH11" s="1836"/>
      <c r="AI11" s="1836"/>
      <c r="AJ11" s="1836"/>
      <c r="AK11" s="1836"/>
      <c r="AL11" s="1836"/>
      <c r="AM11" s="1836"/>
      <c r="AN11" s="1836"/>
      <c r="AO11" s="1836"/>
      <c r="AP11" s="1836"/>
      <c r="AQ11" s="1836"/>
      <c r="AR11" s="1836"/>
      <c r="AS11" s="1836"/>
      <c r="AT11" s="1836"/>
      <c r="AU11" s="13"/>
      <c r="AV11" s="13"/>
      <c r="AW11" s="13"/>
      <c r="AX11" s="13"/>
      <c r="AY11" s="13"/>
      <c r="BD11" s="1247" t="s">
        <v>2502</v>
      </c>
      <c r="BE11" s="1249">
        <f>SUMIF($AC$718:$AC$752,"&lt;=50%",$G$718:G$752)-SUM($BE$5:BE10)</f>
        <v>20</v>
      </c>
    </row>
    <row r="12" spans="1:58" ht="13" customHeight="1">
      <c r="A12" s="1837" t="s">
        <v>2610</v>
      </c>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c r="AU12" s="6"/>
      <c r="AV12" s="6"/>
      <c r="AW12" s="6"/>
      <c r="AX12" s="6"/>
      <c r="AY12" s="6"/>
      <c r="BD12" s="3" t="s">
        <v>2511</v>
      </c>
      <c r="BE12" s="1249">
        <f>SUMIF($AC$718:$AC$752,"&lt;=55%",$G$718:G$752)-SUM($BE$5:BE11)</f>
        <v>0</v>
      </c>
    </row>
    <row r="13" spans="1:58" ht="13"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2503</v>
      </c>
      <c r="BE13" s="1249">
        <f>SUMIF($AC$718:$AC$752,"&lt;=60%",$G$718:G$752)-SUM($BE$5:BE12)</f>
        <v>0</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573" t="s">
        <v>2723</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8" t="s">
        <v>656</v>
      </c>
      <c r="BE16" s="1249" t="str">
        <f>Application!H18</f>
        <v>Oasis Villas I Apartments</v>
      </c>
    </row>
    <row r="17" spans="1:58" ht="13" customHeight="1">
      <c r="BD17" s="1247" t="s">
        <v>2518</v>
      </c>
      <c r="BE17" s="1249">
        <f>Application!AA934</f>
        <v>0</v>
      </c>
    </row>
    <row r="18" spans="1:58" ht="13" customHeight="1">
      <c r="A18" s="57" t="s">
        <v>101</v>
      </c>
      <c r="C18" s="4"/>
      <c r="D18" s="4"/>
      <c r="E18" s="4"/>
      <c r="F18" s="4"/>
      <c r="G18" s="4"/>
      <c r="H18" s="1522" t="s">
        <v>2612</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2519</v>
      </c>
      <c r="BE18" s="1249">
        <f>'CalHFA Addendum'!N11</f>
        <v>0</v>
      </c>
    </row>
    <row r="19" spans="1:58" ht="13" customHeight="1">
      <c r="BD19" s="1247" t="s">
        <v>2520</v>
      </c>
      <c r="BE19" s="1249">
        <f ca="1">Application!M26</f>
        <v>2798990</v>
      </c>
    </row>
    <row r="20" spans="1:58" ht="13" customHeight="1">
      <c r="A20" s="1838" t="s">
        <v>873</v>
      </c>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8"/>
      <c r="AM20" s="1838"/>
      <c r="AN20" s="1838"/>
      <c r="AO20" s="1838"/>
      <c r="AP20" s="1838"/>
      <c r="AQ20" s="1838"/>
      <c r="AR20" s="1838"/>
      <c r="AS20" s="1838"/>
      <c r="AT20" s="1838"/>
      <c r="AU20" s="900"/>
      <c r="AV20" s="900"/>
      <c r="AW20" s="900"/>
      <c r="AX20" s="900"/>
      <c r="AY20" s="900"/>
      <c r="BD20" s="1248" t="s">
        <v>2521</v>
      </c>
      <c r="BE20" s="1249">
        <f ca="1">Application!M27</f>
        <v>11000000</v>
      </c>
    </row>
    <row r="21" spans="1:58" ht="13" customHeight="1">
      <c r="A21" s="1841" t="s">
        <v>1009</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2522</v>
      </c>
      <c r="BE21" s="1249">
        <f>Application!AM554</f>
        <v>15448918.328221949</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57056749</v>
      </c>
      <c r="BF22" s="3" t="s">
        <v>2595</v>
      </c>
    </row>
    <row r="23" spans="1:58" ht="13"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2523</v>
      </c>
      <c r="BE23" s="1249">
        <f>'Sources and Uses Budget'!B4</f>
        <v>355000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2524</v>
      </c>
      <c r="BE24" s="1249">
        <f>Application!AG450</f>
        <v>87619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3" customHeight="1">
      <c r="A26" s="4"/>
      <c r="C26" s="4"/>
      <c r="D26" s="4"/>
      <c r="E26" s="4"/>
      <c r="F26" s="4"/>
      <c r="G26" s="4"/>
      <c r="H26" s="4"/>
      <c r="I26" s="4"/>
      <c r="J26" s="4"/>
      <c r="K26" s="4"/>
      <c r="L26" s="4"/>
      <c r="M26" s="1840">
        <f ca="1">'Basis &amp; Credits'!AB56</f>
        <v>2798990</v>
      </c>
      <c r="N26" s="1840"/>
      <c r="O26" s="1840"/>
      <c r="P26" s="1840"/>
      <c r="Q26" s="1840"/>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9">
        <f ca="1">'Basis &amp; Credits'!AB78</f>
        <v>11000000</v>
      </c>
      <c r="N27" s="1359"/>
      <c r="O27" s="1359"/>
      <c r="P27" s="1359"/>
      <c r="Q27" s="1359"/>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535" t="s">
        <v>2147</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2527</v>
      </c>
      <c r="BE29" s="1249" t="b">
        <f>Application!M358="Yes"</f>
        <v>0</v>
      </c>
    </row>
    <row r="30" spans="1:58" ht="13"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0</v>
      </c>
    </row>
    <row r="31" spans="1:58" ht="13"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2528</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415" t="s">
        <v>545</v>
      </c>
      <c r="P33" s="1415"/>
      <c r="Q33" s="1839" t="s">
        <v>2148</v>
      </c>
      <c r="R33" s="1839"/>
      <c r="S33" s="1839"/>
      <c r="T33" s="1839"/>
      <c r="U33" s="1839"/>
      <c r="V33" s="1839"/>
      <c r="W33" s="1839"/>
      <c r="X33" s="1839"/>
      <c r="Y33" s="1839"/>
      <c r="Z33" s="1839"/>
      <c r="AA33" s="1839"/>
      <c r="AB33" s="1839"/>
      <c r="AC33" s="1839"/>
      <c r="AD33" s="1839"/>
      <c r="AE33" s="1839"/>
      <c r="AF33" s="1839"/>
      <c r="AG33" s="1839"/>
      <c r="AH33" s="1839"/>
      <c r="AI33" s="1839"/>
      <c r="AJ33" s="1839"/>
      <c r="AK33" s="1839"/>
      <c r="AL33" s="1839"/>
      <c r="AM33" s="1839"/>
      <c r="AN33" s="1839"/>
      <c r="AO33" s="1839"/>
      <c r="AP33" s="1839"/>
      <c r="AQ33" s="1839"/>
      <c r="AR33" s="1839"/>
      <c r="AS33" s="1839"/>
      <c r="AT33" s="1839"/>
      <c r="AU33" s="20"/>
      <c r="AV33" s="20"/>
      <c r="AW33" s="20"/>
      <c r="AX33" s="20"/>
      <c r="AY33" s="20"/>
      <c r="BD33" s="1247" t="s">
        <v>2596</v>
      </c>
      <c r="BE33" s="1249" t="str">
        <f>Application!D220</f>
        <v>Inland Empire Region: San Bernardino, Riverside, and Imperial Counties</v>
      </c>
    </row>
    <row r="34" spans="1:57" ht="13" customHeight="1">
      <c r="A34" s="1535" t="s">
        <v>2149</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2530</v>
      </c>
      <c r="BE34" s="1249" t="str">
        <f>Application!I185</f>
        <v>85856 Middleton St.</v>
      </c>
    </row>
    <row r="35" spans="1:57" ht="13"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2531</v>
      </c>
      <c r="BE35" s="1249" t="str">
        <f>IF(Application!E187="","",Application!E187)</f>
        <v/>
      </c>
    </row>
    <row r="36" spans="1:57" ht="13"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2532</v>
      </c>
      <c r="BE36" s="1249" t="str">
        <f>Application!I189</f>
        <v>Thermal</v>
      </c>
    </row>
    <row r="37" spans="1:57" ht="13"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2533</v>
      </c>
      <c r="BE37" s="1249" t="str">
        <f>Application!T189</f>
        <v>Riverside</v>
      </c>
    </row>
    <row r="38" spans="1:57" ht="13" customHeight="1">
      <c r="A38" s="3"/>
      <c r="AZ38" s="20"/>
      <c r="BD38" s="1248" t="s">
        <v>2534</v>
      </c>
      <c r="BE38" s="1249">
        <f>Application!I190</f>
        <v>92274</v>
      </c>
    </row>
    <row r="39" spans="1:57" ht="13"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2535</v>
      </c>
      <c r="BE39" s="1249">
        <f>Application!AG437</f>
        <v>80</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79</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2536</v>
      </c>
      <c r="BE42" s="1251">
        <f>Application!AC753</f>
        <v>0.39873417721518989</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2537</v>
      </c>
      <c r="BE43" s="1251">
        <f>Application!AH753</f>
        <v>0.39872396201263799</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2538</v>
      </c>
      <c r="BE44" s="1249">
        <f ca="1">Application!AC454</f>
        <v>713209.36250000005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5</v>
      </c>
    </row>
    <row r="46" spans="1:57" ht="13"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2540</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2541</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2542</v>
      </c>
      <c r="BE48" s="1249" t="str">
        <f>Application!M243</f>
        <v>Oasis Villas 1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2543</v>
      </c>
      <c r="BE49" s="1249" t="str">
        <f>Application!M246</f>
        <v>Pedro S. G. Rodriguez</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f>Application!AA249</f>
        <v>0</v>
      </c>
    </row>
    <row r="51" spans="1:57" ht="13"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2545</v>
      </c>
      <c r="BE51" s="1249">
        <f>Application!M251</f>
        <v>0</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2546</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3"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2548</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2549</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2550</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2551</v>
      </c>
      <c r="BE57" s="1249" t="str">
        <f>Application!H287</f>
        <v>The Coachella Valley Housing Coalition</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2552</v>
      </c>
      <c r="BE58" s="1249" t="str">
        <f>Application!H288</f>
        <v>45701 Monroe St. Ste. G</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Indio, CA 92201</v>
      </c>
    </row>
    <row r="60" spans="1:57" ht="13"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2554</v>
      </c>
      <c r="BE60" s="1249" t="str">
        <f>Application!H290</f>
        <v>Mary Ann Ybarra</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2555</v>
      </c>
      <c r="BE61" s="1249" t="str">
        <f>Application!H293</f>
        <v>maryann.ybarra@cvhc.org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0.80981955993260368</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0.81179820722804286</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544" t="s">
        <v>2156</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7" t="s">
        <v>2593</v>
      </c>
      <c r="BE65" s="1249" t="str">
        <f>Z205</f>
        <v>$500M (Farmworker Housing)</v>
      </c>
    </row>
    <row r="66" spans="1:57" ht="13"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8" t="s">
        <v>2558</v>
      </c>
      <c r="BE66" s="1249" t="b">
        <f>Application!Z205="State Farmworker Credit"</f>
        <v>0</v>
      </c>
    </row>
    <row r="67" spans="1:57" ht="13"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7" t="s">
        <v>2559</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544" t="s">
        <v>2157</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7" t="s">
        <v>2561</v>
      </c>
      <c r="BE69" s="1249" t="str">
        <f>Application!W700</f>
        <v>California Municipal Finance Authority</v>
      </c>
    </row>
    <row r="70" spans="1:57" ht="13"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535" t="s">
        <v>2158</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2564</v>
      </c>
      <c r="BE72" s="1249">
        <f>'Points System'!AF805</f>
        <v>10</v>
      </c>
    </row>
    <row r="73" spans="1:57" ht="13"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543" t="s">
        <v>2159</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7" t="s">
        <v>2567</v>
      </c>
      <c r="BE75" s="1249">
        <f>'Points System'!AF808</f>
        <v>10</v>
      </c>
    </row>
    <row r="76" spans="1:57" ht="13"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8" t="s">
        <v>2568</v>
      </c>
      <c r="BE76" s="1249">
        <f>'Points System'!AF811</f>
        <v>10</v>
      </c>
    </row>
    <row r="77" spans="1:57" ht="13"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7" t="s">
        <v>2569</v>
      </c>
      <c r="BE77" s="1249">
        <f ca="1">'Points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544" t="s">
        <v>2160</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7" t="s">
        <v>2571</v>
      </c>
      <c r="BE79" s="1249">
        <f>'Points System'!AF815</f>
        <v>9</v>
      </c>
    </row>
    <row r="80" spans="1:57" ht="13"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8" t="s">
        <v>2572</v>
      </c>
      <c r="BE80" s="1249">
        <f>'Points System'!AF817</f>
        <v>10</v>
      </c>
    </row>
    <row r="81" spans="1:57" ht="13"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7" t="s">
        <v>2573</v>
      </c>
      <c r="BE81" s="1249">
        <f ca="1">'Points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2575</v>
      </c>
      <c r="BE83" s="1253">
        <f ca="1">'Tie Breaker'!H5</f>
        <v>1.5390127143710532</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2576</v>
      </c>
      <c r="BE84" s="1249" t="str">
        <f>Application!O153</f>
        <v>Housing Authority of County of Riverside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Heidi Marshall</v>
      </c>
    </row>
    <row r="86" spans="1:57" ht="13"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2578</v>
      </c>
      <c r="BE86" s="1249" t="str">
        <f>Application!O155</f>
        <v>Executive Director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2579</v>
      </c>
      <c r="BE87" s="1249" t="str">
        <f>Application!O156</f>
        <v>5555 Arlington Avenue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Riverside</v>
      </c>
    </row>
    <row r="89" spans="1:57" ht="13" customHeight="1">
      <c r="A89" s="1552" t="s">
        <v>2163</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47" t="s">
        <v>2581</v>
      </c>
      <c r="BE89" s="1249">
        <f>Application!O158</f>
        <v>92504</v>
      </c>
    </row>
    <row r="90" spans="1:57" ht="13"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48" t="s">
        <v>2582</v>
      </c>
      <c r="BE90" s="1249" t="str">
        <f>Application!H16</f>
        <v>The Coachella Valley Housing Coalition</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45701 Monroe St. Ste G.</v>
      </c>
    </row>
    <row r="92" spans="1:57" ht="13" customHeight="1">
      <c r="A92" s="1543" t="s">
        <v>2164</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8" t="s">
        <v>2584</v>
      </c>
      <c r="BE92" s="1249" t="str">
        <f>Application!M234</f>
        <v>Indio</v>
      </c>
    </row>
    <row r="93" spans="1:57" ht="13"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7" t="s">
        <v>2585</v>
      </c>
      <c r="BE93" s="1249" t="str">
        <f>Application!W234</f>
        <v>CA</v>
      </c>
    </row>
    <row r="94" spans="1:57" ht="13"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8" t="s">
        <v>2586</v>
      </c>
      <c r="BE94" s="1249">
        <f>Application!AC234</f>
        <v>92201</v>
      </c>
    </row>
    <row r="95" spans="1:57" ht="13"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7" t="s">
        <v>2587</v>
      </c>
      <c r="BE95" s="1249" t="str">
        <f>Application!M235</f>
        <v>Mary Ann Ybarra</v>
      </c>
    </row>
    <row r="96" spans="1:57" ht="13"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8" t="s">
        <v>2588</v>
      </c>
      <c r="BE96" s="1249" t="str">
        <f>Application!M237</f>
        <v>maryann.ybarra@cvhc.org</v>
      </c>
    </row>
    <row r="97" spans="1:57" ht="13"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7" t="s">
        <v>2589</v>
      </c>
      <c r="BE97" s="1249" t="str">
        <f>Application!M248</f>
        <v>pedro.rodriguez@cvhc.org</v>
      </c>
    </row>
    <row r="98" spans="1:57" ht="13"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8" t="s">
        <v>2590</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553" t="s">
        <v>2165</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48" t="s">
        <v>2592</v>
      </c>
      <c r="BE100" s="1249" t="str">
        <f>Application!L279</f>
        <v>edennis@communityeconomics.org</v>
      </c>
    </row>
    <row r="101" spans="1:57" ht="13"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2597</v>
      </c>
      <c r="BE101">
        <f ca="1">'Sources and Uses Budget'!C105</f>
        <v>57056749</v>
      </c>
    </row>
    <row r="102" spans="1:57" ht="13"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2598</v>
      </c>
      <c r="BE102" t="b">
        <f>T197="Yes"</f>
        <v>0</v>
      </c>
    </row>
    <row r="103" spans="1:57" ht="13"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c r="BD103" t="s">
        <v>2175</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3" t="s">
        <v>2166</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3"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46" t="s">
        <v>2418</v>
      </c>
      <c r="H113" s="1546"/>
      <c r="I113" s="3" t="s">
        <v>182</v>
      </c>
      <c r="L113" s="1546" t="s">
        <v>2613</v>
      </c>
      <c r="M113" s="1546"/>
      <c r="N113" s="1546"/>
      <c r="O113" s="1546"/>
      <c r="P113" s="1562" t="s">
        <v>2239</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7" t="s">
        <v>2614</v>
      </c>
      <c r="D115" s="1547"/>
      <c r="E115" s="1547"/>
      <c r="F115" s="1547"/>
      <c r="G115" s="1547"/>
      <c r="H115" s="1547"/>
      <c r="I115" s="1547"/>
      <c r="J115" s="1547"/>
      <c r="K115" s="1547"/>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46"/>
      <c r="Z117" s="1546"/>
      <c r="AA117" s="1546"/>
      <c r="AB117" s="1546"/>
      <c r="AC117" s="1546"/>
      <c r="AD117" s="1546"/>
      <c r="AE117" s="1546"/>
      <c r="AF117" s="1546"/>
      <c r="AG117" s="1546"/>
      <c r="AH117" s="1546"/>
      <c r="AI117" s="1546"/>
      <c r="AJ117" s="1546"/>
      <c r="AK117" s="1546"/>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6" t="s">
        <v>2615</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3" t="s">
        <v>469</v>
      </c>
      <c r="CV122" s="1694"/>
      <c r="CW122" s="14"/>
      <c r="CX122" s="14" t="s">
        <v>634</v>
      </c>
      <c r="CY122" s="14"/>
      <c r="CZ122" s="14"/>
      <c r="DA122" s="14"/>
      <c r="DB122" s="14"/>
      <c r="DC122" s="14"/>
      <c r="DD122" s="14"/>
      <c r="DE122" s="14"/>
      <c r="DF122" s="14"/>
      <c r="DG122" s="1690" t="str">
        <f>T189</f>
        <v>Riverside</v>
      </c>
      <c r="DH122" s="1691"/>
      <c r="DI122" s="1691"/>
      <c r="DJ122" s="1691"/>
      <c r="DK122" s="1691"/>
      <c r="DL122" s="1691"/>
      <c r="DM122" s="1692"/>
    </row>
    <row r="123" spans="1:117" ht="13" customHeight="1">
      <c r="A123" s="3"/>
      <c r="B123" s="3"/>
      <c r="T123" s="3"/>
      <c r="U123" s="3"/>
      <c r="V123" s="3"/>
      <c r="W123" s="3"/>
      <c r="X123" s="3"/>
      <c r="Y123" s="1546" t="s">
        <v>2616</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525" t="s">
        <v>2617</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440</v>
      </c>
      <c r="O154" s="1471" t="s">
        <v>2618</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1" t="s">
        <v>2619</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3" customHeight="1">
      <c r="D156" t="s">
        <v>313</v>
      </c>
      <c r="O156" s="1407" t="s">
        <v>2620</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2" t="s">
        <v>67</v>
      </c>
      <c r="P157" s="1525"/>
      <c r="Q157" s="1525"/>
      <c r="R157" s="1525"/>
      <c r="S157" s="1525"/>
      <c r="T157" s="1525"/>
      <c r="U157" s="1525"/>
      <c r="V157" s="1525"/>
      <c r="W157" s="1525"/>
      <c r="X157" s="152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6">
        <v>92504</v>
      </c>
      <c r="P158" s="1556"/>
      <c r="Q158" s="1556"/>
      <c r="R158" s="1556"/>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1">
        <v>9513435409</v>
      </c>
      <c r="P159" s="1551"/>
      <c r="Q159" s="1551"/>
      <c r="R159" s="1551"/>
      <c r="S159" s="1551"/>
      <c r="T159" s="1551"/>
      <c r="V159" s="97" t="s">
        <v>271</v>
      </c>
      <c r="W159" s="1557"/>
      <c r="X159" s="1557"/>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 customHeight="1">
      <c r="D160" t="s">
        <v>317</v>
      </c>
      <c r="O160" s="1551">
        <v>9516886873</v>
      </c>
      <c r="P160" s="1551"/>
      <c r="Q160" s="1551"/>
      <c r="R160" s="1551"/>
      <c r="S160" s="1551"/>
      <c r="T160" s="155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318</v>
      </c>
      <c r="O161" s="1539" t="s">
        <v>2621</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48" t="s">
        <v>2216</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5" t="s">
        <v>545</v>
      </c>
      <c r="V175" s="1415"/>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2079</v>
      </c>
      <c r="T176" s="27" t="s">
        <v>305</v>
      </c>
      <c r="U176" s="1509">
        <v>25</v>
      </c>
      <c r="V176" s="1509"/>
      <c r="W176" s="1" t="s">
        <v>306</v>
      </c>
      <c r="X176" s="1566">
        <v>539</v>
      </c>
      <c r="Y176" s="1566"/>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5" t="s">
        <v>669</v>
      </c>
      <c r="S177" s="1415"/>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1203</v>
      </c>
      <c r="AA178" t="s">
        <v>2079</v>
      </c>
      <c r="AE178" s="27" t="s">
        <v>305</v>
      </c>
      <c r="AF178" s="1565"/>
      <c r="AG178" s="1565"/>
      <c r="AH178" s="1" t="s">
        <v>306</v>
      </c>
      <c r="AI178" s="1446"/>
      <c r="AJ178" s="1446"/>
      <c r="AK178" s="1446"/>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2080</v>
      </c>
      <c r="X180" s="1415" t="s">
        <v>669</v>
      </c>
      <c r="Y180" s="1415"/>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578</v>
      </c>
      <c r="I184" s="1483" t="str">
        <f>H18</f>
        <v>Oasis Villas I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579</v>
      </c>
      <c r="I185" s="1371" t="s">
        <v>2622</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580</v>
      </c>
      <c r="I189" s="1522" t="s">
        <v>2623</v>
      </c>
      <c r="J189" s="1407"/>
      <c r="K189" s="1407"/>
      <c r="L189" s="1407"/>
      <c r="M189" s="1407"/>
      <c r="N189" s="1407"/>
      <c r="O189" s="1407"/>
      <c r="P189" s="1407"/>
      <c r="Q189" t="s">
        <v>582</v>
      </c>
      <c r="T189" s="1407" t="s">
        <v>67</v>
      </c>
      <c r="U189" s="1407"/>
      <c r="V189" s="1407"/>
      <c r="W189" s="1407"/>
      <c r="X189" s="1407"/>
      <c r="Y189" s="1407"/>
      <c r="Z189" s="1407"/>
      <c r="AA189" s="1407"/>
      <c r="AB189" s="1407"/>
      <c r="AC189" s="1407"/>
      <c r="AD189" s="1407"/>
      <c r="AE189" s="1407"/>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583</v>
      </c>
      <c r="I190" s="1371">
        <v>92274</v>
      </c>
      <c r="J190" s="1371"/>
      <c r="K190" s="1371"/>
      <c r="L190" s="1371"/>
      <c r="M190" s="1371"/>
      <c r="N190" s="1371"/>
      <c r="O190" t="s">
        <v>585</v>
      </c>
      <c r="T190" s="1554">
        <v>456.19</v>
      </c>
      <c r="U190" s="1554"/>
      <c r="V190" s="1554"/>
      <c r="W190" s="1554"/>
      <c r="X190" s="1554"/>
      <c r="Y190" s="1554"/>
      <c r="Z190" s="1554"/>
      <c r="AA190" s="1554"/>
      <c r="AB190" s="1554"/>
      <c r="AC190" s="1554"/>
      <c r="AD190" s="1554"/>
      <c r="AE190" s="1554"/>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462</v>
      </c>
      <c r="N191" s="1528" t="s">
        <v>2747</v>
      </c>
      <c r="O191" s="1528"/>
      <c r="P191" s="1528"/>
      <c r="Q191" s="1528"/>
      <c r="R191" s="1528"/>
      <c r="S191" s="1528"/>
      <c r="T191" s="1528"/>
      <c r="U191" s="1528"/>
      <c r="V191" s="1528"/>
      <c r="W191" s="1528"/>
      <c r="X191" s="1528"/>
      <c r="Y191" s="1528"/>
      <c r="Z191" s="1528"/>
      <c r="AA191" s="1528"/>
      <c r="AB191" s="1528"/>
      <c r="AC191" s="1528"/>
      <c r="AD191" s="1528"/>
      <c r="AE191" s="1528"/>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60" t="s">
        <v>2213</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5" t="s">
        <v>669</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331</v>
      </c>
      <c r="T195" s="1415" t="s">
        <v>545</v>
      </c>
      <c r="U195" s="1415"/>
      <c r="W195" t="s">
        <v>684</v>
      </c>
      <c r="AH195" s="1415">
        <v>25</v>
      </c>
      <c r="AI195" s="1415"/>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386</v>
      </c>
      <c r="T196" s="1427" t="s">
        <v>669</v>
      </c>
      <c r="U196" s="1427"/>
      <c r="W196" t="s">
        <v>685</v>
      </c>
      <c r="AH196" s="1415">
        <v>36</v>
      </c>
      <c r="AI196" s="1415"/>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169</v>
      </c>
      <c r="T197" s="1427" t="s">
        <v>669</v>
      </c>
      <c r="U197" s="1427"/>
      <c r="W197" t="s">
        <v>686</v>
      </c>
      <c r="AH197" s="1415">
        <v>18</v>
      </c>
      <c r="AI197" s="1415"/>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27">
        <v>0</v>
      </c>
      <c r="U198" s="1427"/>
      <c r="V198"/>
      <c r="X198" s="1535" t="s">
        <v>2513</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415" t="s">
        <v>545</v>
      </c>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2514</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3" t="s">
        <v>385</v>
      </c>
      <c r="E204" s="1483"/>
      <c r="F204" s="1483"/>
      <c r="G204" s="1483"/>
      <c r="H204" s="1483"/>
      <c r="I204" s="1483"/>
      <c r="J204" s="1483"/>
      <c r="K204" s="1483"/>
      <c r="L204" s="1483"/>
      <c r="M204" s="1483"/>
      <c r="P204" s="1549">
        <f ca="1">M26</f>
        <v>2798990</v>
      </c>
      <c r="Q204" s="1550"/>
      <c r="R204" s="1550"/>
      <c r="S204" s="1550"/>
      <c r="T204" s="1550"/>
      <c r="U204" s="1550"/>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37" t="s">
        <v>1247</v>
      </c>
      <c r="E205" s="1483"/>
      <c r="F205" s="1483"/>
      <c r="G205" s="1483"/>
      <c r="H205" s="1483"/>
      <c r="I205" s="1483"/>
      <c r="J205" s="1483"/>
      <c r="K205" s="1483"/>
      <c r="L205" s="1483"/>
      <c r="M205" s="1483"/>
      <c r="P205" s="1550">
        <f ca="1">M27</f>
        <v>11000000</v>
      </c>
      <c r="Q205" s="1550"/>
      <c r="R205" s="1550"/>
      <c r="S205" s="1550"/>
      <c r="T205" s="1550"/>
      <c r="U205" s="1550"/>
      <c r="V205" s="28"/>
      <c r="W205" s="3" t="s">
        <v>1720</v>
      </c>
      <c r="Z205" s="1533" t="s">
        <v>2223</v>
      </c>
      <c r="AA205" s="1533"/>
      <c r="AB205" s="1533"/>
      <c r="AC205" s="1533"/>
      <c r="AD205" s="1533"/>
      <c r="AE205" s="1533"/>
      <c r="AF205" s="1533"/>
      <c r="AG205" s="1533"/>
      <c r="AH205" s="1533"/>
      <c r="AI205" s="1533"/>
      <c r="AJ205" s="1533"/>
      <c r="AK205" s="1533"/>
      <c r="AL205" s="1533"/>
      <c r="AM205" s="1533"/>
      <c r="AN205" s="1533"/>
      <c r="AP205" s="1405"/>
      <c r="AQ205" s="140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25" t="s">
        <v>2671</v>
      </c>
      <c r="E208" s="1525"/>
      <c r="F208" s="1525"/>
      <c r="G208" s="1525"/>
      <c r="H208" s="1525"/>
      <c r="I208" s="1525"/>
      <c r="J208" s="1525"/>
      <c r="K208" s="1525"/>
      <c r="L208" s="1525"/>
      <c r="M208" s="1525"/>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5" t="s">
        <v>1041</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15">
        <v>0</v>
      </c>
      <c r="R212" s="1415"/>
      <c r="T212" s="1563">
        <f>IFERROR(Q212/AG440,0)</f>
        <v>0</v>
      </c>
      <c r="U212" s="1564"/>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5" t="s">
        <v>591</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377</v>
      </c>
    </row>
    <row r="220" spans="1:108" ht="13" customHeight="1">
      <c r="A220" s="2"/>
      <c r="C220" s="2"/>
      <c r="D220" s="1525" t="s">
        <v>1062</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2466</v>
      </c>
      <c r="AD220" s="1536"/>
      <c r="AE220" s="1536"/>
      <c r="AF220" s="1536"/>
      <c r="AG220" s="1536"/>
      <c r="AH220" s="1536"/>
      <c r="AI220" s="1536"/>
      <c r="AJ220" s="1536"/>
      <c r="AK220" s="1536"/>
      <c r="AL220" s="1536"/>
      <c r="AM220" s="1536"/>
      <c r="AN220" s="1536"/>
      <c r="AO220" s="1536"/>
      <c r="AP220" s="1536"/>
      <c r="AQ220" s="1536"/>
      <c r="BA220" s="3"/>
      <c r="BC220" t="s">
        <v>300</v>
      </c>
    </row>
    <row r="221" spans="1:108" ht="13" customHeight="1">
      <c r="A221" s="2"/>
      <c r="B221" s="14"/>
      <c r="C221" s="2"/>
      <c r="BA221" s="3"/>
    </row>
    <row r="222" spans="1:108" ht="13"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3"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3" customHeight="1">
      <c r="AZ224" s="4"/>
      <c r="BA224" s="3"/>
      <c r="BB224" s="3"/>
      <c r="BQ224" s="34"/>
    </row>
    <row r="225" spans="1:59" ht="13"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55" t="str">
        <f>H16</f>
        <v>The Coachella Valley Housing Coalition</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5" t="s">
        <v>538</v>
      </c>
      <c r="BG232" s="241">
        <f>IF(AND(AND($M$249="nonprofit",$M$257="nonprofit",$M$265="for profit")),2,0)</f>
        <v>0</v>
      </c>
    </row>
    <row r="233" spans="1:59" ht="13" customHeight="1">
      <c r="D233" s="4" t="s">
        <v>85</v>
      </c>
      <c r="E233" s="4"/>
      <c r="F233" s="4"/>
      <c r="G233" s="4"/>
      <c r="H233" s="4"/>
      <c r="I233" s="4"/>
      <c r="J233" s="4"/>
      <c r="K233" s="4"/>
      <c r="M233" s="1522" t="s">
        <v>2624</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538</v>
      </c>
      <c r="BG233" s="241">
        <f>IF(AND(AND($M$249="nonprofit",$M$257="for profit",$M$265="nonprofit")),2,0)</f>
        <v>0</v>
      </c>
    </row>
    <row r="234" spans="1:59" ht="13" customHeight="1">
      <c r="D234" s="4" t="s">
        <v>580</v>
      </c>
      <c r="E234" s="4"/>
      <c r="M234" s="1522" t="s">
        <v>2614</v>
      </c>
      <c r="N234" s="1525"/>
      <c r="O234" s="1525"/>
      <c r="P234" s="1525"/>
      <c r="Q234" s="1525"/>
      <c r="R234" s="1525"/>
      <c r="S234" s="1525"/>
      <c r="T234" s="1525"/>
      <c r="V234" s="33" t="s">
        <v>86</v>
      </c>
      <c r="W234" s="1559" t="s">
        <v>2625</v>
      </c>
      <c r="X234" s="1471"/>
      <c r="Y234" s="4" t="s">
        <v>583</v>
      </c>
      <c r="AC234" s="1525">
        <v>92201</v>
      </c>
      <c r="AD234" s="1525"/>
      <c r="AE234" s="1525"/>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522" t="s">
        <v>2641</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3" customHeight="1">
      <c r="D236" s="4" t="s">
        <v>88</v>
      </c>
      <c r="E236" s="4"/>
      <c r="F236" s="4"/>
      <c r="M236" s="1487">
        <v>7603473157</v>
      </c>
      <c r="N236" s="1487"/>
      <c r="O236" s="1487"/>
      <c r="P236" s="1487"/>
      <c r="Q236" s="1487"/>
      <c r="R236" s="1487"/>
      <c r="S236" s="4" t="s">
        <v>206</v>
      </c>
      <c r="T236" s="4"/>
      <c r="U236" s="1471">
        <v>502</v>
      </c>
      <c r="V236" s="1471"/>
      <c r="W236" s="1471"/>
      <c r="X236" s="4" t="s">
        <v>89</v>
      </c>
      <c r="Z236" s="1487" t="s">
        <v>2626</v>
      </c>
      <c r="AA236" s="1487"/>
      <c r="AB236" s="1487"/>
      <c r="AC236" s="1487"/>
      <c r="AD236" s="1487"/>
      <c r="AE236" s="1487"/>
      <c r="AU236" s="4"/>
      <c r="AV236" s="4"/>
      <c r="AW236" s="4"/>
      <c r="AX236" s="4"/>
      <c r="AY236" s="4"/>
      <c r="AZ236" s="4"/>
      <c r="BB236" s="204" t="s">
        <v>537</v>
      </c>
      <c r="BG236" s="241">
        <f>IF(AND(AND($M$249="nonprofit",$M$257="nonprofit",$M$265="(select one)")),1,0)</f>
        <v>0</v>
      </c>
    </row>
    <row r="237" spans="1:59" ht="13" customHeight="1">
      <c r="D237" s="4" t="s">
        <v>90</v>
      </c>
      <c r="E237" s="4"/>
      <c r="F237" s="4"/>
      <c r="M237" s="1539" t="s">
        <v>2642</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1" t="s">
        <v>377</v>
      </c>
      <c r="N238" s="1371"/>
      <c r="O238" s="1371"/>
      <c r="P238" s="1371"/>
      <c r="Q238" s="1371"/>
      <c r="R238" s="1371"/>
      <c r="S238" s="1371"/>
      <c r="T238" s="1371"/>
      <c r="U238" s="204" t="s">
        <v>906</v>
      </c>
      <c r="V238" s="204"/>
      <c r="W238" s="204"/>
      <c r="X238" s="204"/>
      <c r="Y238" s="204"/>
      <c r="Z238" s="204"/>
      <c r="AA238" s="1561"/>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3"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41" t="s">
        <v>2628</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2630</v>
      </c>
      <c r="AG243" s="1541"/>
      <c r="AH243" s="1541"/>
      <c r="AI243" s="1541"/>
      <c r="AJ243" s="1541"/>
      <c r="AK243" s="1541"/>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525" t="s">
        <v>2629</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1179</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522" t="s">
        <v>2614</v>
      </c>
      <c r="N245" s="1525"/>
      <c r="O245" s="1525"/>
      <c r="P245" s="1525"/>
      <c r="Q245" s="1525"/>
      <c r="R245" s="1525"/>
      <c r="S245" s="1525"/>
      <c r="T245" s="1525"/>
      <c r="V245" s="33" t="s">
        <v>86</v>
      </c>
      <c r="W245" s="1559" t="s">
        <v>2625</v>
      </c>
      <c r="X245" s="1471"/>
      <c r="Y245" s="4" t="s">
        <v>583</v>
      </c>
      <c r="AC245" s="1525">
        <v>92201</v>
      </c>
      <c r="AD245" s="1525"/>
      <c r="AE245" s="1525"/>
      <c r="AF245" s="3" t="s">
        <v>1180</v>
      </c>
      <c r="AU245" s="4"/>
      <c r="AV245" s="4"/>
      <c r="AW245" s="4"/>
      <c r="AX245" s="4"/>
      <c r="AY245" s="4"/>
      <c r="BB245" s="4" t="s">
        <v>280</v>
      </c>
      <c r="BG245">
        <v>2</v>
      </c>
      <c r="BH245" t="s">
        <v>566</v>
      </c>
      <c r="BO245" s="239" t="str">
        <f>VLOOKUP(BG243,BG244:BH247,2,FALSE)</f>
        <v>Nonprofit</v>
      </c>
    </row>
    <row r="246" spans="1:67" ht="13" customHeight="1">
      <c r="A246" s="19"/>
      <c r="B246" s="4"/>
      <c r="C246" s="4"/>
      <c r="D246" s="4" t="s">
        <v>87</v>
      </c>
      <c r="E246" s="4"/>
      <c r="F246" s="4"/>
      <c r="G246" s="4"/>
      <c r="H246" s="4"/>
      <c r="I246" s="4"/>
      <c r="J246" s="4"/>
      <c r="K246" s="4"/>
      <c r="L246" s="19"/>
      <c r="M246" s="1522" t="s">
        <v>2615</v>
      </c>
      <c r="N246" s="1525"/>
      <c r="O246" s="1525"/>
      <c r="P246" s="1525"/>
      <c r="Q246" s="1525"/>
      <c r="R246" s="1525"/>
      <c r="S246" s="1525"/>
      <c r="T246" s="1525"/>
      <c r="U246" s="1525"/>
      <c r="V246" s="1525"/>
      <c r="W246" s="1525"/>
      <c r="X246" s="1525"/>
      <c r="Y246" s="1525"/>
      <c r="Z246" s="1525"/>
      <c r="AA246" s="1525"/>
      <c r="AB246" s="1525"/>
      <c r="AC246" s="1525"/>
      <c r="AD246" s="1525"/>
      <c r="AE246" s="1525"/>
      <c r="AH246" s="1538">
        <v>1E-3</v>
      </c>
      <c r="AI246" s="1538"/>
      <c r="AJ246" s="1538"/>
      <c r="AK246" s="1538"/>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487">
        <v>7603473157</v>
      </c>
      <c r="N247" s="1487"/>
      <c r="O247" s="1487"/>
      <c r="P247" s="1487"/>
      <c r="Q247" s="1487"/>
      <c r="R247" s="1487"/>
      <c r="S247" s="4" t="s">
        <v>206</v>
      </c>
      <c r="T247" s="4"/>
      <c r="U247" s="1471">
        <v>204</v>
      </c>
      <c r="V247" s="1471"/>
      <c r="W247" s="1471"/>
      <c r="X247" s="4" t="s">
        <v>89</v>
      </c>
      <c r="Z247" s="1558" t="s">
        <v>2626</v>
      </c>
      <c r="AA247" s="1487"/>
      <c r="AB247" s="1487"/>
      <c r="AC247" s="1487"/>
      <c r="AD247" s="1487"/>
      <c r="AE247" s="1487"/>
      <c r="AU247" s="4"/>
      <c r="AV247" s="4"/>
      <c r="AW247" s="4"/>
      <c r="AX247" s="4"/>
      <c r="AY247" s="4"/>
      <c r="BG247">
        <v>0</v>
      </c>
      <c r="BH247" s="3" t="str">
        <f>""</f>
        <v/>
      </c>
      <c r="BN247" s="34"/>
    </row>
    <row r="248" spans="1:67" ht="13" customHeight="1">
      <c r="A248" s="19"/>
      <c r="B248" s="4"/>
      <c r="C248" s="4"/>
      <c r="D248" s="4" t="s">
        <v>90</v>
      </c>
      <c r="E248" s="4"/>
      <c r="F248" s="4"/>
      <c r="M248" s="1539" t="s">
        <v>2627</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61"/>
      <c r="AB249" s="1561"/>
      <c r="AC249" s="1561"/>
      <c r="AD249" s="1561"/>
      <c r="AE249" s="1561"/>
      <c r="AF249" s="1561"/>
      <c r="AG249" s="1561"/>
      <c r="AH249" s="1561"/>
      <c r="AI249" s="1561"/>
      <c r="AJ249" s="1561"/>
      <c r="AK249" s="1561"/>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41"/>
      <c r="N251" s="1541"/>
      <c r="O251" s="1541"/>
      <c r="P251" s="1541"/>
      <c r="Q251" s="1541"/>
      <c r="R251" s="1541"/>
      <c r="S251" s="1541"/>
      <c r="T251" s="1541"/>
      <c r="U251" s="1541"/>
      <c r="V251" s="1541"/>
      <c r="W251" s="1541"/>
      <c r="X251" s="1541"/>
      <c r="Y251" s="1541"/>
      <c r="Z251" s="1541"/>
      <c r="AA251" s="1541"/>
      <c r="AB251" s="1541"/>
      <c r="AC251" s="1541"/>
      <c r="AD251" s="1541"/>
      <c r="AE251" s="1541"/>
      <c r="AF251" s="1541" t="s">
        <v>307</v>
      </c>
      <c r="AG251" s="1541"/>
      <c r="AH251" s="1541"/>
      <c r="AI251" s="1541"/>
      <c r="AJ251" s="1541"/>
      <c r="AK251" s="1541"/>
      <c r="AU251" s="4"/>
      <c r="AV251" s="4"/>
      <c r="AW251" s="4"/>
      <c r="AX251" s="4"/>
      <c r="AY251" s="4"/>
      <c r="BN251" s="34"/>
    </row>
    <row r="252" spans="1:67" ht="13" customHeight="1">
      <c r="A252" s="19"/>
      <c r="B252" s="4"/>
      <c r="C252" s="4"/>
      <c r="D252" s="4" t="s">
        <v>85</v>
      </c>
      <c r="E252" s="4"/>
      <c r="F252" s="4"/>
      <c r="G252" s="4"/>
      <c r="H252" s="4"/>
      <c r="I252" s="4"/>
      <c r="J252" s="4"/>
      <c r="K252" s="4"/>
      <c r="L252" s="4"/>
      <c r="M252" s="1525"/>
      <c r="N252" s="1525"/>
      <c r="O252" s="1525"/>
      <c r="P252" s="1525"/>
      <c r="Q252" s="1525"/>
      <c r="R252" s="1525"/>
      <c r="S252" s="1525"/>
      <c r="T252" s="1525"/>
      <c r="U252" s="1525"/>
      <c r="V252" s="1525"/>
      <c r="W252" s="1525"/>
      <c r="X252" s="1525"/>
      <c r="Y252" s="1525"/>
      <c r="Z252" s="1525"/>
      <c r="AA252" s="1525"/>
      <c r="AB252" s="1525"/>
      <c r="AC252" s="1525"/>
      <c r="AD252" s="1525"/>
      <c r="AE252" s="1525"/>
      <c r="AF252" s="3" t="s">
        <v>1179</v>
      </c>
      <c r="AL252" s="4"/>
      <c r="AM252" s="4"/>
      <c r="AN252" s="4"/>
      <c r="AO252" s="4"/>
      <c r="AP252" s="4"/>
      <c r="AQ252" s="4"/>
      <c r="AR252" s="4"/>
      <c r="AS252" s="4"/>
      <c r="AT252" s="4"/>
      <c r="BN252" s="34"/>
    </row>
    <row r="253" spans="1:67" ht="13" customHeight="1">
      <c r="A253" s="19"/>
      <c r="B253" s="4"/>
      <c r="C253" s="4"/>
      <c r="D253" s="4" t="s">
        <v>580</v>
      </c>
      <c r="E253" s="4"/>
      <c r="M253" s="1525"/>
      <c r="N253" s="1525"/>
      <c r="O253" s="1525"/>
      <c r="P253" s="1525"/>
      <c r="Q253" s="1525"/>
      <c r="R253" s="1525"/>
      <c r="S253" s="1525"/>
      <c r="T253" s="1525"/>
      <c r="V253" s="33" t="s">
        <v>86</v>
      </c>
      <c r="W253" s="1471"/>
      <c r="X253" s="1471"/>
      <c r="Y253" s="4" t="s">
        <v>583</v>
      </c>
      <c r="AC253" s="1525"/>
      <c r="AD253" s="1525"/>
      <c r="AE253" s="1525"/>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25"/>
      <c r="N254" s="1525"/>
      <c r="O254" s="1525"/>
      <c r="P254" s="1525"/>
      <c r="Q254" s="1525"/>
      <c r="R254" s="1525"/>
      <c r="S254" s="1525"/>
      <c r="T254" s="1525"/>
      <c r="U254" s="1525"/>
      <c r="V254" s="1525"/>
      <c r="W254" s="1525"/>
      <c r="X254" s="1525"/>
      <c r="Y254" s="1525"/>
      <c r="Z254" s="1525"/>
      <c r="AA254" s="1525"/>
      <c r="AB254" s="1525"/>
      <c r="AC254" s="1525"/>
      <c r="AD254" s="1525"/>
      <c r="AE254" s="1525"/>
      <c r="AH254" s="1538"/>
      <c r="AI254" s="1538"/>
      <c r="AJ254" s="1538"/>
      <c r="AK254" s="1538"/>
      <c r="AL254" s="4"/>
      <c r="AM254" s="4"/>
      <c r="AN254" s="4"/>
      <c r="AO254" s="4"/>
      <c r="AP254" s="4"/>
      <c r="AQ254" s="4"/>
      <c r="AR254" s="4"/>
      <c r="AS254" s="4"/>
      <c r="AT254" s="4"/>
    </row>
    <row r="255" spans="1:67" ht="13" customHeight="1">
      <c r="A255" s="19"/>
      <c r="B255" s="4"/>
      <c r="C255" s="4"/>
      <c r="D255" s="4" t="s">
        <v>88</v>
      </c>
      <c r="E255" s="4"/>
      <c r="F255" s="4"/>
      <c r="M255" s="1487"/>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3" customHeight="1">
      <c r="A256" s="19"/>
      <c r="B256" s="4"/>
      <c r="C256" s="4"/>
      <c r="D256" s="4" t="s">
        <v>90</v>
      </c>
      <c r="E256" s="4"/>
      <c r="F256" s="4"/>
      <c r="M256" s="1539"/>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1" t="s">
        <v>307</v>
      </c>
      <c r="N257" s="1371"/>
      <c r="O257" s="1371"/>
      <c r="P257" s="1371"/>
      <c r="Q257" s="1371"/>
      <c r="R257" s="1371"/>
      <c r="S257" s="1371"/>
      <c r="T257" s="1371"/>
      <c r="U257" s="204" t="s">
        <v>906</v>
      </c>
      <c r="V257" s="204"/>
      <c r="W257" s="204"/>
      <c r="X257" s="204"/>
      <c r="Y257" s="204"/>
      <c r="Z257" s="204"/>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5"/>
      <c r="N261" s="1525"/>
      <c r="O261" s="1525"/>
      <c r="P261" s="1525"/>
      <c r="Q261" s="1525"/>
      <c r="R261" s="1525"/>
      <c r="S261" s="1525"/>
      <c r="T261" s="1525"/>
      <c r="V261" s="33" t="s">
        <v>86</v>
      </c>
      <c r="W261" s="1471"/>
      <c r="X261" s="1471"/>
      <c r="Y261" s="4" t="s">
        <v>583</v>
      </c>
      <c r="AC261" s="1525"/>
      <c r="AD261" s="1525"/>
      <c r="AE261" s="1525"/>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1" t="s">
        <v>307</v>
      </c>
      <c r="N265" s="1371"/>
      <c r="O265" s="1371"/>
      <c r="P265" s="1371"/>
      <c r="Q265" s="1371"/>
      <c r="R265" s="1371"/>
      <c r="S265" s="1371"/>
      <c r="T265" s="1371"/>
      <c r="U265" s="204" t="s">
        <v>906</v>
      </c>
      <c r="V265" s="204"/>
      <c r="W265" s="204"/>
      <c r="X265" s="204"/>
      <c r="Y265" s="204"/>
      <c r="Z265" s="204"/>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567" t="str">
        <f>IFERROR(BO245,"")</f>
        <v>Nonprofit</v>
      </c>
      <c r="U267" s="1567"/>
      <c r="V267" s="1567"/>
      <c r="W267" s="1567"/>
      <c r="X267" s="1567"/>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25" t="s">
        <v>280</v>
      </c>
      <c r="E270" s="1525"/>
      <c r="F270" s="1525"/>
      <c r="G270" s="1525"/>
      <c r="H270" s="1525"/>
      <c r="J270" t="s">
        <v>279</v>
      </c>
      <c r="X270" s="1506"/>
      <c r="Y270" s="1506"/>
      <c r="Z270" s="1506"/>
      <c r="AA270" s="1506"/>
      <c r="AB270" s="1506"/>
      <c r="AC270" s="1506"/>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73" t="s">
        <v>2632</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5" t="s">
        <v>2634</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3" customHeight="1">
      <c r="D276" s="4" t="s">
        <v>580</v>
      </c>
      <c r="E276" s="4"/>
      <c r="L276" s="1522" t="s">
        <v>2633</v>
      </c>
      <c r="M276" s="1525"/>
      <c r="N276" s="1525"/>
      <c r="O276" s="1525"/>
      <c r="P276" s="1525"/>
      <c r="Q276" s="1525"/>
      <c r="R276" s="1525"/>
      <c r="S276" s="1525"/>
      <c r="U276" s="33" t="s">
        <v>86</v>
      </c>
      <c r="V276" s="1559" t="s">
        <v>2625</v>
      </c>
      <c r="W276" s="1471"/>
      <c r="X276" s="4" t="s">
        <v>583</v>
      </c>
      <c r="AB276" s="1525">
        <v>94607</v>
      </c>
      <c r="AC276" s="1525"/>
      <c r="AD276" s="152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2" t="s">
        <v>2631</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3" customHeight="1">
      <c r="D278" s="4" t="s">
        <v>88</v>
      </c>
      <c r="E278" s="4"/>
      <c r="F278" s="4"/>
      <c r="L278" s="1487" t="s">
        <v>2635</v>
      </c>
      <c r="M278" s="1487"/>
      <c r="N278" s="1487"/>
      <c r="O278" s="1487"/>
      <c r="P278" s="1487"/>
      <c r="Q278" s="1487"/>
      <c r="R278" s="4" t="s">
        <v>206</v>
      </c>
      <c r="S278" s="4"/>
      <c r="T278" s="1471">
        <v>2</v>
      </c>
      <c r="U278" s="1471"/>
      <c r="V278" s="1471"/>
      <c r="W278" s="4" t="s">
        <v>89</v>
      </c>
      <c r="Y278" s="1487" t="s">
        <v>2636</v>
      </c>
      <c r="Z278" s="1487"/>
      <c r="AA278" s="1487"/>
      <c r="AB278" s="1487"/>
      <c r="AC278" s="1487"/>
      <c r="AD278" s="1487"/>
    </row>
    <row r="279" spans="1:51" ht="13" customHeight="1">
      <c r="D279" s="4" t="s">
        <v>90</v>
      </c>
      <c r="E279" s="4"/>
      <c r="F279" s="4"/>
      <c r="L279" s="1539" t="s">
        <v>2637</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3" customHeight="1">
      <c r="D280" s="3" t="s">
        <v>623</v>
      </c>
      <c r="E280" s="3"/>
      <c r="F280" s="3"/>
      <c r="G280" s="3"/>
      <c r="H280" s="3"/>
      <c r="I280" s="3"/>
      <c r="L280" s="1559" t="s">
        <v>2638</v>
      </c>
      <c r="M280" s="1559"/>
      <c r="N280" s="1559"/>
      <c r="O280" s="1559"/>
      <c r="P280" s="1559"/>
      <c r="Q280" s="1559"/>
      <c r="R280" s="1559"/>
      <c r="S280" s="1559"/>
      <c r="T280" s="1559"/>
      <c r="U280" s="1559"/>
      <c r="V280" s="1559"/>
      <c r="W280" s="1559"/>
      <c r="X280" s="1559"/>
      <c r="Y280" s="1559"/>
      <c r="Z280" s="1559"/>
      <c r="AA280" s="1559"/>
      <c r="AB280" s="1559"/>
      <c r="AC280" s="1559"/>
      <c r="AD280" s="1559"/>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3"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7" t="s">
        <v>2723</v>
      </c>
      <c r="I287" s="1407"/>
      <c r="J287" s="1407"/>
      <c r="K287" s="1407"/>
      <c r="L287" s="1407"/>
      <c r="M287" s="1407"/>
      <c r="N287" s="1407"/>
      <c r="O287" s="1407"/>
      <c r="P287" s="1407"/>
      <c r="Q287" s="1407"/>
      <c r="R287" s="1407"/>
      <c r="T287" s="3" t="s">
        <v>567</v>
      </c>
      <c r="V287" s="3"/>
      <c r="W287" s="3"/>
      <c r="X287" s="3"/>
      <c r="Y287" s="3"/>
      <c r="AA287" s="1407" t="s">
        <v>2643</v>
      </c>
      <c r="AB287" s="1407"/>
      <c r="AC287" s="1407"/>
      <c r="AD287" s="1407"/>
      <c r="AE287" s="1407"/>
      <c r="AF287" s="1407"/>
      <c r="AG287" s="1407"/>
      <c r="AH287" s="1407"/>
      <c r="AI287" s="1407"/>
      <c r="AJ287" s="1407"/>
      <c r="AK287" s="1407"/>
    </row>
    <row r="288" spans="1:51" ht="13" customHeight="1">
      <c r="B288" s="3" t="s">
        <v>471</v>
      </c>
      <c r="C288" s="3"/>
      <c r="D288" s="3"/>
      <c r="E288" s="3"/>
      <c r="F288" s="3"/>
      <c r="H288" s="1371" t="s">
        <v>2639</v>
      </c>
      <c r="I288" s="1371"/>
      <c r="J288" s="1371"/>
      <c r="K288" s="1371"/>
      <c r="L288" s="1371"/>
      <c r="M288" s="1371"/>
      <c r="N288" s="1371"/>
      <c r="O288" s="1371"/>
      <c r="P288" s="1371"/>
      <c r="Q288" s="1371"/>
      <c r="R288" s="1371"/>
      <c r="T288" s="3" t="s">
        <v>471</v>
      </c>
      <c r="V288" s="3"/>
      <c r="W288" s="3"/>
      <c r="X288" s="3"/>
      <c r="Y288" s="3"/>
      <c r="AA288" s="1371" t="s">
        <v>2644</v>
      </c>
      <c r="AB288" s="1371"/>
      <c r="AC288" s="1371"/>
      <c r="AD288" s="1371"/>
      <c r="AE288" s="1371"/>
      <c r="AF288" s="1371"/>
      <c r="AG288" s="1371"/>
      <c r="AH288" s="1371"/>
      <c r="AI288" s="1371"/>
      <c r="AJ288" s="1371"/>
      <c r="AK288" s="1371"/>
    </row>
    <row r="289" spans="2:37" ht="13" customHeight="1">
      <c r="B289" s="3" t="s">
        <v>472</v>
      </c>
      <c r="C289" s="3"/>
      <c r="D289" s="3"/>
      <c r="E289" s="3"/>
      <c r="F289" s="3"/>
      <c r="H289" s="1371" t="s">
        <v>2640</v>
      </c>
      <c r="I289" s="1371"/>
      <c r="J289" s="1371"/>
      <c r="K289" s="1371"/>
      <c r="L289" s="1371"/>
      <c r="M289" s="1371"/>
      <c r="N289" s="1371"/>
      <c r="O289" s="1371"/>
      <c r="P289" s="1371"/>
      <c r="Q289" s="1371"/>
      <c r="R289" s="1371"/>
      <c r="T289" s="3" t="s">
        <v>75</v>
      </c>
      <c r="V289" s="3"/>
      <c r="W289" s="3"/>
      <c r="X289" s="3"/>
      <c r="Y289" s="3"/>
      <c r="AA289" s="1371" t="s">
        <v>2645</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2641</v>
      </c>
      <c r="I290" s="1371"/>
      <c r="J290" s="1371"/>
      <c r="K290" s="1371"/>
      <c r="L290" s="1371"/>
      <c r="M290" s="1371"/>
      <c r="N290" s="1371"/>
      <c r="O290" s="1371"/>
      <c r="P290" s="1371"/>
      <c r="Q290" s="1371"/>
      <c r="R290" s="1371"/>
      <c r="T290" s="3" t="s">
        <v>87</v>
      </c>
      <c r="V290" s="3"/>
      <c r="W290" s="3"/>
      <c r="X290" s="3"/>
      <c r="Y290" s="3"/>
      <c r="AA290" s="1371" t="s">
        <v>2646</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2">
        <v>7603473157</v>
      </c>
      <c r="I291" s="1542"/>
      <c r="J291" s="1542"/>
      <c r="K291" s="1542"/>
      <c r="L291" s="1542"/>
      <c r="M291" s="1542"/>
      <c r="N291" s="4" t="s">
        <v>206</v>
      </c>
      <c r="O291" s="4"/>
      <c r="P291" s="1525">
        <v>502</v>
      </c>
      <c r="Q291" s="1525"/>
      <c r="R291" s="1525"/>
      <c r="S291" s="3"/>
      <c r="T291" s="3" t="s">
        <v>88</v>
      </c>
      <c r="V291" s="3"/>
      <c r="W291" s="3"/>
      <c r="X291" s="3"/>
      <c r="Y291" s="3"/>
      <c r="AA291" s="1542" t="s">
        <v>2647</v>
      </c>
      <c r="AB291" s="1542"/>
      <c r="AC291" s="1542"/>
      <c r="AD291" s="1542"/>
      <c r="AE291" s="1542"/>
      <c r="AF291" s="1542"/>
      <c r="AG291" s="4" t="s">
        <v>206</v>
      </c>
      <c r="AH291" s="4"/>
      <c r="AI291" s="1525"/>
      <c r="AJ291" s="1525"/>
      <c r="AK291" s="1525"/>
    </row>
    <row r="292" spans="2:37" ht="13" customHeight="1">
      <c r="B292" s="3" t="s">
        <v>89</v>
      </c>
      <c r="C292" s="3"/>
      <c r="D292" s="3"/>
      <c r="E292" s="3"/>
      <c r="F292" s="3"/>
      <c r="G292" s="3"/>
      <c r="H292" s="1487" t="s">
        <v>2626</v>
      </c>
      <c r="I292" s="1487"/>
      <c r="J292" s="1487"/>
      <c r="K292" s="1487"/>
      <c r="L292" s="1487"/>
      <c r="M292" s="1487"/>
      <c r="N292" s="4"/>
      <c r="O292" s="4"/>
      <c r="P292" s="35"/>
      <c r="Q292" s="35"/>
      <c r="R292" s="35"/>
      <c r="S292" s="3"/>
      <c r="T292" s="3" t="s">
        <v>89</v>
      </c>
      <c r="V292" s="3"/>
      <c r="W292" s="3"/>
      <c r="X292" s="3"/>
      <c r="Y292" s="3"/>
      <c r="AA292" s="1487" t="s">
        <v>2648</v>
      </c>
      <c r="AB292" s="1487"/>
      <c r="AC292" s="1487"/>
      <c r="AD292" s="1487"/>
      <c r="AE292" s="1487"/>
      <c r="AF292" s="1487"/>
      <c r="AG292" s="4"/>
      <c r="AH292" s="4"/>
      <c r="AI292" s="35"/>
      <c r="AJ292" s="35"/>
      <c r="AK292" s="35"/>
    </row>
    <row r="293" spans="2:37" ht="13" customHeight="1">
      <c r="B293" s="3" t="s">
        <v>76</v>
      </c>
      <c r="C293" s="3"/>
      <c r="D293" s="3"/>
      <c r="E293" s="3"/>
      <c r="F293" s="3"/>
      <c r="G293" s="3"/>
      <c r="H293" s="1371" t="s">
        <v>2642</v>
      </c>
      <c r="I293" s="1371"/>
      <c r="J293" s="1371"/>
      <c r="K293" s="1371"/>
      <c r="L293" s="1371"/>
      <c r="M293" s="1371"/>
      <c r="N293" s="1407"/>
      <c r="O293" s="1407"/>
      <c r="P293" s="1407"/>
      <c r="Q293" s="1407"/>
      <c r="R293" s="1407"/>
      <c r="S293" s="3"/>
      <c r="T293" s="3" t="s">
        <v>76</v>
      </c>
      <c r="V293" s="3"/>
      <c r="W293" s="3"/>
      <c r="X293" s="3"/>
      <c r="Y293" s="3"/>
      <c r="AA293" s="1371" t="s">
        <v>2649</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2650</v>
      </c>
      <c r="I295" s="1407"/>
      <c r="J295" s="1407"/>
      <c r="K295" s="1407"/>
      <c r="L295" s="1407"/>
      <c r="M295" s="1407"/>
      <c r="N295" s="1407"/>
      <c r="O295" s="1407"/>
      <c r="P295" s="1407"/>
      <c r="Q295" s="1407"/>
      <c r="R295" s="1407"/>
      <c r="T295" s="3" t="s">
        <v>364</v>
      </c>
      <c r="V295" s="3"/>
      <c r="W295" s="3"/>
      <c r="X295" s="3"/>
      <c r="Y295" s="3"/>
      <c r="AA295" s="1407"/>
      <c r="AB295" s="1407"/>
      <c r="AC295" s="1407"/>
      <c r="AD295" s="1407"/>
      <c r="AE295" s="1407"/>
      <c r="AF295" s="1407"/>
      <c r="AG295" s="1407"/>
      <c r="AH295" s="1407"/>
      <c r="AI295" s="1407"/>
      <c r="AJ295" s="1407"/>
      <c r="AK295" s="1407"/>
    </row>
    <row r="296" spans="2:37" ht="13" customHeight="1">
      <c r="B296" s="3" t="s">
        <v>471</v>
      </c>
      <c r="C296" s="3"/>
      <c r="D296" s="3"/>
      <c r="E296" s="3"/>
      <c r="F296" s="3"/>
      <c r="H296" s="1371" t="s">
        <v>2651</v>
      </c>
      <c r="I296" s="1371"/>
      <c r="J296" s="1371"/>
      <c r="K296" s="1371"/>
      <c r="L296" s="1371"/>
      <c r="M296" s="1371"/>
      <c r="N296" s="1371"/>
      <c r="O296" s="1371"/>
      <c r="P296" s="1371"/>
      <c r="Q296" s="1371"/>
      <c r="R296" s="1371"/>
      <c r="T296" s="3" t="s">
        <v>471</v>
      </c>
      <c r="V296" s="3"/>
      <c r="W296" s="3"/>
      <c r="X296" s="3"/>
      <c r="Y296" s="3"/>
      <c r="AA296" s="1371"/>
      <c r="AB296" s="1371"/>
      <c r="AC296" s="1371"/>
      <c r="AD296" s="1371"/>
      <c r="AE296" s="1371"/>
      <c r="AF296" s="1371"/>
      <c r="AG296" s="1371"/>
      <c r="AH296" s="1371"/>
      <c r="AI296" s="1371"/>
      <c r="AJ296" s="1371"/>
      <c r="AK296" s="1371"/>
    </row>
    <row r="297" spans="2:37" ht="13" customHeight="1">
      <c r="B297" s="3" t="s">
        <v>472</v>
      </c>
      <c r="C297" s="3"/>
      <c r="D297" s="3"/>
      <c r="E297" s="3"/>
      <c r="F297" s="3"/>
      <c r="H297" s="1371" t="s">
        <v>2652</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3" customHeight="1">
      <c r="B298" s="3" t="s">
        <v>87</v>
      </c>
      <c r="C298" s="3"/>
      <c r="D298" s="3"/>
      <c r="E298" s="3"/>
      <c r="F298" s="3"/>
      <c r="H298" s="1371" t="s">
        <v>2653</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3" customHeight="1">
      <c r="B299" s="3" t="s">
        <v>88</v>
      </c>
      <c r="C299" s="3"/>
      <c r="D299" s="3"/>
      <c r="E299" s="3"/>
      <c r="F299" s="3"/>
      <c r="G299" s="3"/>
      <c r="H299" s="1574" t="s">
        <v>2756</v>
      </c>
      <c r="I299" s="1542"/>
      <c r="J299" s="1542"/>
      <c r="K299" s="1542"/>
      <c r="L299" s="1542"/>
      <c r="M299" s="1542"/>
      <c r="N299" s="4" t="s">
        <v>206</v>
      </c>
      <c r="O299" s="4"/>
      <c r="P299" s="1525">
        <v>8</v>
      </c>
      <c r="Q299" s="1525"/>
      <c r="R299" s="1525"/>
      <c r="S299" s="3"/>
      <c r="T299" s="3" t="s">
        <v>88</v>
      </c>
      <c r="V299" s="3"/>
      <c r="W299" s="3"/>
      <c r="X299" s="3"/>
      <c r="Y299" s="3"/>
      <c r="AA299" s="1542"/>
      <c r="AB299" s="1542"/>
      <c r="AC299" s="1542"/>
      <c r="AD299" s="1542"/>
      <c r="AE299" s="1542"/>
      <c r="AF299" s="1542"/>
      <c r="AG299" s="4" t="s">
        <v>206</v>
      </c>
      <c r="AH299" s="4"/>
      <c r="AI299" s="1525"/>
      <c r="AJ299" s="1525"/>
      <c r="AK299" s="1525"/>
    </row>
    <row r="300" spans="2:37" ht="13"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 customHeight="1">
      <c r="B301" s="3" t="s">
        <v>76</v>
      </c>
      <c r="C301" s="3"/>
      <c r="D301" s="3"/>
      <c r="E301" s="3"/>
      <c r="F301" s="3"/>
      <c r="G301" s="3"/>
      <c r="H301" s="1371" t="s">
        <v>2654</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c r="I303" s="1407"/>
      <c r="J303" s="1407"/>
      <c r="K303" s="1407"/>
      <c r="L303" s="1407"/>
      <c r="M303" s="1407"/>
      <c r="N303" s="1407"/>
      <c r="O303" s="1407"/>
      <c r="P303" s="1407"/>
      <c r="Q303" s="1407"/>
      <c r="R303" s="1407"/>
      <c r="T303" s="4" t="s">
        <v>878</v>
      </c>
      <c r="V303" s="3"/>
      <c r="W303" s="3"/>
      <c r="X303" s="3"/>
      <c r="Y303" s="3"/>
      <c r="AA303" s="1407" t="s">
        <v>2655</v>
      </c>
      <c r="AB303" s="1407"/>
      <c r="AC303" s="1407"/>
      <c r="AD303" s="1407"/>
      <c r="AE303" s="1407"/>
      <c r="AF303" s="1407"/>
      <c r="AG303" s="1407"/>
      <c r="AH303" s="1407"/>
      <c r="AI303" s="1407"/>
      <c r="AJ303" s="1407"/>
      <c r="AK303" s="1407"/>
    </row>
    <row r="304" spans="2:37" ht="13" customHeight="1">
      <c r="B304" s="3" t="s">
        <v>471</v>
      </c>
      <c r="C304" s="3"/>
      <c r="D304" s="3"/>
      <c r="E304" s="3"/>
      <c r="F304" s="3"/>
      <c r="H304" s="1371"/>
      <c r="I304" s="1371"/>
      <c r="J304" s="1371"/>
      <c r="K304" s="1371"/>
      <c r="L304" s="1371"/>
      <c r="M304" s="1371"/>
      <c r="N304" s="1371"/>
      <c r="O304" s="1371"/>
      <c r="P304" s="1371"/>
      <c r="Q304" s="1371"/>
      <c r="R304" s="1371"/>
      <c r="T304" s="3" t="s">
        <v>471</v>
      </c>
      <c r="V304" s="3"/>
      <c r="W304" s="3"/>
      <c r="X304" s="3"/>
      <c r="Y304" s="3"/>
      <c r="AA304" s="1371" t="s">
        <v>2656</v>
      </c>
      <c r="AB304" s="1371"/>
      <c r="AC304" s="1371"/>
      <c r="AD304" s="1371"/>
      <c r="AE304" s="1371"/>
      <c r="AF304" s="1371"/>
      <c r="AG304" s="1371"/>
      <c r="AH304" s="1371"/>
      <c r="AI304" s="1371"/>
      <c r="AJ304" s="1371"/>
      <c r="AK304" s="1371"/>
    </row>
    <row r="305" spans="2:37" ht="13" customHeight="1">
      <c r="B305" s="3" t="s">
        <v>472</v>
      </c>
      <c r="C305" s="3"/>
      <c r="D305" s="3"/>
      <c r="E305" s="3"/>
      <c r="F305" s="3"/>
      <c r="H305" s="1371"/>
      <c r="I305" s="1371"/>
      <c r="J305" s="1371"/>
      <c r="K305" s="1371"/>
      <c r="L305" s="1371"/>
      <c r="M305" s="1371"/>
      <c r="N305" s="1371"/>
      <c r="O305" s="1371"/>
      <c r="P305" s="1371"/>
      <c r="Q305" s="1371"/>
      <c r="R305" s="1371"/>
      <c r="T305" s="3" t="s">
        <v>75</v>
      </c>
      <c r="V305" s="3"/>
      <c r="W305" s="3"/>
      <c r="X305" s="3"/>
      <c r="Y305" s="3"/>
      <c r="AA305" s="1371" t="s">
        <v>2657</v>
      </c>
      <c r="AB305" s="1371"/>
      <c r="AC305" s="1371"/>
      <c r="AD305" s="1371"/>
      <c r="AE305" s="1371"/>
      <c r="AF305" s="1371"/>
      <c r="AG305" s="1371"/>
      <c r="AH305" s="1371"/>
      <c r="AI305" s="1371"/>
      <c r="AJ305" s="1371"/>
      <c r="AK305" s="1371"/>
    </row>
    <row r="306" spans="2:37" ht="13" customHeight="1">
      <c r="B306" s="3" t="s">
        <v>87</v>
      </c>
      <c r="C306" s="3"/>
      <c r="D306" s="3"/>
      <c r="E306" s="3"/>
      <c r="F306" s="3"/>
      <c r="H306" s="1371"/>
      <c r="I306" s="1371"/>
      <c r="J306" s="1371"/>
      <c r="K306" s="1371"/>
      <c r="L306" s="1371"/>
      <c r="M306" s="1371"/>
      <c r="N306" s="1371"/>
      <c r="O306" s="1371"/>
      <c r="P306" s="1371"/>
      <c r="Q306" s="1371"/>
      <c r="R306" s="1371"/>
      <c r="T306" s="3" t="s">
        <v>87</v>
      </c>
      <c r="V306" s="3"/>
      <c r="W306" s="3"/>
      <c r="X306" s="3"/>
      <c r="Y306" s="3"/>
      <c r="AA306" s="1371" t="s">
        <v>2658</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2"/>
      <c r="I307" s="1542"/>
      <c r="J307" s="1542"/>
      <c r="K307" s="1542"/>
      <c r="L307" s="1542"/>
      <c r="M307" s="1542"/>
      <c r="N307" s="4" t="s">
        <v>206</v>
      </c>
      <c r="O307" s="4"/>
      <c r="P307" s="1525"/>
      <c r="Q307" s="1525"/>
      <c r="R307" s="1525"/>
      <c r="S307" s="3"/>
      <c r="T307" s="3" t="s">
        <v>88</v>
      </c>
      <c r="V307" s="3"/>
      <c r="W307" s="3"/>
      <c r="X307" s="3"/>
      <c r="Y307" s="3"/>
      <c r="AA307" s="1542" t="s">
        <v>2659</v>
      </c>
      <c r="AB307" s="1542"/>
      <c r="AC307" s="1542"/>
      <c r="AD307" s="1542"/>
      <c r="AE307" s="1542"/>
      <c r="AF307" s="1542"/>
      <c r="AG307" s="4" t="s">
        <v>206</v>
      </c>
      <c r="AH307" s="4"/>
      <c r="AI307" s="1525"/>
      <c r="AJ307" s="1525"/>
      <c r="AK307" s="1525"/>
    </row>
    <row r="308" spans="2:37" ht="13"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t="s">
        <v>2660</v>
      </c>
      <c r="AB308" s="1487"/>
      <c r="AC308" s="1487"/>
      <c r="AD308" s="1487"/>
      <c r="AE308" s="1487"/>
      <c r="AF308" s="1487"/>
      <c r="AG308" s="4"/>
      <c r="AH308" s="4"/>
      <c r="AI308" s="35"/>
      <c r="AJ308" s="35"/>
      <c r="AK308" s="35"/>
    </row>
    <row r="309" spans="2:37" ht="13" customHeight="1">
      <c r="B309" s="3" t="s">
        <v>76</v>
      </c>
      <c r="C309" s="3"/>
      <c r="D309" s="3"/>
      <c r="E309" s="3"/>
      <c r="F309" s="3"/>
      <c r="G309" s="3"/>
      <c r="H309" s="1371"/>
      <c r="I309" s="1371"/>
      <c r="J309" s="1371"/>
      <c r="K309" s="1371"/>
      <c r="L309" s="1371"/>
      <c r="M309" s="1371"/>
      <c r="N309" s="1407"/>
      <c r="O309" s="1407"/>
      <c r="P309" s="1407"/>
      <c r="Q309" s="1407"/>
      <c r="R309" s="1407"/>
      <c r="S309" s="3"/>
      <c r="T309" s="3" t="s">
        <v>76</v>
      </c>
      <c r="V309" s="3"/>
      <c r="W309" s="3"/>
      <c r="X309" s="3"/>
      <c r="Y309" s="3"/>
      <c r="AA309" s="1371" t="s">
        <v>2661</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7" t="s">
        <v>2662</v>
      </c>
      <c r="I311" s="1407"/>
      <c r="J311" s="1407"/>
      <c r="K311" s="1407"/>
      <c r="L311" s="1407"/>
      <c r="M311" s="1407"/>
      <c r="N311" s="1407"/>
      <c r="O311" s="1407"/>
      <c r="P311" s="1407"/>
      <c r="Q311" s="1407"/>
      <c r="R311" s="1407"/>
      <c r="S311" s="3"/>
      <c r="T311" s="3" t="s">
        <v>365</v>
      </c>
      <c r="V311" s="3"/>
      <c r="W311" s="3"/>
      <c r="X311" s="3"/>
      <c r="Y311" s="3"/>
      <c r="AA311" s="1407"/>
      <c r="AB311" s="1407"/>
      <c r="AC311" s="1407"/>
      <c r="AD311" s="1407"/>
      <c r="AE311" s="1407"/>
      <c r="AF311" s="1407"/>
      <c r="AG311" s="1407"/>
      <c r="AH311" s="1407"/>
      <c r="AI311" s="1407"/>
      <c r="AJ311" s="1407"/>
      <c r="AK311" s="1407"/>
    </row>
    <row r="312" spans="2:37" ht="13" customHeight="1">
      <c r="B312" s="3" t="s">
        <v>471</v>
      </c>
      <c r="C312" s="3"/>
      <c r="D312" s="3"/>
      <c r="E312" s="3"/>
      <c r="F312" s="3"/>
      <c r="H312" s="1371" t="s">
        <v>2663</v>
      </c>
      <c r="I312" s="1371"/>
      <c r="J312" s="1371"/>
      <c r="K312" s="1371"/>
      <c r="L312" s="1371"/>
      <c r="M312" s="1371"/>
      <c r="N312" s="1371"/>
      <c r="O312" s="1371"/>
      <c r="P312" s="1371"/>
      <c r="Q312" s="1371"/>
      <c r="R312" s="1371"/>
      <c r="S312" s="3"/>
      <c r="T312" s="3" t="s">
        <v>471</v>
      </c>
      <c r="V312" s="3"/>
      <c r="W312" s="3"/>
      <c r="X312" s="3"/>
      <c r="Y312" s="3"/>
      <c r="AA312" s="1371"/>
      <c r="AB312" s="1371"/>
      <c r="AC312" s="1371"/>
      <c r="AD312" s="1371"/>
      <c r="AE312" s="1371"/>
      <c r="AF312" s="1371"/>
      <c r="AG312" s="1371"/>
      <c r="AH312" s="1371"/>
      <c r="AI312" s="1371"/>
      <c r="AJ312" s="1371"/>
      <c r="AK312" s="1371"/>
    </row>
    <row r="313" spans="2:37" ht="13" customHeight="1">
      <c r="B313" s="3" t="s">
        <v>472</v>
      </c>
      <c r="C313" s="3"/>
      <c r="D313" s="3"/>
      <c r="E313" s="3"/>
      <c r="F313" s="3"/>
      <c r="H313" s="1371" t="s">
        <v>2664</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3" customHeight="1">
      <c r="B314" s="3" t="s">
        <v>87</v>
      </c>
      <c r="C314" s="3"/>
      <c r="D314" s="3"/>
      <c r="E314" s="3"/>
      <c r="F314" s="3"/>
      <c r="H314" s="1371" t="s">
        <v>2665</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2" t="s">
        <v>2666</v>
      </c>
      <c r="I315" s="1542"/>
      <c r="J315" s="1542"/>
      <c r="K315" s="1542"/>
      <c r="L315" s="1542"/>
      <c r="M315" s="1542"/>
      <c r="N315" s="4" t="s">
        <v>206</v>
      </c>
      <c r="O315" s="4"/>
      <c r="P315" s="1525"/>
      <c r="Q315" s="1525"/>
      <c r="R315" s="1525"/>
      <c r="S315" s="3"/>
      <c r="T315" s="3" t="s">
        <v>88</v>
      </c>
      <c r="V315" s="3"/>
      <c r="W315" s="3"/>
      <c r="X315" s="3"/>
      <c r="Y315" s="3"/>
      <c r="AA315" s="1542"/>
      <c r="AB315" s="1542"/>
      <c r="AC315" s="1542"/>
      <c r="AD315" s="1542"/>
      <c r="AE315" s="1542"/>
      <c r="AF315" s="1542"/>
      <c r="AG315" s="4" t="s">
        <v>206</v>
      </c>
      <c r="AH315" s="4"/>
      <c r="AI315" s="1525"/>
      <c r="AJ315" s="1525"/>
      <c r="AK315" s="1525"/>
    </row>
    <row r="316" spans="2:37" ht="13"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 customHeight="1">
      <c r="B317" s="3" t="s">
        <v>76</v>
      </c>
      <c r="C317" s="3"/>
      <c r="D317" s="3"/>
      <c r="E317" s="3"/>
      <c r="F317" s="3"/>
      <c r="G317" s="3"/>
      <c r="H317" s="1371" t="s">
        <v>2667</v>
      </c>
      <c r="I317" s="1371"/>
      <c r="J317" s="1371"/>
      <c r="K317" s="1371"/>
      <c r="L317" s="1371"/>
      <c r="M317" s="1371"/>
      <c r="N317" s="1407"/>
      <c r="O317" s="1407"/>
      <c r="P317" s="1407"/>
      <c r="Q317" s="1407"/>
      <c r="R317" s="1407"/>
      <c r="S317" s="3"/>
      <c r="T317" s="3" t="s">
        <v>76</v>
      </c>
      <c r="V317" s="3"/>
      <c r="W317" s="3"/>
      <c r="X317" s="3"/>
      <c r="Y317" s="3"/>
      <c r="AA317" s="1371"/>
      <c r="AB317" s="1371"/>
      <c r="AC317" s="1371"/>
      <c r="AD317" s="1371"/>
      <c r="AE317" s="1371"/>
      <c r="AF317" s="1371"/>
      <c r="AG317" s="1407"/>
      <c r="AH317" s="1407"/>
      <c r="AI317" s="1407"/>
      <c r="AJ317" s="1407"/>
      <c r="AK317" s="1407"/>
    </row>
    <row r="318" spans="2:37" ht="13" customHeight="1"/>
    <row r="319" spans="2:37" ht="13" customHeight="1">
      <c r="B319" s="4" t="s">
        <v>908</v>
      </c>
      <c r="C319" s="3"/>
      <c r="D319" s="3"/>
      <c r="E319" s="3"/>
      <c r="F319" s="3"/>
      <c r="H319" s="1407" t="s">
        <v>2668</v>
      </c>
      <c r="I319" s="1407"/>
      <c r="J319" s="1407"/>
      <c r="K319" s="1407"/>
      <c r="L319" s="1407"/>
      <c r="M319" s="1407"/>
      <c r="N319" s="1407"/>
      <c r="O319" s="1407"/>
      <c r="P319" s="1407"/>
      <c r="Q319" s="1407"/>
      <c r="R319" s="1407"/>
      <c r="T319" s="3" t="s">
        <v>366</v>
      </c>
      <c r="V319" s="3"/>
      <c r="W319" s="3"/>
      <c r="X319" s="3"/>
      <c r="Y319" s="3"/>
      <c r="AA319" s="1407" t="s">
        <v>2672</v>
      </c>
      <c r="AB319" s="1407"/>
      <c r="AC319" s="1407"/>
      <c r="AD319" s="1407"/>
      <c r="AE319" s="1407"/>
      <c r="AF319" s="1407"/>
      <c r="AG319" s="1407"/>
      <c r="AH319" s="1407"/>
      <c r="AI319" s="1407"/>
      <c r="AJ319" s="1407"/>
      <c r="AK319" s="1407"/>
    </row>
    <row r="320" spans="2:37" ht="13" customHeight="1">
      <c r="B320" s="3" t="s">
        <v>471</v>
      </c>
      <c r="C320" s="3"/>
      <c r="D320" s="3"/>
      <c r="E320" s="3"/>
      <c r="F320" s="3"/>
      <c r="H320" s="1371" t="s">
        <v>2669</v>
      </c>
      <c r="I320" s="1371"/>
      <c r="J320" s="1371"/>
      <c r="K320" s="1371"/>
      <c r="L320" s="1371"/>
      <c r="M320" s="1371"/>
      <c r="N320" s="1371"/>
      <c r="O320" s="1371"/>
      <c r="P320" s="1371"/>
      <c r="Q320" s="1371"/>
      <c r="R320" s="1371"/>
      <c r="T320" s="3" t="s">
        <v>471</v>
      </c>
      <c r="V320" s="3"/>
      <c r="W320" s="3"/>
      <c r="X320" s="3"/>
      <c r="Y320" s="3"/>
      <c r="AA320" s="1371" t="s">
        <v>2673</v>
      </c>
      <c r="AB320" s="1371"/>
      <c r="AC320" s="1371"/>
      <c r="AD320" s="1371"/>
      <c r="AE320" s="1371"/>
      <c r="AF320" s="1371"/>
      <c r="AG320" s="1371"/>
      <c r="AH320" s="1371"/>
      <c r="AI320" s="1371"/>
      <c r="AJ320" s="1371"/>
      <c r="AK320" s="1371"/>
    </row>
    <row r="321" spans="2:37" ht="13" customHeight="1">
      <c r="B321" s="3" t="s">
        <v>472</v>
      </c>
      <c r="C321" s="3"/>
      <c r="D321" s="3"/>
      <c r="E321" s="3"/>
      <c r="F321" s="3"/>
      <c r="H321" s="1371" t="s">
        <v>2670</v>
      </c>
      <c r="I321" s="1371"/>
      <c r="J321" s="1371"/>
      <c r="K321" s="1371"/>
      <c r="L321" s="1371"/>
      <c r="M321" s="1371"/>
      <c r="N321" s="1371"/>
      <c r="O321" s="1371"/>
      <c r="P321" s="1371"/>
      <c r="Q321" s="1371"/>
      <c r="R321" s="1371"/>
      <c r="T321" s="3" t="s">
        <v>75</v>
      </c>
      <c r="V321" s="3"/>
      <c r="W321" s="3"/>
      <c r="X321" s="3"/>
      <c r="Y321" s="3"/>
      <c r="AA321" s="1371" t="s">
        <v>2674</v>
      </c>
      <c r="AB321" s="1371"/>
      <c r="AC321" s="1371"/>
      <c r="AD321" s="1371"/>
      <c r="AE321" s="1371"/>
      <c r="AF321" s="1371"/>
      <c r="AG321" s="1371"/>
      <c r="AH321" s="1371"/>
      <c r="AI321" s="1371"/>
      <c r="AJ321" s="1371"/>
      <c r="AK321" s="1371"/>
    </row>
    <row r="322" spans="2:37" ht="13" customHeight="1">
      <c r="B322" s="3" t="s">
        <v>87</v>
      </c>
      <c r="C322" s="3"/>
      <c r="D322" s="3"/>
      <c r="E322" s="3"/>
      <c r="F322" s="3"/>
      <c r="H322" s="1371" t="s">
        <v>2631</v>
      </c>
      <c r="I322" s="1371"/>
      <c r="J322" s="1371"/>
      <c r="K322" s="1371"/>
      <c r="L322" s="1371"/>
      <c r="M322" s="1371"/>
      <c r="N322" s="1371"/>
      <c r="O322" s="1371"/>
      <c r="P322" s="1371"/>
      <c r="Q322" s="1371"/>
      <c r="R322" s="1371"/>
      <c r="T322" s="3" t="s">
        <v>87</v>
      </c>
      <c r="V322" s="3"/>
      <c r="W322" s="3"/>
      <c r="X322" s="3"/>
      <c r="Y322" s="3"/>
      <c r="AA322" s="1371" t="s">
        <v>2675</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2">
        <v>5108328300</v>
      </c>
      <c r="I323" s="1542"/>
      <c r="J323" s="1542"/>
      <c r="K323" s="1542"/>
      <c r="L323" s="1542"/>
      <c r="M323" s="1542"/>
      <c r="N323" s="4" t="s">
        <v>206</v>
      </c>
      <c r="O323" s="4"/>
      <c r="P323" s="1525">
        <v>2</v>
      </c>
      <c r="Q323" s="1525"/>
      <c r="R323" s="1525"/>
      <c r="S323" s="3"/>
      <c r="T323" s="3" t="s">
        <v>88</v>
      </c>
      <c r="V323" s="3"/>
      <c r="W323" s="3"/>
      <c r="X323" s="3"/>
      <c r="Y323" s="3"/>
      <c r="AA323" s="1542">
        <v>9163726100</v>
      </c>
      <c r="AB323" s="1542"/>
      <c r="AC323" s="1542"/>
      <c r="AD323" s="1542"/>
      <c r="AE323" s="1542"/>
      <c r="AF323" s="1542"/>
      <c r="AG323" s="4" t="s">
        <v>206</v>
      </c>
      <c r="AH323" s="4"/>
      <c r="AI323" s="1525"/>
      <c r="AJ323" s="1525"/>
      <c r="AK323" s="1525"/>
    </row>
    <row r="324" spans="2:37" ht="13" customHeight="1">
      <c r="B324" s="3" t="s">
        <v>89</v>
      </c>
      <c r="C324" s="3"/>
      <c r="D324" s="3"/>
      <c r="E324" s="3"/>
      <c r="F324" s="3"/>
      <c r="G324" s="3"/>
      <c r="H324" s="1487">
        <v>5108322227</v>
      </c>
      <c r="I324" s="1487"/>
      <c r="J324" s="1487"/>
      <c r="K324" s="1487"/>
      <c r="L324" s="1487"/>
      <c r="M324" s="1487"/>
      <c r="N324" s="4"/>
      <c r="O324" s="4"/>
      <c r="P324" s="35"/>
      <c r="Q324" s="35"/>
      <c r="R324" s="35"/>
      <c r="S324" s="3"/>
      <c r="T324" s="3" t="s">
        <v>89</v>
      </c>
      <c r="V324" s="3"/>
      <c r="W324" s="3"/>
      <c r="X324" s="3"/>
      <c r="Y324" s="3"/>
      <c r="AA324" s="1487">
        <v>9164196108</v>
      </c>
      <c r="AB324" s="1487"/>
      <c r="AC324" s="1487"/>
      <c r="AD324" s="1487"/>
      <c r="AE324" s="1487"/>
      <c r="AF324" s="1487"/>
      <c r="AG324" s="4"/>
      <c r="AH324" s="4"/>
      <c r="AI324" s="35"/>
      <c r="AJ324" s="35"/>
      <c r="AK324" s="35"/>
    </row>
    <row r="325" spans="2:37" ht="13" customHeight="1">
      <c r="B325" s="3" t="s">
        <v>76</v>
      </c>
      <c r="C325" s="3"/>
      <c r="D325" s="3"/>
      <c r="E325" s="3"/>
      <c r="F325" s="3"/>
      <c r="G325" s="3"/>
      <c r="H325" s="1371" t="s">
        <v>2637</v>
      </c>
      <c r="I325" s="1371"/>
      <c r="J325" s="1371"/>
      <c r="K325" s="1371"/>
      <c r="L325" s="1371"/>
      <c r="M325" s="1371"/>
      <c r="N325" s="1407"/>
      <c r="O325" s="1407"/>
      <c r="P325" s="1407"/>
      <c r="Q325" s="1407"/>
      <c r="R325" s="1407"/>
      <c r="S325" s="3"/>
      <c r="T325" s="3" t="s">
        <v>76</v>
      </c>
      <c r="V325" s="3"/>
      <c r="W325" s="3"/>
      <c r="X325" s="3"/>
      <c r="Y325" s="3"/>
      <c r="AA325" s="1371" t="s">
        <v>2676</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2677</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3" customHeight="1">
      <c r="B328" s="3" t="s">
        <v>471</v>
      </c>
      <c r="C328" s="3"/>
      <c r="D328" s="3"/>
      <c r="E328" s="3"/>
      <c r="F328" s="3"/>
      <c r="H328" s="1371" t="s">
        <v>2678</v>
      </c>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3" customHeight="1">
      <c r="B329" s="3" t="s">
        <v>472</v>
      </c>
      <c r="C329" s="3"/>
      <c r="D329" s="3"/>
      <c r="E329" s="3"/>
      <c r="F329" s="3"/>
      <c r="H329" s="1371" t="s">
        <v>2679</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371" t="s">
        <v>2681</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2">
        <v>7605830822</v>
      </c>
      <c r="I331" s="1542"/>
      <c r="J331" s="1542"/>
      <c r="K331" s="1542"/>
      <c r="L331" s="1542"/>
      <c r="M331" s="1542"/>
      <c r="N331" s="4" t="s">
        <v>206</v>
      </c>
      <c r="O331" s="4"/>
      <c r="P331" s="1525"/>
      <c r="Q331" s="1525"/>
      <c r="R331" s="1525"/>
      <c r="S331" s="3"/>
      <c r="T331" s="3" t="s">
        <v>88</v>
      </c>
      <c r="V331" s="3"/>
      <c r="W331" s="3"/>
      <c r="X331" s="3"/>
      <c r="Y331" s="3"/>
      <c r="AA331" s="1542"/>
      <c r="AB331" s="1542"/>
      <c r="AC331" s="1542"/>
      <c r="AD331" s="1542"/>
      <c r="AE331" s="1542"/>
      <c r="AF331" s="1542"/>
      <c r="AG331" s="4" t="s">
        <v>206</v>
      </c>
      <c r="AH331" s="4"/>
      <c r="AI331" s="1525"/>
      <c r="AJ331" s="1525"/>
      <c r="AK331" s="1525"/>
    </row>
    <row r="332" spans="2:37" ht="13"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 customHeight="1">
      <c r="B333" s="3" t="s">
        <v>76</v>
      </c>
      <c r="C333" s="3"/>
      <c r="D333" s="3"/>
      <c r="E333" s="3"/>
      <c r="F333" s="3"/>
      <c r="G333" s="3"/>
      <c r="H333" s="1371" t="s">
        <v>2680</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2682</v>
      </c>
      <c r="I335" s="1407"/>
      <c r="J335" s="1407"/>
      <c r="K335" s="1407"/>
      <c r="L335" s="1407"/>
      <c r="M335" s="1407"/>
      <c r="N335" s="1407"/>
      <c r="O335" s="1407"/>
      <c r="P335" s="1407"/>
      <c r="Q335" s="1407"/>
      <c r="R335" s="1407"/>
      <c r="T335" s="204" t="s">
        <v>886</v>
      </c>
      <c r="V335" s="3"/>
      <c r="W335" s="3"/>
      <c r="X335" s="3"/>
      <c r="Y335" s="3"/>
      <c r="AA335" s="1407" t="s">
        <v>2686</v>
      </c>
      <c r="AB335" s="1407"/>
      <c r="AC335" s="1407"/>
      <c r="AD335" s="1407"/>
      <c r="AE335" s="1407"/>
      <c r="AF335" s="1407"/>
      <c r="AG335" s="1407"/>
      <c r="AH335" s="1407"/>
      <c r="AI335" s="1407"/>
      <c r="AJ335" s="1407"/>
      <c r="AK335" s="1407"/>
    </row>
    <row r="336" spans="2:37" ht="13" customHeight="1">
      <c r="B336" s="3" t="s">
        <v>471</v>
      </c>
      <c r="C336" s="3"/>
      <c r="D336" s="3"/>
      <c r="E336" s="3"/>
      <c r="F336" s="3"/>
      <c r="H336" s="1371" t="s">
        <v>2683</v>
      </c>
      <c r="I336" s="1371"/>
      <c r="J336" s="1371"/>
      <c r="K336" s="1371"/>
      <c r="L336" s="1371"/>
      <c r="M336" s="1371"/>
      <c r="N336" s="1371"/>
      <c r="O336" s="1371"/>
      <c r="P336" s="1371"/>
      <c r="Q336" s="1371"/>
      <c r="R336" s="1371"/>
      <c r="T336" s="3" t="s">
        <v>471</v>
      </c>
      <c r="V336" s="3"/>
      <c r="W336" s="3"/>
      <c r="X336" s="3"/>
      <c r="Y336" s="3"/>
      <c r="AA336" s="1371" t="s">
        <v>2687</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2679</v>
      </c>
      <c r="I337" s="1371"/>
      <c r="J337" s="1371"/>
      <c r="K337" s="1371"/>
      <c r="L337" s="1371"/>
      <c r="M337" s="1371"/>
      <c r="N337" s="1371"/>
      <c r="O337" s="1371"/>
      <c r="P337" s="1371"/>
      <c r="Q337" s="1371"/>
      <c r="R337" s="1371"/>
      <c r="T337" s="3" t="s">
        <v>75</v>
      </c>
      <c r="V337" s="3"/>
      <c r="W337" s="3"/>
      <c r="X337" s="3"/>
      <c r="Y337" s="3"/>
      <c r="AA337" s="1371" t="s">
        <v>2689</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2684</v>
      </c>
      <c r="I338" s="1371"/>
      <c r="J338" s="1371"/>
      <c r="K338" s="1371"/>
      <c r="L338" s="1371"/>
      <c r="M338" s="1371"/>
      <c r="N338" s="1371"/>
      <c r="O338" s="1371"/>
      <c r="P338" s="1371"/>
      <c r="Q338" s="1371"/>
      <c r="R338" s="1371"/>
      <c r="T338" s="3" t="s">
        <v>87</v>
      </c>
      <c r="V338" s="3"/>
      <c r="W338" s="3"/>
      <c r="X338" s="3"/>
      <c r="Y338" s="3"/>
      <c r="AA338" s="1371" t="s">
        <v>2688</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2">
        <v>7609301221</v>
      </c>
      <c r="I339" s="1542"/>
      <c r="J339" s="1542"/>
      <c r="K339" s="1542"/>
      <c r="L339" s="1542"/>
      <c r="M339" s="1542"/>
      <c r="N339" s="4" t="s">
        <v>206</v>
      </c>
      <c r="O339" s="4"/>
      <c r="P339" s="1525"/>
      <c r="Q339" s="1525"/>
      <c r="R339" s="1525"/>
      <c r="S339" s="3"/>
      <c r="T339" s="3" t="s">
        <v>88</v>
      </c>
      <c r="V339" s="3"/>
      <c r="W339" s="3"/>
      <c r="X339" s="3"/>
      <c r="Y339" s="3"/>
      <c r="AA339" s="1542">
        <v>7605919737</v>
      </c>
      <c r="AB339" s="1542"/>
      <c r="AC339" s="1542"/>
      <c r="AD339" s="1542"/>
      <c r="AE339" s="1542"/>
      <c r="AF339" s="1542"/>
      <c r="AG339" s="4" t="s">
        <v>206</v>
      </c>
      <c r="AH339" s="4"/>
      <c r="AI339" s="1525"/>
      <c r="AJ339" s="1525"/>
      <c r="AK339" s="1525"/>
    </row>
    <row r="340" spans="1:66" ht="13" customHeight="1">
      <c r="B340" s="3" t="s">
        <v>89</v>
      </c>
      <c r="C340" s="3"/>
      <c r="D340" s="3"/>
      <c r="E340" s="3"/>
      <c r="F340" s="3"/>
      <c r="G340" s="3"/>
      <c r="H340" s="1487">
        <v>7606833390</v>
      </c>
      <c r="I340" s="1487"/>
      <c r="J340" s="1487"/>
      <c r="K340" s="1487"/>
      <c r="L340" s="1487"/>
      <c r="M340" s="1487"/>
      <c r="N340" s="4"/>
      <c r="O340" s="4"/>
      <c r="P340" s="35"/>
      <c r="Q340" s="35"/>
      <c r="R340" s="35"/>
      <c r="S340" s="3"/>
      <c r="T340" s="3" t="s">
        <v>89</v>
      </c>
      <c r="V340" s="3"/>
      <c r="W340" s="3"/>
      <c r="X340" s="3"/>
      <c r="Y340" s="3"/>
      <c r="AA340" s="1487">
        <v>7605919784</v>
      </c>
      <c r="AB340" s="1487"/>
      <c r="AC340" s="1487"/>
      <c r="AD340" s="1487"/>
      <c r="AE340" s="1487"/>
      <c r="AF340" s="1487"/>
      <c r="AG340" s="4"/>
      <c r="AH340" s="4"/>
      <c r="AI340" s="35"/>
      <c r="AJ340" s="35"/>
      <c r="AK340" s="35"/>
    </row>
    <row r="341" spans="1:66" ht="13" customHeight="1">
      <c r="B341" s="3" t="s">
        <v>76</v>
      </c>
      <c r="C341" s="3"/>
      <c r="D341" s="3"/>
      <c r="E341" s="3"/>
      <c r="F341" s="3"/>
      <c r="G341" s="3"/>
      <c r="H341" s="1371" t="s">
        <v>2685</v>
      </c>
      <c r="I341" s="1371"/>
      <c r="J341" s="1371"/>
      <c r="K341" s="1371"/>
      <c r="L341" s="1371"/>
      <c r="M341" s="1371"/>
      <c r="N341" s="1407"/>
      <c r="O341" s="1407"/>
      <c r="P341" s="1407"/>
      <c r="Q341" s="1407"/>
      <c r="R341" s="1407"/>
      <c r="S341" s="3"/>
      <c r="T341" s="3" t="s">
        <v>76</v>
      </c>
      <c r="V341" s="3"/>
      <c r="W341" s="3"/>
      <c r="X341" s="3"/>
      <c r="Y341" s="3"/>
      <c r="AA341" s="1371" t="s">
        <v>2690</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07"/>
      <c r="Q343" s="1407"/>
      <c r="R343" s="1407"/>
      <c r="S343" s="1407"/>
      <c r="T343" s="1407"/>
      <c r="U343" s="1407"/>
      <c r="V343" s="1407"/>
      <c r="W343" s="1407"/>
      <c r="X343" s="1407"/>
      <c r="Y343" s="1407"/>
      <c r="Z343" s="1407"/>
      <c r="AA343" s="1407"/>
      <c r="AB343" s="1407"/>
      <c r="AC343" s="1407"/>
      <c r="AD343" s="1407"/>
      <c r="AE343" s="1407"/>
      <c r="BN343" t="s">
        <v>669</v>
      </c>
    </row>
    <row r="344" spans="1:66" ht="13"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3"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3"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2098</v>
      </c>
      <c r="M355" s="1415" t="s">
        <v>545</v>
      </c>
      <c r="N355" s="1415"/>
      <c r="P355" t="s">
        <v>1650</v>
      </c>
      <c r="AJ355" s="1415" t="s">
        <v>669</v>
      </c>
      <c r="AK355" s="1415"/>
    </row>
    <row r="356" spans="1:46" ht="13" customHeight="1">
      <c r="D356" s="3" t="s">
        <v>1639</v>
      </c>
      <c r="M356" s="1415" t="s">
        <v>591</v>
      </c>
      <c r="N356" s="1415"/>
      <c r="P356" s="3" t="s">
        <v>1719</v>
      </c>
      <c r="AJ356" s="1382"/>
      <c r="AK356" s="1382"/>
    </row>
    <row r="357" spans="1:46" ht="13" customHeight="1">
      <c r="D357" s="3" t="s">
        <v>704</v>
      </c>
      <c r="M357" s="1415" t="s">
        <v>591</v>
      </c>
      <c r="N357" s="1415"/>
      <c r="P357" t="s">
        <v>1649</v>
      </c>
      <c r="AJ357" s="1415" t="s">
        <v>591</v>
      </c>
      <c r="AK357" s="1415"/>
    </row>
    <row r="358" spans="1:46" ht="13" customHeight="1">
      <c r="D358" s="3" t="s">
        <v>705</v>
      </c>
      <c r="M358" s="1415" t="s">
        <v>591</v>
      </c>
      <c r="N358" s="1415"/>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3" customHeight="1">
      <c r="E364" t="s">
        <v>370</v>
      </c>
      <c r="Y364" s="1415" t="s">
        <v>591</v>
      </c>
      <c r="Z364" s="1415"/>
    </row>
    <row r="365" spans="1:46" ht="13" customHeight="1">
      <c r="D365" s="4" t="s">
        <v>978</v>
      </c>
      <c r="Q365" s="1407"/>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4" t="s">
        <v>706</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3"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3"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3"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3"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305</v>
      </c>
      <c r="S377" s="1443"/>
      <c r="T377" s="1443"/>
      <c r="U377" s="1" t="s">
        <v>306</v>
      </c>
      <c r="V377" s="1443"/>
      <c r="W377" s="1443"/>
      <c r="Y377" t="s">
        <v>2079</v>
      </c>
      <c r="AC377" s="27" t="s">
        <v>305</v>
      </c>
      <c r="AD377" s="1443"/>
      <c r="AE377" s="1443"/>
      <c r="AF377" s="1" t="s">
        <v>306</v>
      </c>
      <c r="AG377" s="1443"/>
      <c r="AH377" s="1443"/>
    </row>
    <row r="378" spans="1:34" ht="13" customHeight="1">
      <c r="E378" s="4" t="s">
        <v>987</v>
      </c>
      <c r="F378" s="4"/>
      <c r="G378" s="4"/>
      <c r="H378" s="4"/>
      <c r="I378" s="4"/>
      <c r="J378" s="4"/>
      <c r="K378" s="4"/>
      <c r="L378" s="4"/>
      <c r="N378" s="1443"/>
      <c r="O378" s="1443"/>
      <c r="P378" s="1443"/>
    </row>
    <row r="379" spans="1:34" ht="13" customHeight="1">
      <c r="E379" s="204" t="s">
        <v>2085</v>
      </c>
      <c r="F379" s="4"/>
      <c r="G379" s="4"/>
      <c r="H379" s="4"/>
      <c r="I379" s="4"/>
      <c r="J379" s="4"/>
      <c r="K379" s="4"/>
      <c r="L379" s="4"/>
      <c r="AG379" s="1446" t="s">
        <v>591</v>
      </c>
      <c r="AH379" s="1446"/>
    </row>
    <row r="380" spans="1:34" ht="13" customHeight="1">
      <c r="E380" s="4"/>
      <c r="F380" s="4"/>
      <c r="G380" s="4" t="s">
        <v>2086</v>
      </c>
      <c r="H380" s="4"/>
      <c r="I380" s="4"/>
      <c r="J380" s="4"/>
      <c r="K380" s="4"/>
      <c r="L380" s="4"/>
      <c r="AG380" s="1446" t="s">
        <v>591</v>
      </c>
      <c r="AH380" s="1446"/>
    </row>
    <row r="381" spans="1:34" ht="13" customHeight="1">
      <c r="E381" s="4"/>
      <c r="F381" s="4"/>
      <c r="G381" s="320" t="s">
        <v>988</v>
      </c>
      <c r="H381" s="4"/>
      <c r="I381" s="4"/>
      <c r="J381" s="4"/>
      <c r="K381" s="4"/>
      <c r="L381" s="4"/>
      <c r="V381" s="1415" t="s">
        <v>591</v>
      </c>
      <c r="W381" s="1415"/>
      <c r="Y381" s="22" t="s">
        <v>980</v>
      </c>
    </row>
    <row r="382" spans="1:34" ht="13" customHeight="1">
      <c r="E382" s="4" t="s">
        <v>981</v>
      </c>
      <c r="F382" s="4"/>
      <c r="G382" s="4"/>
      <c r="H382" s="4"/>
      <c r="I382" s="4"/>
      <c r="J382" s="4"/>
      <c r="K382" s="4"/>
      <c r="L382" s="4"/>
      <c r="V382" s="1415" t="s">
        <v>591</v>
      </c>
      <c r="W382" s="1415"/>
      <c r="Y382" s="4" t="s">
        <v>982</v>
      </c>
    </row>
    <row r="383" spans="1:34" ht="13" customHeight="1"/>
    <row r="384" spans="1:34" ht="13" customHeight="1">
      <c r="A384" s="2" t="s">
        <v>78</v>
      </c>
      <c r="B384" s="2"/>
    </row>
    <row r="385" spans="4:36" ht="13" customHeight="1">
      <c r="D385" t="s">
        <v>428</v>
      </c>
      <c r="J385" s="1407"/>
      <c r="K385" s="1407"/>
      <c r="L385" s="1407"/>
      <c r="M385" s="1407"/>
      <c r="N385" s="1407"/>
      <c r="O385" s="1407"/>
      <c r="P385" s="1407"/>
      <c r="Q385" s="1407"/>
      <c r="R385" s="1407"/>
      <c r="S385" s="1407"/>
      <c r="T385" s="1407"/>
      <c r="U385" s="1407"/>
      <c r="V385" s="8" t="s">
        <v>83</v>
      </c>
      <c r="W385" s="8"/>
      <c r="X385" s="8"/>
      <c r="Y385" s="8"/>
      <c r="Z385" s="8"/>
      <c r="AA385" s="8"/>
      <c r="AB385" s="8"/>
      <c r="AC385" s="1407"/>
      <c r="AD385" s="1407"/>
      <c r="AE385" s="1407"/>
      <c r="AF385" s="1407"/>
      <c r="AG385" s="1407"/>
      <c r="AH385" s="1407"/>
      <c r="AI385" s="1407"/>
      <c r="AJ385" s="1407"/>
    </row>
    <row r="386" spans="4:36" ht="13" customHeight="1">
      <c r="D386" s="3" t="s">
        <v>1182</v>
      </c>
      <c r="J386" s="1371"/>
      <c r="K386" s="1371"/>
      <c r="L386" s="1371"/>
      <c r="M386" s="1371"/>
      <c r="N386" s="1371"/>
      <c r="O386" s="1371"/>
      <c r="P386" s="1371"/>
      <c r="Q386" s="1371"/>
      <c r="R386" s="1371"/>
      <c r="S386" s="1371"/>
      <c r="T386" s="1371"/>
      <c r="U386" s="1371"/>
      <c r="V386" s="3" t="s">
        <v>1182</v>
      </c>
      <c r="W386" s="8"/>
      <c r="X386" s="8"/>
      <c r="Y386" s="8"/>
      <c r="Z386" s="8"/>
      <c r="AA386" s="8"/>
      <c r="AB386" s="8"/>
      <c r="AC386" s="1407"/>
      <c r="AD386" s="1407"/>
      <c r="AE386" s="1407"/>
      <c r="AF386" s="1407"/>
      <c r="AG386" s="1407"/>
      <c r="AH386" s="1407"/>
      <c r="AI386" s="1407"/>
      <c r="AJ386" s="1407"/>
    </row>
    <row r="387" spans="4:36" ht="13" customHeight="1">
      <c r="D387" s="3" t="s">
        <v>441</v>
      </c>
      <c r="J387" s="1371"/>
      <c r="K387" s="1371"/>
      <c r="L387" s="1371"/>
      <c r="M387" s="1371"/>
      <c r="N387" s="1371"/>
      <c r="O387" s="1371"/>
      <c r="P387" s="1371"/>
      <c r="Q387" s="1371"/>
      <c r="R387" s="1371"/>
      <c r="S387" s="1371"/>
      <c r="T387" s="1371"/>
      <c r="U387" s="1371"/>
      <c r="V387" s="3" t="s">
        <v>441</v>
      </c>
      <c r="W387" s="8"/>
      <c r="X387" s="8"/>
      <c r="Y387" s="8"/>
      <c r="Z387" s="8"/>
      <c r="AA387" s="8"/>
      <c r="AB387" s="8"/>
      <c r="AC387" s="1407"/>
      <c r="AD387" s="1407"/>
      <c r="AE387" s="1407"/>
      <c r="AF387" s="1407"/>
      <c r="AG387" s="1407"/>
      <c r="AH387" s="1407"/>
      <c r="AI387" s="1407"/>
      <c r="AJ387" s="1407"/>
    </row>
    <row r="388" spans="4:36" ht="13" customHeight="1">
      <c r="D388" t="s">
        <v>1178</v>
      </c>
      <c r="J388" s="1427"/>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3" customHeight="1">
      <c r="D389" t="s">
        <v>4</v>
      </c>
      <c r="Q389" s="1589"/>
      <c r="R389" s="1589"/>
      <c r="S389" s="1589"/>
      <c r="T389" s="1589"/>
      <c r="U389" s="1589"/>
      <c r="V389" t="s">
        <v>309</v>
      </c>
      <c r="AI389" s="1415" t="s">
        <v>669</v>
      </c>
      <c r="AJ389" s="1415"/>
    </row>
    <row r="390" spans="4:36" ht="13" customHeight="1">
      <c r="D390" t="s">
        <v>5</v>
      </c>
      <c r="Q390" s="1520"/>
      <c r="R390" s="1521"/>
      <c r="S390" s="1521"/>
      <c r="T390" s="1521"/>
      <c r="U390" s="1521"/>
      <c r="W390" s="21" t="s">
        <v>74</v>
      </c>
      <c r="AG390" s="1448"/>
      <c r="AH390" s="1448"/>
      <c r="AI390" s="1448"/>
      <c r="AJ390" s="1448"/>
    </row>
    <row r="391" spans="4:36" ht="13" customHeight="1">
      <c r="D391" t="s">
        <v>427</v>
      </c>
      <c r="Q391" s="1449"/>
      <c r="R391" s="1449"/>
      <c r="S391" s="1449"/>
      <c r="T391" s="1449"/>
      <c r="U391" s="1449"/>
      <c r="V391" s="3" t="s">
        <v>1181</v>
      </c>
      <c r="AG391" s="1518"/>
      <c r="AH391" s="1518"/>
      <c r="AI391" s="1518"/>
      <c r="AJ391" s="1518"/>
    </row>
    <row r="392" spans="4:36" ht="13" customHeight="1">
      <c r="D392" t="s">
        <v>88</v>
      </c>
      <c r="I392" s="1542"/>
      <c r="J392" s="1542"/>
      <c r="K392" s="1542"/>
      <c r="L392" s="1542"/>
      <c r="M392" s="1542"/>
      <c r="N392" s="1542"/>
      <c r="Q392" s="4" t="s">
        <v>206</v>
      </c>
      <c r="S392" s="1447"/>
      <c r="T392" s="1447"/>
      <c r="U392" s="1447"/>
      <c r="V392" t="s">
        <v>73</v>
      </c>
      <c r="AI392" s="1415" t="s">
        <v>669</v>
      </c>
      <c r="AJ392" s="1415"/>
    </row>
    <row r="393" spans="4:36" ht="13" customHeight="1">
      <c r="D393" t="s">
        <v>310</v>
      </c>
      <c r="Q393" s="1524"/>
      <c r="R393" s="1524"/>
      <c r="S393" s="1524"/>
      <c r="T393" s="1524"/>
      <c r="U393" s="1524"/>
      <c r="V393" t="s">
        <v>311</v>
      </c>
      <c r="AG393" s="1448"/>
      <c r="AH393" s="1448"/>
      <c r="AI393" s="1448"/>
      <c r="AJ393" s="1448"/>
    </row>
    <row r="394" spans="4:36" ht="13" customHeight="1">
      <c r="D394" t="s">
        <v>312</v>
      </c>
      <c r="Q394" s="1579"/>
      <c r="R394" s="1579"/>
      <c r="S394" s="1579"/>
      <c r="T394" s="1579"/>
      <c r="U394" s="1579"/>
      <c r="V394" t="s">
        <v>1163</v>
      </c>
      <c r="AG394" s="1448"/>
      <c r="AH394" s="1448"/>
      <c r="AI394" s="1448"/>
      <c r="AJ394" s="1448"/>
    </row>
    <row r="395" spans="4:36" ht="13" customHeight="1">
      <c r="D395" t="s">
        <v>1162</v>
      </c>
      <c r="AG395" s="1448"/>
      <c r="AH395" s="1448"/>
      <c r="AI395" s="1448"/>
      <c r="AJ395" s="1448"/>
    </row>
    <row r="396" spans="4:36" ht="13" customHeight="1">
      <c r="AG396" s="456"/>
      <c r="AH396" s="456"/>
      <c r="AI396" s="456"/>
      <c r="AJ396" s="456"/>
    </row>
    <row r="397" spans="4:36" ht="13" customHeight="1">
      <c r="D397" s="3" t="s">
        <v>2142</v>
      </c>
      <c r="AG397" s="456"/>
      <c r="AH397" s="456"/>
      <c r="AI397" s="1415" t="s">
        <v>669</v>
      </c>
      <c r="AJ397" s="1415"/>
    </row>
    <row r="398" spans="4:36" ht="13"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6"/>
      <c r="AH400" s="456"/>
      <c r="AI400" s="456"/>
      <c r="AJ400" s="456"/>
    </row>
    <row r="401" spans="1:36" ht="13" customHeight="1">
      <c r="D401" s="3" t="s">
        <v>1660</v>
      </c>
      <c r="S401" s="1434" t="s">
        <v>669</v>
      </c>
      <c r="T401" s="1434"/>
      <c r="U401" s="1434"/>
      <c r="V401" t="s">
        <v>1661</v>
      </c>
      <c r="AG401" s="1523"/>
      <c r="AH401" s="1523"/>
      <c r="AI401" s="1523"/>
      <c r="AJ401" s="1523"/>
    </row>
    <row r="402" spans="1:36" ht="13" customHeight="1">
      <c r="D402" s="3" t="s">
        <v>1658</v>
      </c>
      <c r="S402" s="1434" t="s">
        <v>591</v>
      </c>
      <c r="T402" s="1434"/>
      <c r="U402" s="1434"/>
      <c r="V402" t="s">
        <v>1663</v>
      </c>
      <c r="AE402" s="1517"/>
      <c r="AF402" s="1517"/>
      <c r="AG402" s="1517"/>
      <c r="AH402" s="1517"/>
      <c r="AI402" s="1517"/>
      <c r="AJ402" s="1517"/>
    </row>
    <row r="403" spans="1:36" ht="13"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 customHeight="1">
      <c r="D405" s="3" t="s">
        <v>1665</v>
      </c>
      <c r="E405" s="477"/>
      <c r="F405" s="477"/>
      <c r="G405" s="477"/>
      <c r="H405" s="477"/>
      <c r="I405" s="477"/>
      <c r="J405" s="477"/>
      <c r="K405" s="477"/>
      <c r="L405" s="477"/>
      <c r="M405" s="477"/>
      <c r="N405" s="477"/>
      <c r="O405" s="477"/>
      <c r="P405" s="477"/>
      <c r="Q405" s="477"/>
      <c r="R405" s="477"/>
      <c r="S405" s="1445" t="s">
        <v>1184</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522" t="s">
        <v>2691</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 customHeight="1">
      <c r="E411" t="s">
        <v>106</v>
      </c>
      <c r="R411" s="1415" t="s">
        <v>591</v>
      </c>
      <c r="S411" s="1415"/>
      <c r="AC411" s="27" t="s">
        <v>570</v>
      </c>
      <c r="AD411" s="1390"/>
      <c r="AE411" s="1390"/>
    </row>
    <row r="412" spans="1:36" ht="13" customHeight="1">
      <c r="E412" t="s">
        <v>107</v>
      </c>
      <c r="R412" s="1415" t="s">
        <v>545</v>
      </c>
      <c r="S412" s="1415"/>
      <c r="AC412" s="27" t="s">
        <v>570</v>
      </c>
      <c r="AD412" s="1390">
        <v>2</v>
      </c>
      <c r="AE412" s="1390"/>
    </row>
    <row r="413" spans="1:36" ht="13" customHeight="1">
      <c r="E413" t="s">
        <v>108</v>
      </c>
      <c r="S413" s="1415" t="s">
        <v>591</v>
      </c>
      <c r="T413" s="1415"/>
    </row>
    <row r="414" spans="1:36" ht="13" customHeight="1">
      <c r="E414" t="s">
        <v>170</v>
      </c>
      <c r="H414" s="1580" t="s">
        <v>334</v>
      </c>
      <c r="I414" s="1580"/>
      <c r="J414" s="1580"/>
      <c r="K414" s="1580"/>
      <c r="L414" s="1580"/>
      <c r="M414" s="1580"/>
      <c r="N414" s="1580"/>
      <c r="O414" s="1580"/>
      <c r="P414" s="1580"/>
      <c r="Q414" s="1580"/>
      <c r="R414" s="1580"/>
      <c r="S414" s="1580"/>
      <c r="T414" s="1580"/>
      <c r="U414" s="1580"/>
      <c r="V414" s="1580"/>
      <c r="W414" s="1580"/>
      <c r="X414" s="1580"/>
      <c r="Y414" s="1580"/>
      <c r="Z414" s="1580"/>
      <c r="AA414" s="1580"/>
      <c r="AB414" s="1580"/>
      <c r="AC414" s="1580"/>
      <c r="AD414" s="1580"/>
      <c r="AE414" s="1580"/>
    </row>
    <row r="415" spans="1:36" ht="13" customHeight="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row>
    <row r="416" spans="1:36" ht="13" customHeight="1"/>
    <row r="417" spans="1:39" ht="13" customHeight="1">
      <c r="A417" s="2" t="s">
        <v>590</v>
      </c>
      <c r="B417" s="2"/>
      <c r="C417" s="2"/>
      <c r="D417" s="2" t="s">
        <v>114</v>
      </c>
      <c r="AF417" s="2" t="s">
        <v>957</v>
      </c>
    </row>
    <row r="418" spans="1:39" ht="13" customHeight="1">
      <c r="E418" s="1443"/>
      <c r="F418" s="1443"/>
      <c r="G418" s="1443"/>
      <c r="H418" s="13" t="s">
        <v>115</v>
      </c>
      <c r="I418" s="1443"/>
      <c r="J418" s="1443"/>
      <c r="K418" s="1443"/>
      <c r="L418" t="s">
        <v>116</v>
      </c>
      <c r="N418" s="27" t="s">
        <v>575</v>
      </c>
      <c r="P418" s="1583">
        <v>9.57</v>
      </c>
      <c r="Q418" s="1583"/>
      <c r="R418" s="1583"/>
      <c r="S418" t="s">
        <v>117</v>
      </c>
      <c r="W418" s="1444">
        <f>IF(E418&gt;0,(E418*I418),(P418*43560))</f>
        <v>416869.2</v>
      </c>
      <c r="X418" s="1444"/>
      <c r="Y418" s="1444"/>
      <c r="Z418" t="s">
        <v>118</v>
      </c>
      <c r="AF418" s="1584">
        <f>IFERROR(IF(P418&gt;0,(AG437/P418),(AG437/(W418/43560))),0)</f>
        <v>8.3594566353187041</v>
      </c>
      <c r="AG418" s="1584"/>
      <c r="AH418" s="1584"/>
      <c r="AM418" s="3"/>
    </row>
    <row r="419" spans="1:39" ht="13" customHeight="1">
      <c r="E419" t="s">
        <v>51</v>
      </c>
    </row>
    <row r="420" spans="1:39" ht="13"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 customHeight="1">
      <c r="E421" s="118" t="s">
        <v>1736</v>
      </c>
      <c r="F421" s="1013"/>
      <c r="G421" s="1013"/>
      <c r="H421" s="1013"/>
      <c r="I421" s="1582">
        <v>9.57</v>
      </c>
      <c r="J421" s="1582"/>
      <c r="K421" s="1582"/>
      <c r="L421" s="1013"/>
      <c r="M421" s="118"/>
      <c r="N421" s="1013"/>
      <c r="O421" s="1013"/>
      <c r="P421" s="1834">
        <f>(DU755+DU778+DU800)/I421</f>
        <v>16.718913270637408</v>
      </c>
      <c r="Q421" s="1834"/>
      <c r="R421" s="1834"/>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5">
        <v>7</v>
      </c>
      <c r="Q424" s="1415"/>
      <c r="S424" t="s">
        <v>189</v>
      </c>
      <c r="AE424" s="1415">
        <v>5</v>
      </c>
      <c r="AF424" s="1415"/>
    </row>
    <row r="425" spans="1:39" ht="13" customHeight="1">
      <c r="E425" t="s">
        <v>190</v>
      </c>
      <c r="P425" s="1415">
        <v>2</v>
      </c>
      <c r="Q425" s="1415"/>
      <c r="S425" t="s">
        <v>131</v>
      </c>
      <c r="AE425" s="1415" t="s">
        <v>591</v>
      </c>
      <c r="AF425" s="1415"/>
    </row>
    <row r="426" spans="1:39" ht="13" customHeight="1">
      <c r="F426" s="28" t="s">
        <v>132</v>
      </c>
    </row>
    <row r="427" spans="1:39" ht="13"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3"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3" customHeight="1">
      <c r="E429" t="s">
        <v>608</v>
      </c>
      <c r="P429" s="1"/>
      <c r="Q429" s="1415" t="s">
        <v>545</v>
      </c>
      <c r="R429" s="1415"/>
    </row>
    <row r="430" spans="1:39" ht="13" customHeight="1">
      <c r="F430" t="s">
        <v>609</v>
      </c>
      <c r="P430" s="1"/>
      <c r="Q430" s="1"/>
      <c r="AF430" s="1415" t="s">
        <v>591</v>
      </c>
      <c r="AG430" s="1505"/>
    </row>
    <row r="431" spans="1:39" ht="13" customHeight="1"/>
    <row r="432" spans="1:39" ht="13" customHeight="1">
      <c r="A432" s="2"/>
      <c r="B432" s="2"/>
      <c r="C432" s="2"/>
      <c r="E432" s="4" t="s">
        <v>308</v>
      </c>
      <c r="Z432" s="1415" t="s">
        <v>669</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3" customHeight="1"/>
    <row r="436" spans="1:55" ht="13" customHeight="1">
      <c r="A436" s="2" t="s">
        <v>467</v>
      </c>
      <c r="B436" s="2"/>
      <c r="C436" s="2"/>
      <c r="D436" s="2" t="s">
        <v>764</v>
      </c>
      <c r="AF436" s="48"/>
    </row>
    <row r="437" spans="1:55" ht="13"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80</v>
      </c>
      <c r="AH437" s="1385"/>
      <c r="AI437" s="1385"/>
      <c r="AJ437" s="1385"/>
    </row>
    <row r="438" spans="1:55" ht="13"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3"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79</v>
      </c>
      <c r="AH439" s="1385"/>
      <c r="AI439" s="1385"/>
      <c r="AJ439" s="1385"/>
    </row>
    <row r="440" spans="1:55" ht="13"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79</v>
      </c>
      <c r="AH440" s="1385"/>
      <c r="AI440" s="1385"/>
      <c r="AJ440" s="1385"/>
    </row>
    <row r="441" spans="1:55" ht="13"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82314</v>
      </c>
      <c r="AH442" s="1416"/>
      <c r="AI442" s="1416"/>
      <c r="AJ442" s="1416"/>
    </row>
    <row r="443" spans="1:55" ht="13"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82314</v>
      </c>
      <c r="AH443" s="1416"/>
      <c r="AI443" s="1416"/>
      <c r="AJ443" s="1416"/>
    </row>
    <row r="444" spans="1:55" ht="13"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3500</v>
      </c>
      <c r="AH446" s="1416"/>
      <c r="AI446" s="1416"/>
      <c r="AJ446" s="1416"/>
      <c r="AZ446" s="34"/>
      <c r="BA446" s="34"/>
      <c r="BB446" s="34"/>
      <c r="BC446" s="34"/>
    </row>
    <row r="447" spans="1:55" ht="13"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1805</v>
      </c>
      <c r="AH448" s="1416"/>
      <c r="AI448" s="1416"/>
      <c r="AJ448" s="1416"/>
      <c r="AZ448" s="3"/>
      <c r="BA448" s="3"/>
      <c r="BB448" s="3"/>
      <c r="BC448" s="3"/>
    </row>
    <row r="449" spans="1:55" ht="13"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76" t="s">
        <v>1039</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29">
        <f>AG442+AG446+AG448+AG449</f>
        <v>87619</v>
      </c>
      <c r="AH450" s="1429"/>
      <c r="AI450" s="1429"/>
      <c r="AJ450" s="1429"/>
      <c r="AZ450" s="3"/>
      <c r="BA450" s="3"/>
      <c r="BB450" s="3"/>
      <c r="BC450" s="3"/>
    </row>
    <row r="451" spans="1:55" ht="13" customHeight="1">
      <c r="D451" s="1585" t="s">
        <v>1206</v>
      </c>
      <c r="E451" s="1585"/>
      <c r="F451" s="1585"/>
      <c r="G451" s="1585"/>
      <c r="H451" s="1585"/>
      <c r="I451" s="1585"/>
      <c r="J451" s="1585"/>
      <c r="K451" s="1585"/>
      <c r="L451" s="1585"/>
      <c r="M451" s="1585"/>
      <c r="N451" s="1585"/>
      <c r="O451" s="1585"/>
      <c r="P451" s="1585"/>
      <c r="Q451" s="1585"/>
      <c r="R451" s="1585"/>
      <c r="S451" s="1585"/>
      <c r="T451" s="1585"/>
      <c r="U451" s="1585"/>
      <c r="V451" s="1585"/>
      <c r="W451" s="1585"/>
      <c r="X451" s="1585"/>
      <c r="Y451" s="1585"/>
      <c r="Z451" s="1585"/>
      <c r="AA451" s="1585"/>
      <c r="AB451" s="1585"/>
      <c r="AC451" s="1585"/>
      <c r="AD451" s="1585"/>
      <c r="AE451" s="1585"/>
      <c r="AF451" s="1585"/>
      <c r="AG451" s="1585"/>
      <c r="AH451" s="1585"/>
      <c r="AI451" s="1585"/>
      <c r="AJ451" s="1585"/>
      <c r="AZ451" s="3"/>
      <c r="BA451" s="3"/>
      <c r="BB451" s="3"/>
      <c r="BC451" s="3"/>
    </row>
    <row r="452" spans="1:55" ht="13" customHeight="1">
      <c r="D452" s="1586"/>
      <c r="E452" s="1586"/>
      <c r="F452" s="1586"/>
      <c r="G452" s="1586"/>
      <c r="H452" s="1586"/>
      <c r="I452" s="1586"/>
      <c r="J452" s="1586"/>
      <c r="K452" s="1586"/>
      <c r="L452" s="1586"/>
      <c r="M452" s="1586"/>
      <c r="N452" s="1586"/>
      <c r="O452" s="1586"/>
      <c r="P452" s="1586"/>
      <c r="Q452" s="1586"/>
      <c r="R452" s="1586"/>
      <c r="S452" s="1586"/>
      <c r="T452" s="1586"/>
      <c r="U452" s="1586"/>
      <c r="V452" s="1586"/>
      <c r="W452" s="1586"/>
      <c r="X452" s="1586"/>
      <c r="Y452" s="1586"/>
      <c r="Z452" s="1586"/>
      <c r="AA452" s="1586"/>
      <c r="AB452" s="1586"/>
      <c r="AC452" s="1586"/>
      <c r="AD452" s="1586"/>
      <c r="AE452" s="1586"/>
      <c r="AF452" s="1586"/>
      <c r="AG452" s="1586"/>
      <c r="AH452" s="1586"/>
      <c r="AI452" s="1586"/>
      <c r="AJ452" s="1586"/>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 ca="1">IF(AG437=0,"",'Sources and Uses Budget'!B105/Application!AG437)</f>
        <v>713209.36250000005</v>
      </c>
      <c r="AD454" s="1373"/>
      <c r="AE454" s="1373"/>
      <c r="AF454" s="1373"/>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 ca="1">IF(AG437=0,"",'Sources and Uses Budget'!C105/Application!AG437)</f>
        <v>713209.36250000005</v>
      </c>
      <c r="AD455" s="1373"/>
      <c r="AE455" s="1373"/>
      <c r="AF455" s="1373"/>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 ca="1">IF(AG437=0,"",('Sources and Uses Budget'!$S$107+'Sources and Uses Budget'!$T$107)/Application!AG437)</f>
        <v>672834.13749999995</v>
      </c>
      <c r="AD456" s="1373"/>
      <c r="AE456" s="1373"/>
      <c r="AF456" s="1373"/>
      <c r="AG456" s="177"/>
      <c r="AH456" s="177"/>
      <c r="AI456" s="177"/>
      <c r="AJ456" s="183"/>
      <c r="AZ456" s="3"/>
      <c r="BA456" s="3"/>
      <c r="BB456" s="3"/>
      <c r="BC456" s="3"/>
    </row>
    <row r="457" spans="1:55" ht="13" customHeight="1">
      <c r="D457" s="177"/>
      <c r="E457" s="177"/>
      <c r="F457" s="1374"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51</v>
      </c>
      <c r="X470" s="1392"/>
      <c r="Y470" s="1393"/>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1"/>
      <c r="H474" s="1672"/>
      <c r="I474" s="1672"/>
      <c r="J474" s="1672"/>
      <c r="K474" s="1672"/>
      <c r="L474" s="1672"/>
      <c r="M474" s="1672"/>
      <c r="N474" s="1672"/>
      <c r="O474" s="1672"/>
      <c r="P474" s="1672"/>
      <c r="Q474" s="1672"/>
      <c r="R474" s="1672"/>
      <c r="S474" s="1672"/>
      <c r="T474" s="1672"/>
      <c r="U474" s="1672"/>
      <c r="V474" s="1673"/>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3"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2692</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2693</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2693</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3" t="s">
        <v>397</v>
      </c>
      <c r="C489" s="1454"/>
      <c r="D489" s="1454"/>
      <c r="E489" s="1454"/>
      <c r="F489" s="1454"/>
      <c r="G489" s="1454"/>
      <c r="H489" s="1454"/>
      <c r="I489" s="1454"/>
      <c r="J489" s="1454"/>
      <c r="K489" s="1454"/>
      <c r="L489" s="1454"/>
      <c r="M489" s="1454"/>
      <c r="N489" s="1454"/>
      <c r="O489" s="1454"/>
      <c r="P489" s="1455"/>
      <c r="Q489" s="1459" t="s">
        <v>669</v>
      </c>
      <c r="R489" s="1460"/>
      <c r="S489" s="1568" t="s">
        <v>166</v>
      </c>
      <c r="T489" s="1569"/>
      <c r="U489" s="1569"/>
      <c r="V489" s="1569"/>
      <c r="W489" s="1569"/>
      <c r="X489" s="1569"/>
      <c r="Y489" s="1569"/>
      <c r="Z489" s="1569"/>
      <c r="AA489" s="1569"/>
      <c r="AB489" s="1569"/>
      <c r="AC489" s="1569"/>
      <c r="AD489" s="1569"/>
      <c r="AE489" s="1569"/>
      <c r="AF489" s="1569"/>
      <c r="AG489" s="1569"/>
      <c r="AH489" s="1569"/>
      <c r="AI489" s="1569"/>
      <c r="AJ489" s="1569"/>
      <c r="AK489" s="1570"/>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1"/>
      <c r="T490" s="1529"/>
      <c r="U490" s="1529"/>
      <c r="V490" s="1529"/>
      <c r="W490" s="1529"/>
      <c r="X490" s="1529"/>
      <c r="Y490" s="1529"/>
      <c r="Z490" s="1529"/>
      <c r="AA490" s="1529"/>
      <c r="AB490" s="1529"/>
      <c r="AC490" s="1529"/>
      <c r="AD490" s="1529"/>
      <c r="AE490" s="1529"/>
      <c r="AF490" s="1529"/>
      <c r="AG490" s="1529"/>
      <c r="AH490" s="1529"/>
      <c r="AI490" s="1529"/>
      <c r="AJ490" s="1529"/>
      <c r="AK490" s="1572"/>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2694</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t="s">
        <v>2695</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0">
        <v>178</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1669</v>
      </c>
      <c r="C495" s="5"/>
      <c r="D495" s="5"/>
      <c r="E495" s="5"/>
      <c r="F495" s="5"/>
      <c r="G495" s="5"/>
      <c r="H495" s="5"/>
      <c r="I495" s="5"/>
      <c r="J495" s="5"/>
      <c r="K495" s="5"/>
      <c r="L495" s="5"/>
      <c r="M495" s="1381">
        <v>88</v>
      </c>
      <c r="N495" s="1382"/>
      <c r="O495" s="1382"/>
      <c r="P495" s="1383"/>
      <c r="Q495" s="121" t="s">
        <v>1670</v>
      </c>
      <c r="R495" s="5"/>
      <c r="S495" s="5"/>
      <c r="T495" s="5"/>
      <c r="U495" s="5"/>
      <c r="V495" s="5"/>
      <c r="W495" s="5"/>
      <c r="X495" s="5"/>
      <c r="Y495" s="5"/>
      <c r="Z495" s="5"/>
      <c r="AA495" s="5"/>
      <c r="AB495" s="5"/>
      <c r="AC495" s="5"/>
      <c r="AD495" s="5"/>
      <c r="AE495" s="5"/>
      <c r="AF495" s="5"/>
      <c r="AG495" s="5"/>
      <c r="AH495" s="1381">
        <v>90</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6</v>
      </c>
      <c r="AD501" s="1390"/>
      <c r="AE501" s="1390"/>
      <c r="AF501" s="1390"/>
      <c r="AG501" s="13" t="s">
        <v>403</v>
      </c>
      <c r="AH501" s="1427">
        <v>2021</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8</v>
      </c>
      <c r="AD502" s="1390"/>
      <c r="AE502" s="1390"/>
      <c r="AF502" s="1390"/>
      <c r="AG502" s="38" t="s">
        <v>403</v>
      </c>
      <c r="AH502" s="1427">
        <v>2021</v>
      </c>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591</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591</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v>4</v>
      </c>
      <c r="AD505" s="1390"/>
      <c r="AE505" s="1390"/>
      <c r="AF505" s="1390"/>
      <c r="AG505" s="13" t="s">
        <v>403</v>
      </c>
      <c r="AH505" s="1427">
        <v>2021</v>
      </c>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5</v>
      </c>
      <c r="AD506" s="1390"/>
      <c r="AE506" s="1390"/>
      <c r="AF506" s="1390"/>
      <c r="AG506" s="13" t="s">
        <v>403</v>
      </c>
      <c r="AH506" s="1427">
        <v>2026</v>
      </c>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5</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5" t="s">
        <v>545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5">
        <v>2</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0">
        <v>0.75</v>
      </c>
      <c r="AD512" s="1451"/>
      <c r="AE512" s="1451"/>
      <c r="AF512" s="1452"/>
      <c r="AG512" s="38"/>
      <c r="AH512" s="1587"/>
      <c r="AI512" s="1587"/>
      <c r="AJ512" s="1587"/>
      <c r="AK512" s="1588"/>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4"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2104</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3" customHeight="1">
      <c r="B515" s="1399"/>
      <c r="C515" s="1400"/>
      <c r="D515" s="1400"/>
      <c r="E515" s="1400"/>
      <c r="F515" s="1400"/>
      <c r="G515" s="1400"/>
      <c r="H515" s="1401"/>
      <c r="I515" t="s">
        <v>416</v>
      </c>
      <c r="AC515" s="1389">
        <v>8</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2108</v>
      </c>
    </row>
    <row r="518" spans="2:66" ht="13" customHeight="1">
      <c r="B518" s="1399"/>
      <c r="C518" s="1400"/>
      <c r="D518" s="1400"/>
      <c r="E518" s="1400"/>
      <c r="F518" s="1400"/>
      <c r="G518" s="1400"/>
      <c r="H518" s="1401"/>
      <c r="I518" t="s">
        <v>416</v>
      </c>
      <c r="AC518" s="1389">
        <v>8</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2109</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2110</v>
      </c>
    </row>
    <row r="520" spans="2:66" ht="13" customHeight="1">
      <c r="B520" s="1396" t="s">
        <v>419</v>
      </c>
      <c r="C520" s="1397"/>
      <c r="D520" s="1397"/>
      <c r="E520" s="1397"/>
      <c r="F520" s="1397"/>
      <c r="G520" s="1397"/>
      <c r="H520" s="1398"/>
      <c r="I520" s="41" t="s">
        <v>420</v>
      </c>
      <c r="J520" s="42"/>
      <c r="K520" s="42"/>
      <c r="L520" s="42"/>
      <c r="M520" s="42"/>
      <c r="N520" s="42"/>
      <c r="O520" s="1433" t="s">
        <v>2698</v>
      </c>
      <c r="P520" s="1434"/>
      <c r="Q520" s="1434"/>
      <c r="R520" s="1434"/>
      <c r="S520" s="1434"/>
      <c r="T520" s="1434"/>
      <c r="U520" s="1434"/>
      <c r="V520" s="1434"/>
      <c r="W520" s="1434"/>
      <c r="X520" s="1434"/>
      <c r="Y520" s="1434"/>
      <c r="Z520" s="1434"/>
      <c r="AA520" s="1434"/>
      <c r="AB520" s="58"/>
      <c r="AC520" s="1355" t="s">
        <v>591</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2111</v>
      </c>
    </row>
    <row r="521" spans="2:66" ht="13" customHeight="1">
      <c r="B521" s="1399"/>
      <c r="C521" s="1400"/>
      <c r="D521" s="1400"/>
      <c r="E521" s="1400"/>
      <c r="F521" s="1400"/>
      <c r="G521" s="1400"/>
      <c r="H521" s="1401"/>
      <c r="I521" s="114" t="s">
        <v>421</v>
      </c>
      <c r="AB521" s="65"/>
      <c r="AC521" s="1389">
        <v>4</v>
      </c>
      <c r="AD521" s="1390"/>
      <c r="AE521" s="1390"/>
      <c r="AF521" s="1390"/>
      <c r="AG521" s="13" t="s">
        <v>403</v>
      </c>
      <c r="AH521" s="1427">
        <v>2021</v>
      </c>
      <c r="AI521" s="1427"/>
      <c r="AJ521" s="1427"/>
      <c r="AK521" s="1428"/>
      <c r="AZ521" s="3"/>
      <c r="BB521" s="3"/>
      <c r="BC521" s="3"/>
      <c r="BD521" s="3"/>
      <c r="BE521" s="3"/>
      <c r="BF521" s="3"/>
      <c r="BG521" s="3"/>
      <c r="BH521" s="3"/>
      <c r="BI521" s="3"/>
      <c r="BJ521" s="3"/>
      <c r="BK521" s="3"/>
      <c r="BL521" s="3"/>
      <c r="BM521" s="3"/>
      <c r="BN521" s="3" t="s">
        <v>2112</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11</v>
      </c>
      <c r="AD522" s="1390"/>
      <c r="AE522" s="1390"/>
      <c r="AF522" s="1390"/>
      <c r="AG522" s="38" t="s">
        <v>403</v>
      </c>
      <c r="AH522" s="1427">
        <v>2021</v>
      </c>
      <c r="AI522" s="1427"/>
      <c r="AJ522" s="1427"/>
      <c r="AK522" s="1428"/>
      <c r="AZ522" s="3"/>
      <c r="BA522" s="3"/>
      <c r="BB522" s="3"/>
      <c r="BC522" s="3"/>
      <c r="BD522" s="3"/>
      <c r="BE522" s="3"/>
      <c r="BF522" s="3"/>
      <c r="BG522" s="3"/>
      <c r="BH522" s="3"/>
      <c r="BI522" s="3"/>
      <c r="BJ522" s="3"/>
      <c r="BK522" s="3"/>
      <c r="BL522" s="3"/>
      <c r="BM522" s="3"/>
      <c r="BN522" s="3" t="s">
        <v>2113</v>
      </c>
    </row>
    <row r="523" spans="2:66" ht="13" customHeight="1">
      <c r="B523" s="1399"/>
      <c r="C523" s="1400"/>
      <c r="D523" s="1400"/>
      <c r="E523" s="1400"/>
      <c r="F523" s="1400"/>
      <c r="G523" s="1400"/>
      <c r="H523" s="1401"/>
      <c r="I523" s="42" t="s">
        <v>423</v>
      </c>
      <c r="J523" s="42"/>
      <c r="K523" s="42"/>
      <c r="L523" s="42"/>
      <c r="M523" s="42"/>
      <c r="N523" s="42"/>
      <c r="O523" s="1433" t="s">
        <v>2697</v>
      </c>
      <c r="P523" s="1434"/>
      <c r="Q523" s="1434"/>
      <c r="R523" s="1434"/>
      <c r="S523" s="1434"/>
      <c r="T523" s="1434"/>
      <c r="U523" s="1434"/>
      <c r="V523" s="1434"/>
      <c r="W523" s="1434"/>
      <c r="X523" s="1434"/>
      <c r="Y523" s="1434"/>
      <c r="Z523" s="1434"/>
      <c r="AA523" s="1434"/>
      <c r="AC523" s="1389" t="s">
        <v>591</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3" customHeight="1">
      <c r="B524" s="1399"/>
      <c r="C524" s="1400"/>
      <c r="D524" s="1400"/>
      <c r="E524" s="1400"/>
      <c r="F524" s="1400"/>
      <c r="G524" s="1400"/>
      <c r="H524" s="1401"/>
      <c r="I524" t="s">
        <v>421</v>
      </c>
      <c r="AC524" s="1389">
        <v>5</v>
      </c>
      <c r="AD524" s="1390"/>
      <c r="AE524" s="1390"/>
      <c r="AF524" s="1390"/>
      <c r="AG524" s="13" t="s">
        <v>403</v>
      </c>
      <c r="AH524" s="1427">
        <v>2022</v>
      </c>
      <c r="AI524" s="1427"/>
      <c r="AJ524" s="1427"/>
      <c r="AK524" s="1428"/>
      <c r="AZ524" s="3"/>
      <c r="BA524" s="3"/>
      <c r="BB524" s="3"/>
      <c r="BC524" s="3"/>
      <c r="BD524" s="3"/>
      <c r="BE524" s="3"/>
      <c r="BF524" s="3"/>
      <c r="BG524" s="3"/>
      <c r="BH524" s="3"/>
      <c r="BI524" s="3"/>
      <c r="BJ524" s="3"/>
      <c r="BK524" s="3"/>
      <c r="BL524" s="3"/>
      <c r="BM524" s="3"/>
      <c r="BN524" s="3" t="s">
        <v>2115</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6</v>
      </c>
      <c r="AD525" s="1390"/>
      <c r="AE525" s="1390"/>
      <c r="AF525" s="1390"/>
      <c r="AG525" s="38" t="s">
        <v>403</v>
      </c>
      <c r="AH525" s="1427">
        <v>2022</v>
      </c>
      <c r="AI525" s="1427"/>
      <c r="AJ525" s="1427"/>
      <c r="AK525" s="1428"/>
      <c r="AZ525" s="3"/>
      <c r="BA525" s="3"/>
      <c r="BB525" s="3"/>
      <c r="BC525" s="3"/>
      <c r="BD525" s="3"/>
      <c r="BE525" s="3"/>
      <c r="BF525" s="3"/>
      <c r="BG525" s="3"/>
      <c r="BH525" s="3"/>
      <c r="BI525" s="3"/>
      <c r="BJ525" s="3"/>
      <c r="BK525" s="3"/>
      <c r="BL525" s="3"/>
      <c r="BM525" s="3"/>
      <c r="BN525" s="3" t="s">
        <v>2116</v>
      </c>
    </row>
    <row r="526" spans="2:66" ht="13" customHeight="1">
      <c r="B526" s="1399"/>
      <c r="C526" s="1400"/>
      <c r="D526" s="1400"/>
      <c r="E526" s="1400"/>
      <c r="F526" s="1400"/>
      <c r="G526" s="1400"/>
      <c r="H526" s="1401"/>
      <c r="I526" s="42" t="s">
        <v>423</v>
      </c>
      <c r="J526" s="42"/>
      <c r="K526" s="42"/>
      <c r="L526" s="42"/>
      <c r="M526" s="42"/>
      <c r="N526" s="42"/>
      <c r="O526" s="1433" t="s">
        <v>2696</v>
      </c>
      <c r="P526" s="1434"/>
      <c r="Q526" s="1434"/>
      <c r="R526" s="1434"/>
      <c r="S526" s="1434"/>
      <c r="T526" s="1434"/>
      <c r="U526" s="1434"/>
      <c r="V526" s="1434"/>
      <c r="W526" s="1434"/>
      <c r="X526" s="1434"/>
      <c r="Y526" s="1434"/>
      <c r="Z526" s="1434"/>
      <c r="AA526" s="1434"/>
      <c r="AC526" s="1389" t="s">
        <v>591</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3" customHeight="1">
      <c r="B527" s="1399"/>
      <c r="C527" s="1400"/>
      <c r="D527" s="1400"/>
      <c r="E527" s="1400"/>
      <c r="F527" s="1400"/>
      <c r="G527" s="1400"/>
      <c r="H527" s="1401"/>
      <c r="I527" t="s">
        <v>421</v>
      </c>
      <c r="AC527" s="1389">
        <v>9</v>
      </c>
      <c r="AD527" s="1390"/>
      <c r="AE527" s="1390"/>
      <c r="AF527" s="1390"/>
      <c r="AG527" s="13" t="s">
        <v>403</v>
      </c>
      <c r="AH527" s="1427">
        <v>2025</v>
      </c>
      <c r="AI527" s="1427"/>
      <c r="AJ527" s="1427"/>
      <c r="AK527" s="1428"/>
      <c r="AZ527" s="3"/>
      <c r="BA527" s="3"/>
      <c r="BB527" s="3"/>
      <c r="BC527" s="3"/>
      <c r="BD527" s="3"/>
      <c r="BE527" s="3"/>
      <c r="BF527" s="3"/>
      <c r="BG527" s="3"/>
      <c r="BH527" s="3"/>
      <c r="BI527" s="3"/>
      <c r="BJ527" s="3"/>
      <c r="BK527" s="3"/>
      <c r="BL527" s="3"/>
      <c r="BM527" s="3"/>
      <c r="BN527" s="3" t="s">
        <v>2118</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11</v>
      </c>
      <c r="AD528" s="1390"/>
      <c r="AE528" s="1390"/>
      <c r="AF528" s="1390"/>
      <c r="AG528" s="38" t="s">
        <v>403</v>
      </c>
      <c r="AH528" s="1427">
        <v>2025</v>
      </c>
      <c r="AI528" s="1427"/>
      <c r="AJ528" s="1427"/>
      <c r="AK528" s="1428"/>
      <c r="AZ528" s="3"/>
      <c r="BA528" s="3"/>
      <c r="BB528" s="3"/>
      <c r="BC528" s="3"/>
      <c r="BD528" s="3"/>
      <c r="BE528" s="3"/>
      <c r="BF528" s="3"/>
      <c r="BG528" s="3"/>
      <c r="BH528" s="3"/>
      <c r="BI528" s="3"/>
      <c r="BJ528" s="3"/>
      <c r="BK528" s="3"/>
      <c r="BL528" s="3"/>
      <c r="BM528" s="3"/>
      <c r="BN528" s="3" t="s">
        <v>2119</v>
      </c>
    </row>
    <row r="529" spans="1:66" ht="13" customHeight="1">
      <c r="B529" s="1399"/>
      <c r="C529" s="1400"/>
      <c r="D529" s="1400"/>
      <c r="E529" s="1400"/>
      <c r="F529" s="1400"/>
      <c r="G529" s="1400"/>
      <c r="H529" s="1401"/>
      <c r="I529" s="42" t="s">
        <v>423</v>
      </c>
      <c r="J529" s="42"/>
      <c r="K529" s="42"/>
      <c r="L529" s="42"/>
      <c r="M529" s="42"/>
      <c r="N529" s="42"/>
      <c r="O529" s="1433" t="s">
        <v>2757</v>
      </c>
      <c r="P529" s="1434"/>
      <c r="Q529" s="1434"/>
      <c r="R529" s="1434"/>
      <c r="S529" s="1434"/>
      <c r="T529" s="1434"/>
      <c r="U529" s="1434"/>
      <c r="V529" s="1434"/>
      <c r="W529" s="1434"/>
      <c r="X529" s="1434"/>
      <c r="Y529" s="1434"/>
      <c r="Z529" s="1434"/>
      <c r="AA529" s="1434"/>
      <c r="AC529" s="1389" t="s">
        <v>591</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3" customHeight="1">
      <c r="B530" s="1399"/>
      <c r="C530" s="1400"/>
      <c r="D530" s="1400"/>
      <c r="E530" s="1400"/>
      <c r="F530" s="1400"/>
      <c r="G530" s="1400"/>
      <c r="H530" s="1401"/>
      <c r="I530" t="s">
        <v>421</v>
      </c>
      <c r="AC530" s="1389">
        <v>7</v>
      </c>
      <c r="AD530" s="1390"/>
      <c r="AE530" s="1390"/>
      <c r="AF530" s="1390"/>
      <c r="AG530" s="13" t="s">
        <v>403</v>
      </c>
      <c r="AH530" s="1427">
        <v>2024</v>
      </c>
      <c r="AI530" s="1427"/>
      <c r="AJ530" s="1427"/>
      <c r="AK530" s="1428"/>
      <c r="AZ530" s="3"/>
      <c r="BA530" s="3"/>
      <c r="BB530" s="3"/>
      <c r="BC530" s="3"/>
      <c r="BD530" s="3"/>
      <c r="BE530" s="3"/>
      <c r="BF530" s="3"/>
      <c r="BG530" s="3"/>
      <c r="BH530" s="3"/>
      <c r="BI530" s="3"/>
      <c r="BJ530" s="3"/>
      <c r="BK530" s="3"/>
      <c r="BL530" s="3"/>
      <c r="BM530" s="3"/>
      <c r="BN530" s="3" t="s">
        <v>2121</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v>11</v>
      </c>
      <c r="AD531" s="1390"/>
      <c r="AE531" s="1390"/>
      <c r="AF531" s="1390"/>
      <c r="AG531" s="38" t="s">
        <v>403</v>
      </c>
      <c r="AH531" s="1427">
        <v>2025</v>
      </c>
      <c r="AI531" s="1427"/>
      <c r="AJ531" s="1427"/>
      <c r="AK531" s="1428"/>
      <c r="AZ531" s="3"/>
      <c r="BA531" s="3"/>
      <c r="BB531" s="3"/>
      <c r="BC531" s="3"/>
      <c r="BD531" s="3"/>
      <c r="BE531" s="3"/>
      <c r="BF531" s="3"/>
      <c r="BG531" s="3"/>
      <c r="BH531" s="3"/>
      <c r="BI531" s="3"/>
      <c r="BJ531" s="3"/>
      <c r="BK531" s="3"/>
      <c r="BL531" s="3"/>
      <c r="BM531" s="3"/>
      <c r="BN531" s="3" t="s">
        <v>2122</v>
      </c>
    </row>
    <row r="532" spans="1:66" ht="13"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591</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3" customHeight="1">
      <c r="B533" s="1399"/>
      <c r="C533" s="1400"/>
      <c r="D533" s="1400"/>
      <c r="E533" s="1400"/>
      <c r="F533" s="1400"/>
      <c r="G533" s="1400"/>
      <c r="H533" s="1401"/>
      <c r="I533" t="s">
        <v>421</v>
      </c>
      <c r="AC533" s="1389" t="s">
        <v>591</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3"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591</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3" customHeight="1">
      <c r="B536" s="1399"/>
      <c r="C536" s="1400"/>
      <c r="D536" s="1400"/>
      <c r="E536" s="1400"/>
      <c r="F536" s="1400"/>
      <c r="G536" s="1400"/>
      <c r="H536" s="1401"/>
      <c r="I536" t="s">
        <v>421</v>
      </c>
      <c r="AC536" s="1389" t="s">
        <v>591</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3"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11</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563</v>
      </c>
      <c r="AC539" s="1389">
        <v>5</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564</v>
      </c>
      <c r="AC540" s="1389">
        <v>1</v>
      </c>
      <c r="AD540" s="1390"/>
      <c r="AE540" s="1390"/>
      <c r="AF540" s="1390"/>
      <c r="AG540" s="38" t="s">
        <v>403</v>
      </c>
      <c r="AH540" s="1427">
        <v>2028</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565</v>
      </c>
      <c r="AC541" s="1389">
        <v>1</v>
      </c>
      <c r="AD541" s="1390"/>
      <c r="AE541" s="1390"/>
      <c r="AF541" s="1390"/>
      <c r="AG541" s="38" t="s">
        <v>403</v>
      </c>
      <c r="AH541" s="1427">
        <v>2028</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4</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3"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39" t="s">
        <v>2699</v>
      </c>
      <c r="D554" s="1439"/>
      <c r="E554" s="1439"/>
      <c r="F554" s="1439"/>
      <c r="G554" s="1439"/>
      <c r="H554" s="1439"/>
      <c r="I554" s="1439"/>
      <c r="J554" s="1439"/>
      <c r="K554" s="1439"/>
      <c r="L554" s="1439"/>
      <c r="M554" s="1439" t="s">
        <v>2119</v>
      </c>
      <c r="N554" s="1439"/>
      <c r="O554" s="1439"/>
      <c r="P554" s="1439"/>
      <c r="Q554" s="1425">
        <v>26</v>
      </c>
      <c r="R554" s="1425"/>
      <c r="S554" s="1426"/>
      <c r="T554" s="1424"/>
      <c r="U554" s="1425"/>
      <c r="V554" s="1426"/>
      <c r="W554" s="1421">
        <f>[1]budgets!$D$18</f>
        <v>7.0000000000000007E-2</v>
      </c>
      <c r="X554" s="1422"/>
      <c r="Y554" s="1423"/>
      <c r="Z554" s="1430" t="s">
        <v>2730</v>
      </c>
      <c r="AA554" s="1430"/>
      <c r="AB554" s="1430"/>
      <c r="AC554" s="1430"/>
      <c r="AD554" s="1430"/>
      <c r="AE554" s="1412">
        <v>1</v>
      </c>
      <c r="AF554" s="1413"/>
      <c r="AG554" s="1413"/>
      <c r="AH554" s="1414"/>
      <c r="AI554" s="1436"/>
      <c r="AJ554" s="1437"/>
      <c r="AK554" s="1437"/>
      <c r="AL554" s="1438"/>
      <c r="AM554" s="1465">
        <f>[1]budgets!$B$18</f>
        <v>15448918.328221949</v>
      </c>
      <c r="AN554" s="1466"/>
      <c r="AO554" s="1466"/>
      <c r="AP554" s="1466"/>
      <c r="AQ554" s="1466"/>
      <c r="AR554" s="1466"/>
      <c r="AS554" s="1467"/>
      <c r="AT554" s="1148"/>
      <c r="AU554" s="1147"/>
      <c r="BB554" s="3"/>
      <c r="BC554" s="3"/>
      <c r="BD554" s="3"/>
      <c r="BE554" s="3"/>
      <c r="BF554" s="3"/>
      <c r="BG554" s="3"/>
      <c r="BH554" s="3"/>
      <c r="BI554" s="3"/>
    </row>
    <row r="555" spans="1:61" ht="13" customHeight="1">
      <c r="B555" s="52" t="s">
        <v>113</v>
      </c>
      <c r="C555" s="1440" t="s">
        <v>2699</v>
      </c>
      <c r="D555" s="1440"/>
      <c r="E555" s="1440"/>
      <c r="F555" s="1440"/>
      <c r="G555" s="1440"/>
      <c r="H555" s="1440"/>
      <c r="I555" s="1440"/>
      <c r="J555" s="1440"/>
      <c r="K555" s="1440"/>
      <c r="L555" s="1440"/>
      <c r="M555" s="1439" t="s">
        <v>2118</v>
      </c>
      <c r="N555" s="1439"/>
      <c r="O555" s="1439"/>
      <c r="P555" s="1439"/>
      <c r="Q555" s="1424">
        <v>26</v>
      </c>
      <c r="R555" s="1425"/>
      <c r="S555" s="1426"/>
      <c r="T555" s="1424"/>
      <c r="U555" s="1425"/>
      <c r="V555" s="1426"/>
      <c r="W555" s="1421">
        <f>[1]budgets!$D$18</f>
        <v>7.0000000000000007E-2</v>
      </c>
      <c r="X555" s="1422"/>
      <c r="Y555" s="1423"/>
      <c r="Z555" s="1430" t="s">
        <v>2730</v>
      </c>
      <c r="AA555" s="1430"/>
      <c r="AB555" s="1430"/>
      <c r="AC555" s="1430"/>
      <c r="AD555" s="1430"/>
      <c r="AE555" s="1412">
        <v>1</v>
      </c>
      <c r="AF555" s="1413"/>
      <c r="AG555" s="1413"/>
      <c r="AH555" s="1414"/>
      <c r="AI555" s="1436"/>
      <c r="AJ555" s="1437"/>
      <c r="AK555" s="1437"/>
      <c r="AL555" s="1438"/>
      <c r="AM555" s="1465">
        <f>[1]budgets!$B$19</f>
        <v>18605705.78095983</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3" customHeight="1">
      <c r="B556" s="52" t="s">
        <v>119</v>
      </c>
      <c r="C556" s="1440" t="s">
        <v>2698</v>
      </c>
      <c r="D556" s="1440"/>
      <c r="E556" s="1440"/>
      <c r="F556" s="1440"/>
      <c r="G556" s="1440"/>
      <c r="H556" s="1440"/>
      <c r="I556" s="1440"/>
      <c r="J556" s="1440"/>
      <c r="K556" s="1440"/>
      <c r="L556" s="1440"/>
      <c r="M556" s="1439" t="s">
        <v>2115</v>
      </c>
      <c r="N556" s="1439"/>
      <c r="O556" s="1439"/>
      <c r="P556" s="1439"/>
      <c r="Q556" s="1424">
        <v>660</v>
      </c>
      <c r="R556" s="1425"/>
      <c r="S556" s="1426"/>
      <c r="T556" s="1424"/>
      <c r="U556" s="1425"/>
      <c r="V556" s="1426"/>
      <c r="W556" s="1421">
        <v>0.03</v>
      </c>
      <c r="X556" s="1422"/>
      <c r="Y556" s="1423"/>
      <c r="Z556" s="1430" t="s">
        <v>2702</v>
      </c>
      <c r="AA556" s="1430"/>
      <c r="AB556" s="1430"/>
      <c r="AC556" s="1430"/>
      <c r="AD556" s="1430"/>
      <c r="AE556" s="1412">
        <v>2</v>
      </c>
      <c r="AF556" s="1413"/>
      <c r="AG556" s="1413"/>
      <c r="AH556" s="1414"/>
      <c r="AI556" s="1436"/>
      <c r="AJ556" s="1437"/>
      <c r="AK556" s="1437"/>
      <c r="AL556" s="1438"/>
      <c r="AM556" s="1465">
        <f>[1]budgets!$C$9</f>
        <v>10000000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3" customHeight="1">
      <c r="B557" s="52" t="s">
        <v>581</v>
      </c>
      <c r="C557" s="1440" t="s">
        <v>2697</v>
      </c>
      <c r="D557" s="1440"/>
      <c r="E557" s="1440"/>
      <c r="F557" s="1440"/>
      <c r="G557" s="1440"/>
      <c r="H557" s="1440"/>
      <c r="I557" s="1440"/>
      <c r="J557" s="1440"/>
      <c r="K557" s="1440"/>
      <c r="L557" s="1440"/>
      <c r="M557" s="1439" t="s">
        <v>2115</v>
      </c>
      <c r="N557" s="1439"/>
      <c r="O557" s="1439"/>
      <c r="P557" s="1439"/>
      <c r="Q557" s="1424">
        <v>660</v>
      </c>
      <c r="R557" s="1425"/>
      <c r="S557" s="1426"/>
      <c r="T557" s="1424"/>
      <c r="U557" s="1425"/>
      <c r="V557" s="1426"/>
      <c r="W557" s="1421">
        <v>0.03</v>
      </c>
      <c r="X557" s="1422"/>
      <c r="Y557" s="1423"/>
      <c r="Z557" s="1430" t="s">
        <v>2702</v>
      </c>
      <c r="AA557" s="1430"/>
      <c r="AB557" s="1430"/>
      <c r="AC557" s="1430"/>
      <c r="AD557" s="1430"/>
      <c r="AE557" s="1412">
        <v>3</v>
      </c>
      <c r="AF557" s="1413"/>
      <c r="AG557" s="1413"/>
      <c r="AH557" s="1414"/>
      <c r="AI557" s="1436"/>
      <c r="AJ557" s="1437"/>
      <c r="AK557" s="1437"/>
      <c r="AL557" s="1438"/>
      <c r="AM557" s="1465">
        <f>[1]budgets!$C$10</f>
        <v>7000000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3" customHeight="1">
      <c r="B558" s="52" t="s">
        <v>763</v>
      </c>
      <c r="C558" s="1440" t="s">
        <v>2700</v>
      </c>
      <c r="D558" s="1440"/>
      <c r="E558" s="1440"/>
      <c r="F558" s="1440"/>
      <c r="G558" s="1440"/>
      <c r="H558" s="1440"/>
      <c r="I558" s="1440"/>
      <c r="J558" s="1440"/>
      <c r="K558" s="1440"/>
      <c r="L558" s="1440"/>
      <c r="M558" s="1439" t="s">
        <v>2126</v>
      </c>
      <c r="N558" s="1439"/>
      <c r="O558" s="1439"/>
      <c r="P558" s="1439"/>
      <c r="Q558" s="1424"/>
      <c r="R558" s="1425"/>
      <c r="S558" s="1426"/>
      <c r="T558" s="1424"/>
      <c r="U558" s="1425"/>
      <c r="V558" s="1426"/>
      <c r="W558" s="1421"/>
      <c r="X558" s="1422"/>
      <c r="Y558" s="1423"/>
      <c r="Z558" s="1430" t="s">
        <v>1184</v>
      </c>
      <c r="AA558" s="1430"/>
      <c r="AB558" s="1430"/>
      <c r="AC558" s="1430"/>
      <c r="AD558" s="1430"/>
      <c r="AE558" s="1412"/>
      <c r="AF558" s="1413"/>
      <c r="AG558" s="1413"/>
      <c r="AH558" s="1414"/>
      <c r="AI558" s="1436"/>
      <c r="AJ558" s="1437"/>
      <c r="AK558" s="1437"/>
      <c r="AL558" s="1438"/>
      <c r="AM558" s="1465">
        <f>[1]budgets!$C$25</f>
        <v>355000</v>
      </c>
      <c r="AN558" s="1466"/>
      <c r="AO558" s="1466"/>
      <c r="AP558" s="1466"/>
      <c r="AQ558" s="1466"/>
      <c r="AR558" s="1466"/>
      <c r="AS558" s="1467"/>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440" t="s">
        <v>2701</v>
      </c>
      <c r="D559" s="1440"/>
      <c r="E559" s="1440"/>
      <c r="F559" s="1440"/>
      <c r="G559" s="1440"/>
      <c r="H559" s="1440"/>
      <c r="I559" s="1440"/>
      <c r="J559" s="1440"/>
      <c r="K559" s="1440"/>
      <c r="L559" s="1440"/>
      <c r="M559" s="1439" t="s">
        <v>2110</v>
      </c>
      <c r="N559" s="1439"/>
      <c r="O559" s="1439"/>
      <c r="P559" s="1439"/>
      <c r="Q559" s="1424"/>
      <c r="R559" s="1425"/>
      <c r="S559" s="1426"/>
      <c r="T559" s="1424"/>
      <c r="U559" s="1425"/>
      <c r="V559" s="1426"/>
      <c r="W559" s="1421"/>
      <c r="X559" s="1422"/>
      <c r="Y559" s="1423"/>
      <c r="Z559" s="1430" t="s">
        <v>1184</v>
      </c>
      <c r="AA559" s="1430"/>
      <c r="AB559" s="1430"/>
      <c r="AC559" s="1430"/>
      <c r="AD559" s="1430"/>
      <c r="AE559" s="1412"/>
      <c r="AF559" s="1413"/>
      <c r="AG559" s="1413"/>
      <c r="AH559" s="1414"/>
      <c r="AI559" s="1436"/>
      <c r="AJ559" s="1437"/>
      <c r="AK559" s="1437"/>
      <c r="AL559" s="1438"/>
      <c r="AM559" s="1465">
        <f>[1]budgets!$C$13*0.1-[1]budgets!$C$105</f>
        <v>3029154.8867229391</v>
      </c>
      <c r="AN559" s="1466"/>
      <c r="AO559" s="1466"/>
      <c r="AP559" s="1466"/>
      <c r="AQ559" s="1466"/>
      <c r="AR559" s="1466"/>
      <c r="AS559" s="1467"/>
      <c r="AT559" s="1148" t="str">
        <f t="shared" si="0"/>
        <v/>
      </c>
      <c r="AU559" s="1147"/>
      <c r="BB559" s="3"/>
      <c r="BC559" s="3"/>
      <c r="BD559" s="3"/>
      <c r="BE559" s="3"/>
      <c r="BF559" s="3"/>
      <c r="BG559" s="3"/>
      <c r="BH559" s="3" t="s">
        <v>584</v>
      </c>
      <c r="BI559" s="3" t="str">
        <f>AG665</f>
        <v>No</v>
      </c>
    </row>
    <row r="560" spans="1:61" ht="13" customHeight="1">
      <c r="B560" s="52" t="s">
        <v>455</v>
      </c>
      <c r="C560" s="1440" t="s">
        <v>2734</v>
      </c>
      <c r="D560" s="1440"/>
      <c r="E560" s="1440"/>
      <c r="F560" s="1440"/>
      <c r="G560" s="1440"/>
      <c r="H560" s="1440"/>
      <c r="I560" s="1440"/>
      <c r="J560" s="1440"/>
      <c r="K560" s="1440"/>
      <c r="L560" s="1440"/>
      <c r="M560" s="1439" t="s">
        <v>2109</v>
      </c>
      <c r="N560" s="1439"/>
      <c r="O560" s="1439"/>
      <c r="P560" s="1439"/>
      <c r="Q560" s="1424"/>
      <c r="R560" s="1425"/>
      <c r="S560" s="1426"/>
      <c r="T560" s="1424"/>
      <c r="U560" s="1425"/>
      <c r="V560" s="1426"/>
      <c r="W560" s="1421"/>
      <c r="X560" s="1422"/>
      <c r="Y560" s="1423"/>
      <c r="Z560" s="1430" t="s">
        <v>1184</v>
      </c>
      <c r="AA560" s="1430"/>
      <c r="AB560" s="1430"/>
      <c r="AC560" s="1430"/>
      <c r="AD560" s="1430"/>
      <c r="AE560" s="1412"/>
      <c r="AF560" s="1413"/>
      <c r="AG560" s="1413"/>
      <c r="AH560" s="1414"/>
      <c r="AI560" s="1436"/>
      <c r="AJ560" s="1437"/>
      <c r="AK560" s="1437"/>
      <c r="AL560" s="1438"/>
      <c r="AM560" s="1465">
        <f>[1]budgets!$C$12</f>
        <v>100</v>
      </c>
      <c r="AN560" s="1466"/>
      <c r="AO560" s="1466"/>
      <c r="AP560" s="1466"/>
      <c r="AQ560" s="1466"/>
      <c r="AR560" s="1466"/>
      <c r="AS560" s="1467"/>
      <c r="AT560" s="1148" t="str">
        <f t="shared" si="0"/>
        <v/>
      </c>
      <c r="AU560" s="1147"/>
      <c r="BB560" s="3"/>
      <c r="BC560" s="3"/>
      <c r="BD560" s="3"/>
      <c r="BE560" s="3"/>
      <c r="BF560" s="3"/>
      <c r="BG560" s="3"/>
      <c r="BH560" s="3"/>
      <c r="BI560" s="3"/>
    </row>
    <row r="561" spans="1:61" ht="13" customHeight="1">
      <c r="B561" s="52" t="s">
        <v>456</v>
      </c>
      <c r="C561" s="1440"/>
      <c r="D561" s="1440"/>
      <c r="E561" s="1440"/>
      <c r="F561" s="1440"/>
      <c r="G561" s="1440"/>
      <c r="H561" s="1440"/>
      <c r="I561" s="1440"/>
      <c r="J561" s="1440"/>
      <c r="K561" s="1440"/>
      <c r="L561" s="1440"/>
      <c r="M561" s="1439" t="s">
        <v>1184</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3" customHeight="1">
      <c r="B562" s="52" t="s">
        <v>461</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3"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3"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54438878.995904714</v>
      </c>
      <c r="AN566" s="1473"/>
      <c r="AO566" s="1473"/>
      <c r="AP566" s="1473"/>
      <c r="AQ566" s="1473"/>
      <c r="AR566" s="1473"/>
      <c r="AS566" s="1474"/>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3" t="str">
        <f>C554</f>
        <v>Bank of America, N.A.</v>
      </c>
      <c r="H568" s="1483"/>
      <c r="I568" s="1483"/>
      <c r="J568" s="1483"/>
      <c r="K568" s="1483"/>
      <c r="L568" s="1483"/>
      <c r="M568" s="1483"/>
      <c r="N568" s="1483"/>
      <c r="O568" s="1483"/>
      <c r="P568" s="1483"/>
      <c r="Q568" s="1483"/>
      <c r="R568" s="1483"/>
      <c r="S568" s="8"/>
      <c r="T568" s="55" t="s">
        <v>113</v>
      </c>
      <c r="U568" t="s">
        <v>463</v>
      </c>
      <c r="Z568" s="1483" t="str">
        <f>C555</f>
        <v>Bank of America, N.A.</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 customHeight="1">
      <c r="A569" s="22"/>
      <c r="B569" t="s">
        <v>85</v>
      </c>
      <c r="G569" s="1407" t="s">
        <v>2705</v>
      </c>
      <c r="H569" s="1407"/>
      <c r="I569" s="1407"/>
      <c r="J569" s="1407"/>
      <c r="K569" s="1407"/>
      <c r="L569" s="1407"/>
      <c r="M569" s="1407"/>
      <c r="N569" s="1407"/>
      <c r="O569" s="1407"/>
      <c r="P569" s="1407"/>
      <c r="Q569" s="1407"/>
      <c r="R569" s="1407"/>
      <c r="S569" s="8"/>
      <c r="T569" s="22"/>
      <c r="U569" t="s">
        <v>85</v>
      </c>
      <c r="Z569" s="1407" t="s">
        <v>2705</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580</v>
      </c>
      <c r="G570" s="1407" t="s">
        <v>2703</v>
      </c>
      <c r="H570" s="1407"/>
      <c r="I570" s="1407"/>
      <c r="J570" s="1407"/>
      <c r="K570" s="1407"/>
      <c r="L570" s="1407"/>
      <c r="M570" s="1407"/>
      <c r="N570" s="1407"/>
      <c r="O570" s="1407"/>
      <c r="P570" s="1407"/>
      <c r="Q570" s="1407"/>
      <c r="R570" s="1407"/>
      <c r="T570" s="22"/>
      <c r="U570" t="s">
        <v>580</v>
      </c>
      <c r="Z570" s="1371" t="s">
        <v>2703</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2704</v>
      </c>
      <c r="H571" s="1407"/>
      <c r="I571" s="1407"/>
      <c r="J571" s="1407"/>
      <c r="K571" s="1407"/>
      <c r="L571" s="1407"/>
      <c r="M571" s="1407"/>
      <c r="N571" s="1407"/>
      <c r="O571" s="1407"/>
      <c r="P571" s="1407"/>
      <c r="Q571" s="1407"/>
      <c r="R571" s="1407"/>
      <c r="S571" s="8"/>
      <c r="T571" s="22"/>
      <c r="U571" t="s">
        <v>17</v>
      </c>
      <c r="Z571" s="1371" t="s">
        <v>2704</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487">
        <v>2136217514</v>
      </c>
      <c r="H572" s="1487"/>
      <c r="I572" s="1487"/>
      <c r="J572" s="1487"/>
      <c r="K572" s="1487"/>
      <c r="L572" s="1487"/>
      <c r="O572" s="33" t="s">
        <v>206</v>
      </c>
      <c r="P572" s="1471"/>
      <c r="Q572" s="1471"/>
      <c r="R572" s="1471"/>
      <c r="S572" s="10"/>
      <c r="T572" s="22"/>
      <c r="U572" t="s">
        <v>316</v>
      </c>
      <c r="Z572" s="1487">
        <v>2136217514</v>
      </c>
      <c r="AA572" s="1487"/>
      <c r="AB572" s="1487"/>
      <c r="AC572" s="1487"/>
      <c r="AD572" s="1487"/>
      <c r="AE572" s="1487"/>
      <c r="AH572" s="33" t="s">
        <v>206</v>
      </c>
      <c r="AI572" s="1471"/>
      <c r="AJ572" s="1471"/>
      <c r="AK572" s="1471"/>
      <c r="BB572" s="3"/>
      <c r="BC572" s="3"/>
      <c r="BD572" s="3"/>
      <c r="BE572" s="3"/>
      <c r="BF572" s="3"/>
      <c r="BG572" s="3"/>
      <c r="BH572" s="3"/>
      <c r="BI572" s="3"/>
    </row>
    <row r="573" spans="1:61" ht="13" customHeight="1">
      <c r="A573" s="22"/>
      <c r="B573" t="s">
        <v>18</v>
      </c>
      <c r="H573" s="1407" t="s">
        <v>2119</v>
      </c>
      <c r="I573" s="1407"/>
      <c r="J573" s="1407"/>
      <c r="K573" s="1407"/>
      <c r="L573" s="1407"/>
      <c r="M573" s="1407"/>
      <c r="N573" s="1407"/>
      <c r="O573" s="1407"/>
      <c r="P573" s="1407"/>
      <c r="Q573" s="1407"/>
      <c r="R573" s="1407"/>
      <c r="S573" s="8"/>
      <c r="T573" s="22"/>
      <c r="U573" t="s">
        <v>18</v>
      </c>
      <c r="AA573" s="1407" t="s">
        <v>2118</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0" t="s">
        <v>1185</v>
      </c>
      <c r="H574" s="8"/>
      <c r="I574" s="8"/>
      <c r="J574" s="8"/>
      <c r="K574" s="8"/>
      <c r="L574" s="8"/>
      <c r="M574" s="1599" t="s">
        <v>2731</v>
      </c>
      <c r="N574" s="1599"/>
      <c r="O574" s="1599"/>
      <c r="P574" s="1599"/>
      <c r="Q574" s="1599"/>
      <c r="R574" s="1599"/>
      <c r="S574" s="8"/>
      <c r="T574" s="22"/>
      <c r="U574" s="320" t="s">
        <v>1185</v>
      </c>
      <c r="AA574" s="8"/>
      <c r="AB574" s="8"/>
      <c r="AC574" s="8"/>
      <c r="AD574" s="8"/>
      <c r="AE574" s="8"/>
      <c r="AF574" s="1599" t="s">
        <v>2731</v>
      </c>
      <c r="AG574" s="1599"/>
      <c r="AH574" s="1599"/>
      <c r="AI574" s="1599"/>
      <c r="AJ574" s="1599"/>
      <c r="AK574" s="1599"/>
      <c r="BB574" s="3"/>
      <c r="BC574" s="3"/>
      <c r="BD574" s="3"/>
      <c r="BE574" s="3"/>
      <c r="BF574" s="3"/>
      <c r="BG574" s="3"/>
      <c r="BH574" s="3"/>
      <c r="BI574" s="3"/>
    </row>
    <row r="575" spans="1:61" ht="13" customHeight="1">
      <c r="A575" s="22"/>
      <c r="B575" t="s">
        <v>20</v>
      </c>
      <c r="N575" s="1415" t="s">
        <v>545</v>
      </c>
      <c r="O575" s="1415"/>
      <c r="T575" s="22"/>
      <c r="U575" t="s">
        <v>20</v>
      </c>
      <c r="AG575" s="1415" t="s">
        <v>545</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3" t="str">
        <f>C556</f>
        <v>HCD Joe Serna, Jr. FWHG</v>
      </c>
      <c r="H577" s="1483"/>
      <c r="I577" s="1483"/>
      <c r="J577" s="1483"/>
      <c r="K577" s="1483"/>
      <c r="L577" s="1483"/>
      <c r="M577" s="1483"/>
      <c r="N577" s="1483"/>
      <c r="O577" s="1483"/>
      <c r="P577" s="1483"/>
      <c r="Q577" s="1483"/>
      <c r="R577" s="1483"/>
      <c r="T577" s="55" t="s">
        <v>581</v>
      </c>
      <c r="U577" t="s">
        <v>463</v>
      </c>
      <c r="Z577" s="1483" t="str">
        <f>C557</f>
        <v>County of Riverside PLHA</v>
      </c>
      <c r="AA577" s="1483"/>
      <c r="AB577" s="1483"/>
      <c r="AC577" s="1483"/>
      <c r="AD577" s="1483"/>
      <c r="AE577" s="1483"/>
      <c r="AF577" s="1483"/>
      <c r="AG577" s="1483"/>
      <c r="AH577" s="1483"/>
      <c r="AI577" s="1483"/>
      <c r="AJ577" s="1483"/>
      <c r="AK577" s="1483"/>
      <c r="BB577" s="3"/>
      <c r="BC577" s="3"/>
    </row>
    <row r="578" spans="1:55" ht="13" customHeight="1">
      <c r="A578" s="22"/>
      <c r="B578" t="s">
        <v>85</v>
      </c>
      <c r="G578" s="1407" t="s">
        <v>2706</v>
      </c>
      <c r="H578" s="1407"/>
      <c r="I578" s="1407"/>
      <c r="J578" s="1407"/>
      <c r="K578" s="1407"/>
      <c r="L578" s="1407"/>
      <c r="M578" s="1407"/>
      <c r="N578" s="1407"/>
      <c r="O578" s="1407"/>
      <c r="P578" s="1407"/>
      <c r="Q578" s="1407"/>
      <c r="R578" s="1407"/>
      <c r="T578" s="22"/>
      <c r="U578" t="s">
        <v>85</v>
      </c>
      <c r="Z578" s="1407" t="s">
        <v>2709</v>
      </c>
      <c r="AA578" s="1407"/>
      <c r="AB578" s="1407"/>
      <c r="AC578" s="1407"/>
      <c r="AD578" s="1407"/>
      <c r="AE578" s="1407"/>
      <c r="AF578" s="1407"/>
      <c r="AG578" s="1407"/>
      <c r="AH578" s="1407"/>
      <c r="AI578" s="1407"/>
      <c r="AJ578" s="1407"/>
      <c r="AK578" s="1407"/>
      <c r="BB578" s="3"/>
      <c r="BC578" s="3"/>
    </row>
    <row r="579" spans="1:55" ht="13" customHeight="1">
      <c r="A579" s="22"/>
      <c r="B579" t="s">
        <v>580</v>
      </c>
      <c r="G579" s="1371" t="s">
        <v>2707</v>
      </c>
      <c r="H579" s="1371"/>
      <c r="I579" s="1371"/>
      <c r="J579" s="1371"/>
      <c r="K579" s="1371"/>
      <c r="L579" s="1371"/>
      <c r="M579" s="1371"/>
      <c r="N579" s="1371"/>
      <c r="O579" s="1371"/>
      <c r="P579" s="1371"/>
      <c r="Q579" s="1371"/>
      <c r="R579" s="1371"/>
      <c r="T579" s="22"/>
      <c r="U579" t="s">
        <v>580</v>
      </c>
      <c r="Z579" s="1371" t="s">
        <v>2710</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2708</v>
      </c>
      <c r="H580" s="1371"/>
      <c r="I580" s="1371"/>
      <c r="J580" s="1371"/>
      <c r="K580" s="1371"/>
      <c r="L580" s="1371"/>
      <c r="M580" s="1371"/>
      <c r="N580" s="1371"/>
      <c r="O580" s="1371"/>
      <c r="P580" s="1371"/>
      <c r="Q580" s="1371"/>
      <c r="R580" s="1371"/>
      <c r="T580" s="22"/>
      <c r="U580" t="s">
        <v>17</v>
      </c>
      <c r="Z580" s="1371" t="s">
        <v>2711</v>
      </c>
      <c r="AA580" s="1371"/>
      <c r="AB580" s="1371"/>
      <c r="AC580" s="1371"/>
      <c r="AD580" s="1371"/>
      <c r="AE580" s="1371"/>
      <c r="AF580" s="1371"/>
      <c r="AG580" s="1371"/>
      <c r="AH580" s="1371"/>
      <c r="AI580" s="1371"/>
      <c r="AJ580" s="1371"/>
      <c r="AK580" s="1371"/>
      <c r="BB580" s="3"/>
      <c r="BC580" s="3"/>
    </row>
    <row r="581" spans="1:55" ht="13" customHeight="1">
      <c r="A581" s="22"/>
      <c r="B581" t="s">
        <v>316</v>
      </c>
      <c r="G581" s="1487">
        <v>9162632771</v>
      </c>
      <c r="H581" s="1487"/>
      <c r="I581" s="1487"/>
      <c r="J581" s="1487"/>
      <c r="K581" s="1487"/>
      <c r="L581" s="1487"/>
      <c r="O581" s="33" t="s">
        <v>206</v>
      </c>
      <c r="P581" s="1471"/>
      <c r="Q581" s="1471"/>
      <c r="R581" s="1471"/>
      <c r="T581" s="22"/>
      <c r="U581" t="s">
        <v>316</v>
      </c>
      <c r="Z581" s="1487">
        <v>9519558126</v>
      </c>
      <c r="AA581" s="1487"/>
      <c r="AB581" s="1487"/>
      <c r="AC581" s="1487"/>
      <c r="AD581" s="1487"/>
      <c r="AE581" s="1487"/>
      <c r="AH581" s="33" t="s">
        <v>206</v>
      </c>
      <c r="AI581" s="1471"/>
      <c r="AJ581" s="1471"/>
      <c r="AK581" s="1471"/>
      <c r="BB581" s="3"/>
      <c r="BC581" s="3"/>
    </row>
    <row r="582" spans="1:55" ht="13" customHeight="1">
      <c r="A582" s="22"/>
      <c r="B582" t="s">
        <v>18</v>
      </c>
      <c r="H582" s="1407" t="s">
        <v>2115</v>
      </c>
      <c r="I582" s="1407"/>
      <c r="J582" s="1407"/>
      <c r="K582" s="1407"/>
      <c r="L582" s="1407"/>
      <c r="M582" s="1407"/>
      <c r="N582" s="1407"/>
      <c r="O582" s="1407"/>
      <c r="P582" s="1407"/>
      <c r="Q582" s="1407"/>
      <c r="R582" s="1407"/>
      <c r="T582" s="22"/>
      <c r="U582" t="s">
        <v>18</v>
      </c>
      <c r="AA582" s="1407" t="s">
        <v>2115</v>
      </c>
      <c r="AB582" s="1407"/>
      <c r="AC582" s="1407"/>
      <c r="AD582" s="1407"/>
      <c r="AE582" s="1407"/>
      <c r="AF582" s="1407"/>
      <c r="AG582" s="1407"/>
      <c r="AH582" s="1407"/>
      <c r="AI582" s="1407"/>
      <c r="AJ582" s="1407"/>
      <c r="AK582" s="1407"/>
      <c r="BB582" s="3"/>
      <c r="BC582" s="3"/>
    </row>
    <row r="583" spans="1:55" ht="13" customHeight="1">
      <c r="A583" s="22"/>
      <c r="B583" t="s">
        <v>20</v>
      </c>
      <c r="N583" s="1415" t="s">
        <v>545</v>
      </c>
      <c r="O583" s="1415"/>
      <c r="T583" s="22"/>
      <c r="U583" t="s">
        <v>20</v>
      </c>
      <c r="AG583" s="1415" t="s">
        <v>545</v>
      </c>
      <c r="AH583" s="1415"/>
      <c r="BB583" s="3"/>
      <c r="BC583" s="3"/>
    </row>
    <row r="584" spans="1:55" ht="13" customHeight="1">
      <c r="A584" s="22"/>
      <c r="T584" s="22"/>
      <c r="BB584" s="3"/>
      <c r="BC584" s="3"/>
    </row>
    <row r="585" spans="1:55" ht="13" customHeight="1">
      <c r="A585" s="55" t="s">
        <v>763</v>
      </c>
      <c r="B585" t="s">
        <v>463</v>
      </c>
      <c r="G585" s="1483" t="str">
        <f>C558</f>
        <v>Riverside County Land Donation</v>
      </c>
      <c r="H585" s="1483"/>
      <c r="I585" s="1483"/>
      <c r="J585" s="1483"/>
      <c r="K585" s="1483"/>
      <c r="L585" s="1483"/>
      <c r="M585" s="1483"/>
      <c r="N585" s="1483"/>
      <c r="O585" s="1483"/>
      <c r="P585" s="1483"/>
      <c r="Q585" s="1483"/>
      <c r="R585" s="1483"/>
      <c r="T585" s="55" t="s">
        <v>584</v>
      </c>
      <c r="U585" t="s">
        <v>463</v>
      </c>
      <c r="Z585" s="1483" t="str">
        <f>C559</f>
        <v>LP equity available during construction</v>
      </c>
      <c r="AA585" s="1483"/>
      <c r="AB585" s="1483"/>
      <c r="AC585" s="1483"/>
      <c r="AD585" s="1483"/>
      <c r="AE585" s="1483"/>
      <c r="AF585" s="1483"/>
      <c r="AG585" s="1483"/>
      <c r="AH585" s="1483"/>
      <c r="AI585" s="1483"/>
      <c r="AJ585" s="1483"/>
      <c r="AK585" s="1483"/>
      <c r="BB585" s="3"/>
      <c r="BC585" s="3"/>
    </row>
    <row r="586" spans="1:55" ht="13" customHeight="1">
      <c r="A586" s="22"/>
      <c r="B586" t="s">
        <v>85</v>
      </c>
      <c r="G586" s="1407" t="s">
        <v>2709</v>
      </c>
      <c r="H586" s="1407"/>
      <c r="I586" s="1407"/>
      <c r="J586" s="1407"/>
      <c r="K586" s="1407"/>
      <c r="L586" s="1407"/>
      <c r="M586" s="1407"/>
      <c r="N586" s="1407"/>
      <c r="O586" s="1407"/>
      <c r="P586" s="1407"/>
      <c r="Q586" s="1407"/>
      <c r="R586" s="1407"/>
      <c r="T586" s="22"/>
      <c r="U586" t="s">
        <v>85</v>
      </c>
      <c r="Z586" s="1407" t="s">
        <v>2712</v>
      </c>
      <c r="AA586" s="1407"/>
      <c r="AB586" s="1407"/>
      <c r="AC586" s="1407"/>
      <c r="AD586" s="1407"/>
      <c r="AE586" s="1407"/>
      <c r="AF586" s="1407"/>
      <c r="AG586" s="1407"/>
      <c r="AH586" s="1407"/>
      <c r="AI586" s="1407"/>
      <c r="AJ586" s="1407"/>
      <c r="AK586" s="1407"/>
      <c r="BB586" s="3"/>
      <c r="BC586" s="3"/>
    </row>
    <row r="587" spans="1:55" ht="13" customHeight="1">
      <c r="A587" s="22"/>
      <c r="B587" t="s">
        <v>580</v>
      </c>
      <c r="G587" s="1407" t="s">
        <v>2710</v>
      </c>
      <c r="H587" s="1407"/>
      <c r="I587" s="1407"/>
      <c r="J587" s="1407"/>
      <c r="K587" s="1407"/>
      <c r="L587" s="1407"/>
      <c r="M587" s="1407"/>
      <c r="N587" s="1407"/>
      <c r="O587" s="1407"/>
      <c r="P587" s="1407"/>
      <c r="Q587" s="1407"/>
      <c r="R587" s="1407"/>
      <c r="T587" s="22"/>
      <c r="U587" t="s">
        <v>580</v>
      </c>
      <c r="Z587" s="1371" t="s">
        <v>2712</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2711</v>
      </c>
      <c r="H588" s="1407"/>
      <c r="I588" s="1407"/>
      <c r="J588" s="1407"/>
      <c r="K588" s="1407"/>
      <c r="L588" s="1407"/>
      <c r="M588" s="1407"/>
      <c r="N588" s="1407"/>
      <c r="O588" s="1407"/>
      <c r="P588" s="1407"/>
      <c r="Q588" s="1407"/>
      <c r="R588" s="1407"/>
      <c r="T588" s="22"/>
      <c r="U588" t="s">
        <v>17</v>
      </c>
      <c r="Z588" s="1371" t="s">
        <v>2712</v>
      </c>
      <c r="AA588" s="1371"/>
      <c r="AB588" s="1371"/>
      <c r="AC588" s="1371"/>
      <c r="AD588" s="1371"/>
      <c r="AE588" s="1371"/>
      <c r="AF588" s="1371"/>
      <c r="AG588" s="1371"/>
      <c r="AH588" s="1371"/>
      <c r="AI588" s="1371"/>
      <c r="AJ588" s="1371"/>
      <c r="AK588" s="1371"/>
    </row>
    <row r="589" spans="1:55" ht="13" customHeight="1">
      <c r="A589" s="22"/>
      <c r="B589" t="s">
        <v>316</v>
      </c>
      <c r="G589" s="1487">
        <v>9519558126</v>
      </c>
      <c r="H589" s="1487"/>
      <c r="I589" s="1487"/>
      <c r="J589" s="1487"/>
      <c r="K589" s="1487"/>
      <c r="L589" s="1487"/>
      <c r="O589" s="33" t="s">
        <v>206</v>
      </c>
      <c r="P589" s="1471"/>
      <c r="Q589" s="1471"/>
      <c r="R589" s="1471"/>
      <c r="T589" s="22"/>
      <c r="U589" t="s">
        <v>316</v>
      </c>
      <c r="Z589" s="1558" t="s">
        <v>2712</v>
      </c>
      <c r="AA589" s="1487"/>
      <c r="AB589" s="1487"/>
      <c r="AC589" s="1487"/>
      <c r="AD589" s="1487"/>
      <c r="AE589" s="1487"/>
      <c r="AH589" s="33" t="s">
        <v>206</v>
      </c>
      <c r="AI589" s="1471"/>
      <c r="AJ589" s="1471"/>
      <c r="AK589" s="1471"/>
      <c r="AZ589" s="3"/>
      <c r="BA589" s="3"/>
      <c r="BB589" s="3"/>
      <c r="BC589" s="3"/>
    </row>
    <row r="590" spans="1:55" ht="13" customHeight="1">
      <c r="A590" s="22"/>
      <c r="B590" t="s">
        <v>18</v>
      </c>
      <c r="H590" s="1407" t="s">
        <v>2126</v>
      </c>
      <c r="I590" s="1407"/>
      <c r="J590" s="1407"/>
      <c r="K590" s="1407"/>
      <c r="L590" s="1407"/>
      <c r="M590" s="1407"/>
      <c r="N590" s="1407"/>
      <c r="O590" s="1407"/>
      <c r="P590" s="1407"/>
      <c r="Q590" s="1407"/>
      <c r="R590" s="1407"/>
      <c r="T590" s="22"/>
      <c r="U590" t="s">
        <v>18</v>
      </c>
      <c r="AA590" s="1407" t="s">
        <v>2110</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545</v>
      </c>
      <c r="O591" s="1415"/>
      <c r="T591" s="22"/>
      <c r="U591" t="s">
        <v>20</v>
      </c>
      <c r="AG591" s="1415" t="s">
        <v>669</v>
      </c>
      <c r="AH591" s="1415"/>
      <c r="AZ591" s="3"/>
      <c r="BA591" s="3"/>
      <c r="BB591" s="3"/>
      <c r="BC591" s="3"/>
    </row>
    <row r="592" spans="1:55" ht="13" customHeight="1">
      <c r="A592" s="22"/>
      <c r="T592" s="22"/>
      <c r="AZ592" s="3"/>
      <c r="BA592" s="3"/>
      <c r="BB592" s="3"/>
      <c r="BC592" s="3"/>
    </row>
    <row r="593" spans="1:55" ht="13" customHeight="1">
      <c r="A593" s="55" t="s">
        <v>455</v>
      </c>
      <c r="B593" t="s">
        <v>463</v>
      </c>
      <c r="G593" s="1483" t="str">
        <f>C560</f>
        <v>GP equity</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 customHeight="1">
      <c r="A594" s="22"/>
      <c r="B594" t="s">
        <v>85</v>
      </c>
      <c r="C594"/>
      <c r="D594"/>
      <c r="E594"/>
      <c r="F594"/>
      <c r="G594" s="1407" t="s">
        <v>2748</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7" t="s">
        <v>2614</v>
      </c>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2749</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558" t="s">
        <v>2750</v>
      </c>
      <c r="H597" s="1487"/>
      <c r="I597" s="1487"/>
      <c r="J597" s="1487"/>
      <c r="K597" s="1487"/>
      <c r="L597" s="1487"/>
      <c r="M597"/>
      <c r="N597"/>
      <c r="O597" s="33" t="s">
        <v>206</v>
      </c>
      <c r="P597" s="1471">
        <v>204</v>
      </c>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2751</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545</v>
      </c>
      <c r="O599" s="1415"/>
      <c r="T599" s="22"/>
      <c r="U599" t="s">
        <v>20</v>
      </c>
      <c r="AG599" s="1415" t="s">
        <v>669</v>
      </c>
      <c r="AH599" s="1415"/>
      <c r="BB599" s="3"/>
      <c r="BC599" s="3"/>
    </row>
    <row r="600" spans="1:55" ht="13" customHeight="1">
      <c r="A600" s="22"/>
      <c r="T600" s="22"/>
      <c r="BB600" s="3"/>
      <c r="BC600" s="3"/>
    </row>
    <row r="601" spans="1:55" ht="13"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483">
        <f>C564</f>
        <v>0</v>
      </c>
      <c r="H609" s="1483"/>
      <c r="I609" s="1483"/>
      <c r="J609" s="1483"/>
      <c r="K609" s="1483"/>
      <c r="L609" s="1483"/>
      <c r="M609" s="1483"/>
      <c r="N609" s="1483"/>
      <c r="O609" s="1483"/>
      <c r="P609" s="1483"/>
      <c r="Q609" s="1483"/>
      <c r="R609" s="1483"/>
      <c r="T609" s="55" t="s">
        <v>363</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 customHeight="1">
      <c r="B615" t="s">
        <v>20</v>
      </c>
      <c r="N615" s="1415" t="s">
        <v>669</v>
      </c>
      <c r="O615" s="1415"/>
      <c r="U615" t="s">
        <v>20</v>
      </c>
      <c r="AG615" s="1415" t="s">
        <v>669</v>
      </c>
      <c r="AH615" s="1415"/>
      <c r="AU615" s="899"/>
      <c r="AV615" s="899"/>
      <c r="AW615" s="899"/>
      <c r="AX615" s="899"/>
      <c r="AY615" s="899"/>
      <c r="AZ615" s="3"/>
      <c r="BA615" s="3"/>
      <c r="BB615" s="3"/>
      <c r="BC615" s="3"/>
    </row>
    <row r="616" spans="1:55" ht="13" customHeight="1">
      <c r="AZ616" s="3"/>
      <c r="BA616" s="3"/>
      <c r="BB616" s="3"/>
      <c r="BC616" s="3"/>
    </row>
    <row r="617" spans="1:55" ht="13"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69" t="s">
        <v>2102</v>
      </c>
      <c r="C624" s="1669"/>
      <c r="D624" s="1669"/>
      <c r="E624" s="1669"/>
      <c r="F624" s="1669"/>
      <c r="G624" s="1669"/>
      <c r="H624" s="1669"/>
      <c r="I624" s="1669"/>
      <c r="J624" s="1669"/>
      <c r="K624" s="1669"/>
      <c r="L624" s="1669"/>
      <c r="M624" s="1674" t="s">
        <v>2103</v>
      </c>
      <c r="N624" s="1674"/>
      <c r="O624" s="1674"/>
      <c r="P624" s="1674"/>
      <c r="Q624" s="1674" t="s">
        <v>1852</v>
      </c>
      <c r="R624" s="1674"/>
      <c r="S624" s="1674"/>
      <c r="T624" s="1674" t="s">
        <v>1850</v>
      </c>
      <c r="U624" s="1674"/>
      <c r="V624" s="1674"/>
      <c r="W624" s="1670" t="s">
        <v>453</v>
      </c>
      <c r="X624" s="1670"/>
      <c r="Y624" s="1670"/>
      <c r="Z624" s="1397" t="s">
        <v>2132</v>
      </c>
      <c r="AA624" s="1397"/>
      <c r="AB624" s="1398"/>
      <c r="AC624" s="1675" t="s">
        <v>1676</v>
      </c>
      <c r="AD624" s="1676"/>
      <c r="AE624" s="1677"/>
      <c r="AF624" s="1396" t="s">
        <v>1930</v>
      </c>
      <c r="AG624" s="1397"/>
      <c r="AH624" s="1397"/>
      <c r="AI624" s="1397"/>
      <c r="AJ624" s="1398"/>
      <c r="AK624" s="1590" t="s">
        <v>1931</v>
      </c>
      <c r="AL624" s="1591"/>
      <c r="AM624" s="1591"/>
      <c r="AN624" s="1592"/>
      <c r="AO624" s="1674" t="s">
        <v>454</v>
      </c>
      <c r="AP624" s="1674"/>
      <c r="AQ624" s="1674"/>
      <c r="AR624" s="1674"/>
      <c r="AS624" s="1674"/>
      <c r="AU624" s="3"/>
      <c r="AZ624" s="3"/>
      <c r="BA624" s="3"/>
      <c r="BB624" s="3"/>
      <c r="BC624" s="3"/>
    </row>
    <row r="625" spans="2:157" ht="13" customHeight="1">
      <c r="B625" s="1669"/>
      <c r="C625" s="1669"/>
      <c r="D625" s="1669"/>
      <c r="E625" s="1669"/>
      <c r="F625" s="1669"/>
      <c r="G625" s="1669"/>
      <c r="H625" s="1669"/>
      <c r="I625" s="1669"/>
      <c r="J625" s="1669"/>
      <c r="K625" s="1669"/>
      <c r="L625" s="1669"/>
      <c r="M625" s="1674"/>
      <c r="N625" s="1674"/>
      <c r="O625" s="1674"/>
      <c r="P625" s="1674"/>
      <c r="Q625" s="1674"/>
      <c r="R625" s="1674"/>
      <c r="S625" s="1674"/>
      <c r="T625" s="1674"/>
      <c r="U625" s="1674"/>
      <c r="V625" s="1674"/>
      <c r="W625" s="1670"/>
      <c r="X625" s="1670"/>
      <c r="Y625" s="1670"/>
      <c r="Z625" s="1400"/>
      <c r="AA625" s="1400"/>
      <c r="AB625" s="1401"/>
      <c r="AC625" s="1678"/>
      <c r="AD625" s="1679"/>
      <c r="AE625" s="1680"/>
      <c r="AF625" s="1399"/>
      <c r="AG625" s="1400"/>
      <c r="AH625" s="1400"/>
      <c r="AI625" s="1400"/>
      <c r="AJ625" s="1401"/>
      <c r="AK625" s="1593"/>
      <c r="AL625" s="1594"/>
      <c r="AM625" s="1594"/>
      <c r="AN625" s="1595"/>
      <c r="AO625" s="1674"/>
      <c r="AP625" s="1674"/>
      <c r="AQ625" s="1674"/>
      <c r="AR625" s="1674"/>
      <c r="AS625" s="1674"/>
      <c r="AU625" s="3"/>
      <c r="AZ625" s="3"/>
      <c r="BA625" s="3"/>
      <c r="BB625" s="3"/>
      <c r="BC625" s="3"/>
      <c r="BD625" s="3"/>
    </row>
    <row r="626" spans="2:157" ht="13" customHeight="1">
      <c r="B626" s="1669"/>
      <c r="C626" s="1669"/>
      <c r="D626" s="1669"/>
      <c r="E626" s="1669"/>
      <c r="F626" s="1669"/>
      <c r="G626" s="1669"/>
      <c r="H626" s="1669"/>
      <c r="I626" s="1669"/>
      <c r="J626" s="1669"/>
      <c r="K626" s="1669"/>
      <c r="L626" s="1669"/>
      <c r="M626" s="1674"/>
      <c r="N626" s="1674"/>
      <c r="O626" s="1674"/>
      <c r="P626" s="1674"/>
      <c r="Q626" s="1674"/>
      <c r="R626" s="1674"/>
      <c r="S626" s="1674"/>
      <c r="T626" s="1674"/>
      <c r="U626" s="1674"/>
      <c r="V626" s="1674"/>
      <c r="W626" s="1670"/>
      <c r="X626" s="1670"/>
      <c r="Y626" s="1670"/>
      <c r="Z626" s="1403"/>
      <c r="AA626" s="1403"/>
      <c r="AB626" s="1404"/>
      <c r="AC626" s="1681"/>
      <c r="AD626" s="1682"/>
      <c r="AE626" s="1683"/>
      <c r="AF626" s="1402"/>
      <c r="AG626" s="1403"/>
      <c r="AH626" s="1403"/>
      <c r="AI626" s="1403"/>
      <c r="AJ626" s="1404"/>
      <c r="AK626" s="1596"/>
      <c r="AL626" s="1597"/>
      <c r="AM626" s="1597"/>
      <c r="AN626" s="1598"/>
      <c r="AO626" s="1674"/>
      <c r="AP626" s="1674"/>
      <c r="AQ626" s="1674"/>
      <c r="AR626" s="1674"/>
      <c r="AS626" s="1674"/>
      <c r="AT626" s="3"/>
      <c r="AU626" s="3"/>
      <c r="AZ626" s="3"/>
      <c r="BA626" s="3"/>
      <c r="BB626" s="3"/>
      <c r="BC626" s="3"/>
      <c r="BD626" s="3"/>
    </row>
    <row r="627" spans="2:157" ht="13" customHeight="1">
      <c r="B627" s="51" t="s">
        <v>112</v>
      </c>
      <c r="C627" s="1479" t="s">
        <v>2699</v>
      </c>
      <c r="D627" s="1479"/>
      <c r="E627" s="1479"/>
      <c r="F627" s="1479"/>
      <c r="G627" s="1479"/>
      <c r="H627" s="1479"/>
      <c r="I627" s="1479"/>
      <c r="J627" s="1479"/>
      <c r="K627" s="1479"/>
      <c r="L627" s="1479"/>
      <c r="M627" s="1493" t="s">
        <v>2119</v>
      </c>
      <c r="N627" s="1493"/>
      <c r="O627" s="1493"/>
      <c r="P627" s="1493"/>
      <c r="Q627" s="1509">
        <v>360</v>
      </c>
      <c r="R627" s="1509"/>
      <c r="S627" s="1510"/>
      <c r="T627" s="1508">
        <f>Q627</f>
        <v>360</v>
      </c>
      <c r="U627" s="1509"/>
      <c r="V627" s="1510"/>
      <c r="W627" s="1480">
        <f>[1]budgets!$AD$66</f>
        <v>7.0000000000000007E-2</v>
      </c>
      <c r="X627" s="1481"/>
      <c r="Y627" s="1482"/>
      <c r="Z627" s="1476" t="s">
        <v>2131</v>
      </c>
      <c r="AA627" s="1477"/>
      <c r="AB627" s="1478"/>
      <c r="AC627" s="1381">
        <v>1</v>
      </c>
      <c r="AD627" s="1382"/>
      <c r="AE627" s="1383"/>
      <c r="AF627" s="1490">
        <f>[1]budgets!$AF$59</f>
        <v>207989.52725289698</v>
      </c>
      <c r="AG627" s="1491"/>
      <c r="AH627" s="1491"/>
      <c r="AI627" s="1491"/>
      <c r="AJ627" s="1492"/>
      <c r="AK627" s="1484"/>
      <c r="AL627" s="1485"/>
      <c r="AM627" s="1485"/>
      <c r="AN627" s="1486"/>
      <c r="AO627" s="1638">
        <f>[1]budgets!$AD$64</f>
        <v>2605200</v>
      </c>
      <c r="AP627" s="1638"/>
      <c r="AQ627" s="1638"/>
      <c r="AR627" s="1638"/>
      <c r="AS627" s="1638"/>
      <c r="AT627" s="3"/>
      <c r="AU627" s="3"/>
      <c r="AZ627" s="3"/>
      <c r="BA627" s="3"/>
      <c r="BB627" s="3"/>
      <c r="BC627" s="3"/>
      <c r="BD627" s="3"/>
    </row>
    <row r="628" spans="2:157" ht="13" customHeight="1">
      <c r="B628" s="52" t="s">
        <v>113</v>
      </c>
      <c r="C628" s="1479" t="s">
        <v>2732</v>
      </c>
      <c r="D628" s="1479"/>
      <c r="E628" s="1479"/>
      <c r="F628" s="1479"/>
      <c r="G628" s="1479"/>
      <c r="H628" s="1479"/>
      <c r="I628" s="1479"/>
      <c r="J628" s="1479"/>
      <c r="K628" s="1479"/>
      <c r="L628" s="1479"/>
      <c r="M628" s="1493" t="s">
        <v>2118</v>
      </c>
      <c r="N628" s="1493"/>
      <c r="O628" s="1493"/>
      <c r="P628" s="1493"/>
      <c r="Q628" s="1508">
        <v>396</v>
      </c>
      <c r="R628" s="1509"/>
      <c r="S628" s="1510"/>
      <c r="T628" s="1508">
        <f>Q628</f>
        <v>396</v>
      </c>
      <c r="U628" s="1509"/>
      <c r="V628" s="1510"/>
      <c r="W628" s="1480">
        <f>[1]budgets!$AD$70</f>
        <v>0.01</v>
      </c>
      <c r="X628" s="1481"/>
      <c r="Y628" s="1482"/>
      <c r="Z628" s="1476" t="s">
        <v>2131</v>
      </c>
      <c r="AA628" s="1477"/>
      <c r="AB628" s="1478"/>
      <c r="AC628" s="1381">
        <v>2</v>
      </c>
      <c r="AD628" s="1382"/>
      <c r="AE628" s="1383"/>
      <c r="AF628" s="1490">
        <f>[1]budgets!$AF$58</f>
        <v>177950.21539643875</v>
      </c>
      <c r="AG628" s="1491"/>
      <c r="AH628" s="1491"/>
      <c r="AI628" s="1491"/>
      <c r="AJ628" s="1492"/>
      <c r="AK628" s="1484"/>
      <c r="AL628" s="1485"/>
      <c r="AM628" s="1485"/>
      <c r="AN628" s="1486"/>
      <c r="AO628" s="1475">
        <f>[1]budgets!$AD$68</f>
        <v>5000000</v>
      </c>
      <c r="AP628" s="1338"/>
      <c r="AQ628" s="1338"/>
      <c r="AR628" s="1338"/>
      <c r="AS628" s="1339"/>
      <c r="AT628" s="1148" t="str">
        <f>IF(AND(NOT(C627=""),C628="",NOT(C629="")),"!","")</f>
        <v/>
      </c>
      <c r="AU628" s="3"/>
      <c r="AZ628" s="3"/>
      <c r="BA628" s="3"/>
      <c r="BB628" s="3"/>
      <c r="BC628" s="3"/>
      <c r="BD628" s="3"/>
    </row>
    <row r="629" spans="2:157" ht="13" customHeight="1">
      <c r="B629" s="52" t="s">
        <v>119</v>
      </c>
      <c r="C629" s="1479" t="str">
        <f>C556</f>
        <v>HCD Joe Serna, Jr. FWHG</v>
      </c>
      <c r="D629" s="1479"/>
      <c r="E629" s="1479"/>
      <c r="F629" s="1479"/>
      <c r="G629" s="1479"/>
      <c r="H629" s="1479"/>
      <c r="I629" s="1479"/>
      <c r="J629" s="1479"/>
      <c r="K629" s="1479"/>
      <c r="L629" s="1479"/>
      <c r="M629" s="1493" t="s">
        <v>2115</v>
      </c>
      <c r="N629" s="1493"/>
      <c r="O629" s="1493"/>
      <c r="P629" s="1493"/>
      <c r="Q629" s="1508">
        <v>660</v>
      </c>
      <c r="R629" s="1509"/>
      <c r="S629" s="1510"/>
      <c r="T629" s="1508">
        <v>0</v>
      </c>
      <c r="U629" s="1509"/>
      <c r="V629" s="1510"/>
      <c r="W629" s="1480">
        <v>0.03</v>
      </c>
      <c r="X629" s="1481"/>
      <c r="Y629" s="1482"/>
      <c r="Z629" s="1476" t="s">
        <v>457</v>
      </c>
      <c r="AA629" s="1477"/>
      <c r="AB629" s="1478"/>
      <c r="AC629" s="1381">
        <v>3</v>
      </c>
      <c r="AD629" s="1382"/>
      <c r="AE629" s="1383"/>
      <c r="AF629" s="1490">
        <f>[1]budgets!$AF$60</f>
        <v>42000</v>
      </c>
      <c r="AG629" s="1491"/>
      <c r="AH629" s="1491"/>
      <c r="AI629" s="1491"/>
      <c r="AJ629" s="1492"/>
      <c r="AK629" s="1484"/>
      <c r="AL629" s="1485"/>
      <c r="AM629" s="1485"/>
      <c r="AN629" s="1486"/>
      <c r="AO629" s="1475">
        <f>AM556</f>
        <v>10000000</v>
      </c>
      <c r="AP629" s="1338"/>
      <c r="AQ629" s="1338"/>
      <c r="AR629" s="1338"/>
      <c r="AS629" s="1339"/>
      <c r="AT629" s="1148" t="str">
        <f t="shared" ref="AT629:AT638" si="1">IF(AND(NOT(C628=""),C629="",NOT(C630="")),"!","")</f>
        <v/>
      </c>
      <c r="AU629" s="3"/>
      <c r="AZ629" s="3"/>
      <c r="BA629" s="3"/>
      <c r="BB629" s="3"/>
      <c r="BC629" s="3"/>
      <c r="BD629" s="3"/>
    </row>
    <row r="630" spans="2:157" ht="13" customHeight="1">
      <c r="B630" s="52" t="s">
        <v>581</v>
      </c>
      <c r="C630" s="1479" t="str">
        <f>C557</f>
        <v>County of Riverside PLHA</v>
      </c>
      <c r="D630" s="1489"/>
      <c r="E630" s="1489"/>
      <c r="F630" s="1489"/>
      <c r="G630" s="1489"/>
      <c r="H630" s="1489"/>
      <c r="I630" s="1489"/>
      <c r="J630" s="1489"/>
      <c r="K630" s="1489"/>
      <c r="L630" s="1489"/>
      <c r="M630" s="1493" t="s">
        <v>2115</v>
      </c>
      <c r="N630" s="1493"/>
      <c r="O630" s="1493"/>
      <c r="P630" s="1493"/>
      <c r="Q630" s="1508">
        <v>660</v>
      </c>
      <c r="R630" s="1509"/>
      <c r="S630" s="1510"/>
      <c r="T630" s="1508">
        <v>0</v>
      </c>
      <c r="U630" s="1509"/>
      <c r="V630" s="1510"/>
      <c r="W630" s="1480">
        <v>0.03</v>
      </c>
      <c r="X630" s="1481"/>
      <c r="Y630" s="1482"/>
      <c r="Z630" s="1476" t="s">
        <v>457</v>
      </c>
      <c r="AA630" s="1477"/>
      <c r="AB630" s="1478"/>
      <c r="AC630" s="1381">
        <v>4</v>
      </c>
      <c r="AD630" s="1382"/>
      <c r="AE630" s="1383"/>
      <c r="AF630" s="1490"/>
      <c r="AG630" s="1491"/>
      <c r="AH630" s="1491"/>
      <c r="AI630" s="1491"/>
      <c r="AJ630" s="1492"/>
      <c r="AK630" s="1484"/>
      <c r="AL630" s="1485"/>
      <c r="AM630" s="1485"/>
      <c r="AN630" s="1486"/>
      <c r="AO630" s="1475">
        <f>AM557</f>
        <v>7000000</v>
      </c>
      <c r="AP630" s="1338"/>
      <c r="AQ630" s="1338"/>
      <c r="AR630" s="1338"/>
      <c r="AS630" s="1339"/>
      <c r="AT630" s="1148" t="str">
        <f t="shared" si="1"/>
        <v/>
      </c>
      <c r="AU630" s="3"/>
      <c r="AZ630" s="3"/>
      <c r="BA630" s="3"/>
      <c r="BB630" s="3"/>
      <c r="BC630" s="3"/>
      <c r="BD630" s="3"/>
    </row>
    <row r="631" spans="2:157" ht="13" customHeight="1">
      <c r="B631" s="52" t="s">
        <v>763</v>
      </c>
      <c r="C631" s="1489" t="str">
        <f>C558</f>
        <v>Riverside County Land Donation</v>
      </c>
      <c r="D631" s="1489"/>
      <c r="E631" s="1489"/>
      <c r="F631" s="1489"/>
      <c r="G631" s="1489"/>
      <c r="H631" s="1489"/>
      <c r="I631" s="1489"/>
      <c r="J631" s="1489"/>
      <c r="K631" s="1489"/>
      <c r="L631" s="1489"/>
      <c r="M631" s="1493" t="s">
        <v>2126</v>
      </c>
      <c r="N631" s="1493"/>
      <c r="O631" s="1493"/>
      <c r="P631" s="1493"/>
      <c r="Q631" s="1508"/>
      <c r="R631" s="1509"/>
      <c r="S631" s="1510"/>
      <c r="T631" s="1508"/>
      <c r="U631" s="1509"/>
      <c r="V631" s="1510"/>
      <c r="W631" s="1480"/>
      <c r="X631" s="1481"/>
      <c r="Y631" s="1482"/>
      <c r="Z631" s="1476" t="s">
        <v>1184</v>
      </c>
      <c r="AA631" s="1477"/>
      <c r="AB631" s="1478"/>
      <c r="AC631" s="1381"/>
      <c r="AD631" s="1382"/>
      <c r="AE631" s="1383"/>
      <c r="AF631" s="1490"/>
      <c r="AG631" s="1491"/>
      <c r="AH631" s="1491"/>
      <c r="AI631" s="1491"/>
      <c r="AJ631" s="1492"/>
      <c r="AK631" s="1484"/>
      <c r="AL631" s="1485"/>
      <c r="AM631" s="1485"/>
      <c r="AN631" s="1486"/>
      <c r="AO631" s="1475">
        <f>AM558</f>
        <v>355000</v>
      </c>
      <c r="AP631" s="1338"/>
      <c r="AQ631" s="1338"/>
      <c r="AR631" s="1338"/>
      <c r="AS631" s="1339"/>
      <c r="AT631" s="1148" t="str">
        <f t="shared" si="1"/>
        <v/>
      </c>
      <c r="AU631" s="3"/>
      <c r="AZ631" s="3"/>
      <c r="BA631" s="3"/>
      <c r="BB631" s="3"/>
      <c r="BC631" s="3"/>
      <c r="BD631" s="3"/>
    </row>
    <row r="632" spans="2:157" ht="13" customHeight="1">
      <c r="B632" s="52" t="s">
        <v>584</v>
      </c>
      <c r="C632" s="1489" t="s">
        <v>2733</v>
      </c>
      <c r="D632" s="1489"/>
      <c r="E632" s="1489"/>
      <c r="F632" s="1489"/>
      <c r="G632" s="1489"/>
      <c r="H632" s="1489"/>
      <c r="I632" s="1489"/>
      <c r="J632" s="1489"/>
      <c r="K632" s="1489"/>
      <c r="L632" s="1489"/>
      <c r="M632" s="1493" t="s">
        <v>2106</v>
      </c>
      <c r="N632" s="1493"/>
      <c r="O632" s="1493"/>
      <c r="P632" s="1493"/>
      <c r="Q632" s="1508"/>
      <c r="R632" s="1509"/>
      <c r="S632" s="1510"/>
      <c r="T632" s="1508"/>
      <c r="U632" s="1509"/>
      <c r="V632" s="1510"/>
      <c r="W632" s="1480"/>
      <c r="X632" s="1481"/>
      <c r="Y632" s="1482"/>
      <c r="Z632" s="1476" t="s">
        <v>1184</v>
      </c>
      <c r="AA632" s="1477"/>
      <c r="AB632" s="1478"/>
      <c r="AC632" s="1381"/>
      <c r="AD632" s="1382"/>
      <c r="AE632" s="1383"/>
      <c r="AF632" s="1490"/>
      <c r="AG632" s="1491"/>
      <c r="AH632" s="1491"/>
      <c r="AI632" s="1491"/>
      <c r="AJ632" s="1492"/>
      <c r="AK632" s="1484"/>
      <c r="AL632" s="1485"/>
      <c r="AM632" s="1485"/>
      <c r="AN632" s="1486"/>
      <c r="AO632" s="1475">
        <f>[1]budgets!$C$11</f>
        <v>499900</v>
      </c>
      <c r="AP632" s="1338"/>
      <c r="AQ632" s="1338"/>
      <c r="AR632" s="1338"/>
      <c r="AS632" s="1339"/>
      <c r="AT632" s="1148" t="str">
        <f t="shared" si="1"/>
        <v/>
      </c>
      <c r="AU632" s="3"/>
      <c r="AZ632" s="3"/>
      <c r="BA632" s="3"/>
      <c r="BB632" s="3"/>
      <c r="BC632" s="3"/>
      <c r="BD632" s="3"/>
    </row>
    <row r="633" spans="2:157" ht="13" customHeight="1">
      <c r="B633" s="52" t="s">
        <v>455</v>
      </c>
      <c r="C633" s="1489" t="s">
        <v>2734</v>
      </c>
      <c r="D633" s="1489"/>
      <c r="E633" s="1489"/>
      <c r="F633" s="1489"/>
      <c r="G633" s="1489"/>
      <c r="H633" s="1489"/>
      <c r="I633" s="1489"/>
      <c r="J633" s="1489"/>
      <c r="K633" s="1489"/>
      <c r="L633" s="1489"/>
      <c r="M633" s="1493" t="s">
        <v>2109</v>
      </c>
      <c r="N633" s="1493"/>
      <c r="O633" s="1493"/>
      <c r="P633" s="1493"/>
      <c r="Q633" s="1508"/>
      <c r="R633" s="1509"/>
      <c r="S633" s="1510"/>
      <c r="T633" s="1508"/>
      <c r="U633" s="1509"/>
      <c r="V633" s="1510"/>
      <c r="W633" s="1480"/>
      <c r="X633" s="1481"/>
      <c r="Y633" s="1482"/>
      <c r="Z633" s="1476" t="s">
        <v>1184</v>
      </c>
      <c r="AA633" s="1477"/>
      <c r="AB633" s="1478"/>
      <c r="AC633" s="1381"/>
      <c r="AD633" s="1382"/>
      <c r="AE633" s="1383"/>
      <c r="AF633" s="1490"/>
      <c r="AG633" s="1491"/>
      <c r="AH633" s="1491"/>
      <c r="AI633" s="1491"/>
      <c r="AJ633" s="1492"/>
      <c r="AK633" s="1484"/>
      <c r="AL633" s="1485"/>
      <c r="AM633" s="1485"/>
      <c r="AN633" s="1486"/>
      <c r="AO633" s="1475">
        <f>AM560</f>
        <v>100</v>
      </c>
      <c r="AP633" s="1338"/>
      <c r="AQ633" s="1338"/>
      <c r="AR633" s="1338"/>
      <c r="AS633" s="1339"/>
      <c r="AT633" s="1148" t="str">
        <f t="shared" si="1"/>
        <v/>
      </c>
      <c r="AU633" s="3"/>
      <c r="AV633" s="3"/>
      <c r="AW633" s="3"/>
      <c r="AX633" s="3"/>
      <c r="AY633" s="3"/>
      <c r="AZ633" s="3"/>
      <c r="BA633" s="3"/>
      <c r="BB633" s="3"/>
      <c r="BC633" s="3"/>
      <c r="BD633" s="3"/>
    </row>
    <row r="634" spans="2:157" ht="13" customHeight="1">
      <c r="B634" s="52" t="s">
        <v>456</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1184</v>
      </c>
      <c r="BB634" s="3"/>
      <c r="BC634" s="3"/>
      <c r="BD634" s="3"/>
    </row>
    <row r="635" spans="2:157" ht="13" customHeight="1">
      <c r="B635" s="52" t="s">
        <v>461</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107.625</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646</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490</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362</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186.375</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363</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t="e">
        <f t="shared" si="3"/>
        <v>#VALUE!</v>
      </c>
      <c r="ED638" s="1369"/>
      <c r="EE638" s="1369"/>
      <c r="EF638" s="1369"/>
      <c r="EG638" s="1369"/>
      <c r="EH638" s="1369">
        <f t="shared" si="4"/>
        <v>199.79166666666669</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25460200</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390.41666666666669</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 ca="1">'Sources and Uses Budget'!E105</f>
        <v>31596549</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346.58166666666671</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32"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3"/>
      <c r="AO641" s="1472">
        <f ca="1">AO639+AO640</f>
        <v>57056749</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f t="shared" si="5"/>
        <v>316.22800000000001</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f t="shared" si="5"/>
        <v>288.41866666666664</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463</v>
      </c>
      <c r="G643" s="1483" t="str">
        <f>C627</f>
        <v>Bank of America, N.A.</v>
      </c>
      <c r="H643" s="1483"/>
      <c r="I643" s="1483"/>
      <c r="J643" s="1483"/>
      <c r="K643" s="1483"/>
      <c r="L643" s="1483"/>
      <c r="M643" s="1483"/>
      <c r="N643" s="1483"/>
      <c r="O643" s="1483"/>
      <c r="P643" s="1483"/>
      <c r="Q643" s="1483"/>
      <c r="R643" s="1483"/>
      <c r="S643" s="8"/>
      <c r="T643" s="55" t="s">
        <v>113</v>
      </c>
      <c r="U643" t="s">
        <v>463</v>
      </c>
      <c r="Z643" s="1483" t="str">
        <f>C628</f>
        <v>USDA 514 loan</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457.52333333333331</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3" customHeight="1">
      <c r="A644" s="22"/>
      <c r="B644" t="s">
        <v>85</v>
      </c>
      <c r="G644" s="1407" t="s">
        <v>2705</v>
      </c>
      <c r="H644" s="1407"/>
      <c r="I644" s="1407"/>
      <c r="J644" s="1407"/>
      <c r="K644" s="1407"/>
      <c r="L644" s="1407"/>
      <c r="M644" s="1407"/>
      <c r="N644" s="1407"/>
      <c r="O644" s="1407"/>
      <c r="P644" s="1407"/>
      <c r="Q644" s="1407"/>
      <c r="R644" s="1407"/>
      <c r="S644" s="8"/>
      <c r="T644" s="22"/>
      <c r="U644" t="s">
        <v>85</v>
      </c>
      <c r="Z644" s="1407"/>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f t="shared" si="6"/>
        <v>218.53749999999999</v>
      </c>
      <c r="ES644" s="1369"/>
      <c r="ET644" s="1369"/>
      <c r="EU644" s="1369"/>
      <c r="EV644" s="1369"/>
      <c r="EW644" s="1369" t="e">
        <f t="shared" si="7"/>
        <v>#VALUE!</v>
      </c>
      <c r="EX644" s="1369"/>
      <c r="EY644" s="1369"/>
      <c r="EZ644" s="1369"/>
      <c r="FA644" s="1369"/>
    </row>
    <row r="645" spans="1:157" ht="13" customHeight="1">
      <c r="A645" s="22"/>
      <c r="B645" t="s">
        <v>580</v>
      </c>
      <c r="G645" s="1407" t="s">
        <v>2703</v>
      </c>
      <c r="H645" s="1407"/>
      <c r="I645" s="1407"/>
      <c r="J645" s="1407"/>
      <c r="K645" s="1407"/>
      <c r="L645" s="1407"/>
      <c r="M645" s="1407"/>
      <c r="N645" s="1407"/>
      <c r="O645" s="1407"/>
      <c r="P645" s="1407"/>
      <c r="Q645" s="1407"/>
      <c r="R645" s="1407"/>
      <c r="T645" s="22"/>
      <c r="U645" t="s">
        <v>580</v>
      </c>
      <c r="Z645" s="1371"/>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f t="shared" si="6"/>
        <v>599.57500000000005</v>
      </c>
      <c r="ES645" s="1369"/>
      <c r="ET645" s="1369"/>
      <c r="EU645" s="1369"/>
      <c r="EV645" s="1369"/>
      <c r="EW645" s="1369" t="e">
        <f t="shared" si="7"/>
        <v>#VALUE!</v>
      </c>
      <c r="EX645" s="1369"/>
      <c r="EY645" s="1369"/>
      <c r="EZ645" s="1369"/>
      <c r="FA645" s="1369"/>
    </row>
    <row r="646" spans="1:157" ht="13" customHeight="1">
      <c r="A646" s="22"/>
      <c r="B646" t="s">
        <v>17</v>
      </c>
      <c r="G646" s="1407" t="s">
        <v>2704</v>
      </c>
      <c r="H646" s="1407"/>
      <c r="I646" s="1407"/>
      <c r="J646" s="1407"/>
      <c r="K646" s="1407"/>
      <c r="L646" s="1407"/>
      <c r="M646" s="1407"/>
      <c r="N646" s="1407"/>
      <c r="O646" s="1407"/>
      <c r="P646" s="1407"/>
      <c r="Q646" s="1407"/>
      <c r="R646" s="1407"/>
      <c r="S646" s="8"/>
      <c r="T646" s="22"/>
      <c r="U646" t="s">
        <v>17</v>
      </c>
      <c r="Z646" s="1371" t="s">
        <v>2752</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f t="shared" si="6"/>
        <v>380.78750000000002</v>
      </c>
      <c r="ES646" s="1369"/>
      <c r="ET646" s="1369"/>
      <c r="EU646" s="1369"/>
      <c r="EV646" s="1369"/>
      <c r="EW646" s="1369" t="e">
        <f t="shared" si="7"/>
        <v>#VALUE!</v>
      </c>
      <c r="EX646" s="1369"/>
      <c r="EY646" s="1369"/>
      <c r="EZ646" s="1369"/>
      <c r="FA646" s="1369"/>
    </row>
    <row r="647" spans="1:157" ht="13" customHeight="1">
      <c r="A647" s="22"/>
      <c r="B647" t="s">
        <v>316</v>
      </c>
      <c r="G647" s="1487">
        <v>2136217514</v>
      </c>
      <c r="H647" s="1487"/>
      <c r="I647" s="1487"/>
      <c r="J647" s="1487"/>
      <c r="K647" s="1487"/>
      <c r="L647" s="1487"/>
      <c r="O647" s="33" t="s">
        <v>206</v>
      </c>
      <c r="P647" s="1471"/>
      <c r="Q647" s="1471"/>
      <c r="R647" s="1471"/>
      <c r="S647" s="10"/>
      <c r="T647" s="22"/>
      <c r="U647" t="s">
        <v>316</v>
      </c>
      <c r="Z647" s="1558" t="s">
        <v>2753</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2713</v>
      </c>
      <c r="I648" s="1407"/>
      <c r="J648" s="1407"/>
      <c r="K648" s="1407"/>
      <c r="L648" s="1407"/>
      <c r="M648" s="1407"/>
      <c r="N648" s="1407"/>
      <c r="O648" s="1407"/>
      <c r="P648" s="1407"/>
      <c r="Q648" s="1407"/>
      <c r="R648" s="1407"/>
      <c r="S648" s="8"/>
      <c r="T648" s="22"/>
      <c r="U648" t="s">
        <v>18</v>
      </c>
      <c r="AA648" s="1407" t="s">
        <v>2754</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5" t="s">
        <v>545</v>
      </c>
      <c r="O649" s="1415"/>
      <c r="T649" s="22"/>
      <c r="U649" t="s">
        <v>20</v>
      </c>
      <c r="AG649" s="1415" t="s">
        <v>669</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463</v>
      </c>
      <c r="G651" s="1483" t="str">
        <f>C629</f>
        <v>HCD Joe Serna, Jr. FWHG</v>
      </c>
      <c r="H651" s="1483"/>
      <c r="I651" s="1483"/>
      <c r="J651" s="1483"/>
      <c r="K651" s="1483"/>
      <c r="L651" s="1483"/>
      <c r="M651" s="1483"/>
      <c r="N651" s="1483"/>
      <c r="O651" s="1483"/>
      <c r="P651" s="1483"/>
      <c r="Q651" s="1483"/>
      <c r="R651" s="1483"/>
      <c r="T651" s="55" t="s">
        <v>581</v>
      </c>
      <c r="U651" t="s">
        <v>463</v>
      </c>
      <c r="Z651" s="1483" t="str">
        <f>C630</f>
        <v>County of Riverside PLHA</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7" t="s">
        <v>2706</v>
      </c>
      <c r="H652" s="1407"/>
      <c r="I652" s="1407"/>
      <c r="J652" s="1407"/>
      <c r="K652" s="1407"/>
      <c r="L652" s="1407"/>
      <c r="M652" s="1407"/>
      <c r="N652" s="1407"/>
      <c r="O652" s="1407"/>
      <c r="P652" s="1407"/>
      <c r="Q652" s="1407"/>
      <c r="R652" s="1407"/>
      <c r="T652" s="22"/>
      <c r="U652" t="s">
        <v>85</v>
      </c>
      <c r="Z652" s="1407" t="s">
        <v>2709</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580</v>
      </c>
      <c r="G653" s="1371" t="s">
        <v>2707</v>
      </c>
      <c r="H653" s="1371"/>
      <c r="I653" s="1371"/>
      <c r="J653" s="1371"/>
      <c r="K653" s="1371"/>
      <c r="L653" s="1371"/>
      <c r="M653" s="1371"/>
      <c r="N653" s="1371"/>
      <c r="O653" s="1371"/>
      <c r="P653" s="1371"/>
      <c r="Q653" s="1371"/>
      <c r="R653" s="1371"/>
      <c r="T653" s="22"/>
      <c r="U653" t="s">
        <v>580</v>
      </c>
      <c r="Z653" s="1371" t="s">
        <v>2710</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71" t="s">
        <v>2708</v>
      </c>
      <c r="H654" s="1371"/>
      <c r="I654" s="1371"/>
      <c r="J654" s="1371"/>
      <c r="K654" s="1371"/>
      <c r="L654" s="1371"/>
      <c r="M654" s="1371"/>
      <c r="N654" s="1371"/>
      <c r="O654" s="1371"/>
      <c r="P654" s="1371"/>
      <c r="Q654" s="1371"/>
      <c r="R654" s="1371"/>
      <c r="T654" s="22"/>
      <c r="U654" t="s">
        <v>17</v>
      </c>
      <c r="Z654" s="1371" t="s">
        <v>2711</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316</v>
      </c>
      <c r="G655" s="1487">
        <v>9162632771</v>
      </c>
      <c r="H655" s="1487"/>
      <c r="I655" s="1487"/>
      <c r="J655" s="1487"/>
      <c r="K655" s="1487"/>
      <c r="L655" s="1487"/>
      <c r="O655" s="33" t="s">
        <v>206</v>
      </c>
      <c r="P655" s="1471"/>
      <c r="Q655" s="1471"/>
      <c r="R655" s="1471"/>
      <c r="T655" s="22"/>
      <c r="U655" t="s">
        <v>316</v>
      </c>
      <c r="Z655" s="1487">
        <v>9519558126</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2714</v>
      </c>
      <c r="I656" s="1407"/>
      <c r="J656" s="1407"/>
      <c r="K656" s="1407"/>
      <c r="L656" s="1407"/>
      <c r="M656" s="1407"/>
      <c r="N656" s="1407"/>
      <c r="O656" s="1407"/>
      <c r="P656" s="1407"/>
      <c r="Q656" s="1407"/>
      <c r="R656" s="1407"/>
      <c r="T656" s="22"/>
      <c r="U656" t="s">
        <v>18</v>
      </c>
      <c r="AA656" s="1407" t="s">
        <v>2115</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763</v>
      </c>
      <c r="B659" t="s">
        <v>463</v>
      </c>
      <c r="G659" s="1483" t="str">
        <f>C631</f>
        <v>Riverside County Land Donation</v>
      </c>
      <c r="H659" s="1483"/>
      <c r="I659" s="1483"/>
      <c r="J659" s="1483"/>
      <c r="K659" s="1483"/>
      <c r="L659" s="1483"/>
      <c r="M659" s="1483"/>
      <c r="N659" s="1483"/>
      <c r="O659" s="1483"/>
      <c r="P659" s="1483"/>
      <c r="Q659" s="1483"/>
      <c r="R659" s="1483"/>
      <c r="T659" s="55" t="s">
        <v>584</v>
      </c>
      <c r="U659" t="s">
        <v>463</v>
      </c>
      <c r="Z659" s="1483" t="str">
        <f>C632</f>
        <v>Deferred developer fee</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7" t="s">
        <v>2709</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580</v>
      </c>
      <c r="G661" s="1407" t="s">
        <v>2710</v>
      </c>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7" t="s">
        <v>2711</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316</v>
      </c>
      <c r="G663" s="1487">
        <v>9519558126</v>
      </c>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7" t="s">
        <v>2115</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5" t="s">
        <v>545</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455</v>
      </c>
      <c r="B667" t="s">
        <v>463</v>
      </c>
      <c r="G667" s="1483" t="str">
        <f>C633</f>
        <v>GP equity</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7" t="s">
        <v>2748</v>
      </c>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580</v>
      </c>
      <c r="G669" s="1407" t="s">
        <v>2614</v>
      </c>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7" t="s">
        <v>2749</v>
      </c>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784</v>
      </c>
      <c r="ED670" s="1369"/>
      <c r="EE670" s="1369"/>
      <c r="EF670" s="1369"/>
      <c r="EG670" s="1369"/>
      <c r="EH670" s="1369">
        <f>SUMIF(EH635:EL669,"&gt;0")</f>
        <v>936.79000000000008</v>
      </c>
      <c r="EI670" s="1369"/>
      <c r="EJ670" s="1369"/>
      <c r="EK670" s="1369"/>
      <c r="EL670" s="1369"/>
      <c r="EM670" s="1369">
        <f>SUMIF(EM635:EQ669,"&gt;0")</f>
        <v>1062.17</v>
      </c>
      <c r="EN670" s="1369"/>
      <c r="EO670" s="1369"/>
      <c r="EP670" s="1369"/>
      <c r="EQ670" s="1369"/>
      <c r="ER670" s="1369">
        <f>SUMIF(ER635:EV669,"&gt;0")</f>
        <v>1198.9000000000001</v>
      </c>
      <c r="ES670" s="1369"/>
      <c r="ET670" s="1369"/>
      <c r="EU670" s="1369"/>
      <c r="EV670" s="1369"/>
      <c r="EW670" s="1369">
        <f>SUMIF(EW635:FA669,"&gt;0")</f>
        <v>0</v>
      </c>
      <c r="EX670" s="1369"/>
      <c r="EY670" s="1369"/>
      <c r="EZ670" s="1369"/>
      <c r="FA670" s="1369"/>
    </row>
    <row r="671" spans="1:157" ht="13" customHeight="1">
      <c r="A671" s="22"/>
      <c r="B671" t="s">
        <v>316</v>
      </c>
      <c r="G671" s="1558" t="s">
        <v>2750</v>
      </c>
      <c r="H671" s="1487"/>
      <c r="I671" s="1487"/>
      <c r="J671" s="1487"/>
      <c r="K671" s="1487"/>
      <c r="L671" s="1487"/>
      <c r="O671" s="33" t="s">
        <v>206</v>
      </c>
      <c r="P671" s="1471">
        <v>204</v>
      </c>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t="s">
        <v>2751</v>
      </c>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545</v>
      </c>
      <c r="O673" s="1415"/>
      <c r="T673" s="22"/>
      <c r="U673" t="s">
        <v>20</v>
      </c>
      <c r="AG673" s="1415" t="s">
        <v>669</v>
      </c>
      <c r="AH673" s="1415"/>
      <c r="AZ673" s="3"/>
    </row>
    <row r="674" spans="1:52" ht="13" customHeight="1">
      <c r="A674" s="22"/>
      <c r="T674" s="22"/>
      <c r="AZ674" s="3"/>
    </row>
    <row r="675" spans="1:52" ht="13"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669</v>
      </c>
      <c r="O681" s="1415"/>
      <c r="T681" s="22"/>
      <c r="U681" t="s">
        <v>20</v>
      </c>
      <c r="AG681" s="1415" t="s">
        <v>669</v>
      </c>
      <c r="AH681" s="1415"/>
      <c r="AZ681" s="3"/>
    </row>
    <row r="682" spans="1:52" ht="13" customHeight="1">
      <c r="A682" s="22"/>
      <c r="T682" s="22"/>
      <c r="AZ682" s="3"/>
    </row>
    <row r="683" spans="1:52" ht="13" customHeight="1">
      <c r="A683" s="55" t="s">
        <v>362</v>
      </c>
      <c r="B683" t="s">
        <v>463</v>
      </c>
      <c r="G683" s="1483">
        <f>C637</f>
        <v>0</v>
      </c>
      <c r="H683" s="1483"/>
      <c r="I683" s="1483"/>
      <c r="J683" s="1483"/>
      <c r="K683" s="1483"/>
      <c r="L683" s="1483"/>
      <c r="M683" s="1483"/>
      <c r="N683" s="1483"/>
      <c r="O683" s="1483"/>
      <c r="P683" s="1483"/>
      <c r="Q683" s="1483"/>
      <c r="R683" s="1483"/>
      <c r="T683" s="55" t="s">
        <v>363</v>
      </c>
      <c r="U683" t="s">
        <v>463</v>
      </c>
      <c r="Z683" s="1483">
        <f>C638</f>
        <v>0</v>
      </c>
      <c r="AA683" s="1483"/>
      <c r="AB683" s="1483"/>
      <c r="AC683" s="1483"/>
      <c r="AD683" s="1483"/>
      <c r="AE683" s="1483"/>
      <c r="AF683" s="1483"/>
      <c r="AG683" s="1483"/>
      <c r="AH683" s="1483"/>
      <c r="AI683" s="1483"/>
      <c r="AJ683" s="1483"/>
      <c r="AK683" s="1483"/>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669</v>
      </c>
      <c r="O689" s="1415"/>
      <c r="U689" t="s">
        <v>20</v>
      </c>
      <c r="AG689" s="1415" t="s">
        <v>669</v>
      </c>
      <c r="AH689" s="1415"/>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545</v>
      </c>
      <c r="AF693" s="1415"/>
      <c r="AZ693" s="3"/>
    </row>
    <row r="694" spans="1:67" ht="13" customHeight="1">
      <c r="B694" s="135"/>
      <c r="C694" s="135"/>
      <c r="D694" s="136" t="s">
        <v>438</v>
      </c>
      <c r="E694" s="135"/>
      <c r="F694" s="135"/>
      <c r="G694" s="135"/>
      <c r="H694" s="135"/>
      <c r="AE694" s="1415" t="s">
        <v>669</v>
      </c>
      <c r="AF694" s="1415"/>
      <c r="AZ694" s="3"/>
    </row>
    <row r="695" spans="1:67" ht="13" customHeight="1">
      <c r="B695" s="135"/>
      <c r="C695" s="135"/>
      <c r="D695" s="136" t="s">
        <v>920</v>
      </c>
      <c r="E695" s="135"/>
      <c r="F695" s="135"/>
      <c r="G695" s="135"/>
      <c r="H695" s="135"/>
      <c r="AE695" s="1506">
        <v>45909</v>
      </c>
      <c r="AF695" s="1506"/>
      <c r="AG695" s="1506"/>
      <c r="AH695" s="1506"/>
      <c r="AI695" s="1506"/>
    </row>
    <row r="696" spans="1:67" ht="13" customHeight="1">
      <c r="B696" s="135"/>
      <c r="C696" s="135"/>
      <c r="D696" s="317" t="s">
        <v>983</v>
      </c>
      <c r="E696" s="135"/>
      <c r="F696" s="135"/>
      <c r="G696" s="135"/>
      <c r="H696" s="135"/>
      <c r="AE696" s="1665">
        <v>45980</v>
      </c>
      <c r="AF696" s="1665"/>
      <c r="AG696" s="1665"/>
      <c r="AH696" s="1665"/>
      <c r="AI696" s="1665"/>
    </row>
    <row r="697" spans="1:67" ht="13" customHeight="1">
      <c r="B697" s="135"/>
      <c r="C697" s="135"/>
    </row>
    <row r="698" spans="1:67" ht="13" customHeight="1">
      <c r="B698" s="135"/>
      <c r="C698" s="135"/>
      <c r="D698" s="136" t="s">
        <v>816</v>
      </c>
      <c r="E698" s="135"/>
      <c r="F698" s="135"/>
      <c r="G698" s="135"/>
      <c r="H698" s="135"/>
      <c r="AE698" s="1506">
        <v>46143</v>
      </c>
      <c r="AF698" s="1506"/>
      <c r="AG698" s="1506"/>
      <c r="AH698" s="1506"/>
      <c r="AI698" s="1506"/>
    </row>
    <row r="699" spans="1:67" ht="13" customHeight="1">
      <c r="B699" s="135"/>
      <c r="C699" s="135"/>
      <c r="D699" s="136" t="s">
        <v>436</v>
      </c>
      <c r="E699" s="135"/>
      <c r="F699" s="135"/>
      <c r="G699" s="135"/>
      <c r="H699" s="135"/>
      <c r="AE699" s="1685">
        <f>[1]budgets!$H$16</f>
        <v>0.28499999999999998</v>
      </c>
      <c r="AF699" s="1685"/>
      <c r="AG699" s="1685"/>
      <c r="AH699" s="1685"/>
      <c r="AI699" s="1685"/>
    </row>
    <row r="700" spans="1:67" ht="13"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669</v>
      </c>
      <c r="AF702" s="1415"/>
      <c r="AZ702" s="4" t="s">
        <v>324</v>
      </c>
    </row>
    <row r="703" spans="1:67" ht="13" customHeight="1">
      <c r="B703" s="135"/>
      <c r="C703" s="135"/>
      <c r="D703" s="136" t="s">
        <v>442</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4" t="s">
        <v>389</v>
      </c>
      <c r="C714" s="1495"/>
      <c r="D714" s="1495"/>
      <c r="E714" s="1495"/>
      <c r="F714" s="1496"/>
      <c r="G714" s="1494" t="s">
        <v>285</v>
      </c>
      <c r="H714" s="1495"/>
      <c r="I714" s="1495"/>
      <c r="J714" s="1496"/>
      <c r="K714" s="1511" t="s">
        <v>1679</v>
      </c>
      <c r="L714" s="1512"/>
      <c r="M714" s="1512"/>
      <c r="N714" s="1513"/>
      <c r="O714" s="1494" t="s">
        <v>447</v>
      </c>
      <c r="P714" s="1495"/>
      <c r="Q714" s="1495"/>
      <c r="R714" s="1495"/>
      <c r="S714" s="1496"/>
      <c r="T714" s="1507" t="s">
        <v>1949</v>
      </c>
      <c r="U714" s="1495"/>
      <c r="V714" s="1495"/>
      <c r="W714" s="1496"/>
      <c r="X714" s="1507" t="s">
        <v>1951</v>
      </c>
      <c r="Y714" s="1495"/>
      <c r="Z714" s="1495"/>
      <c r="AA714" s="1495"/>
      <c r="AB714" s="1496"/>
      <c r="AC714" s="1507" t="s">
        <v>1950</v>
      </c>
      <c r="AD714" s="1495"/>
      <c r="AE714" s="1495"/>
      <c r="AF714" s="1495"/>
      <c r="AG714" s="1496"/>
      <c r="AH714" s="1507" t="s">
        <v>1952</v>
      </c>
      <c r="AI714" s="1495"/>
      <c r="AJ714" s="1496"/>
      <c r="AK714" s="1507"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5" t="s">
        <v>633</v>
      </c>
      <c r="CQ717" s="1796"/>
      <c r="CR717" s="1796"/>
      <c r="CS717" s="1796"/>
      <c r="CT717" s="1797"/>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3" customHeight="1">
      <c r="A718" s="4"/>
      <c r="B718" s="1355" t="s">
        <v>325</v>
      </c>
      <c r="C718" s="1356"/>
      <c r="D718" s="1356"/>
      <c r="E718" s="1356"/>
      <c r="F718" s="1357"/>
      <c r="G718" s="1364">
        <v>6</v>
      </c>
      <c r="H718" s="1365"/>
      <c r="I718" s="1365"/>
      <c r="J718" s="1366"/>
      <c r="K718" s="1604">
        <v>628</v>
      </c>
      <c r="L718" s="1605"/>
      <c r="M718" s="1605"/>
      <c r="N718" s="1606"/>
      <c r="O718" s="1468">
        <f>574</f>
        <v>574</v>
      </c>
      <c r="P718" s="1469"/>
      <c r="Q718" s="1469"/>
      <c r="R718" s="1469"/>
      <c r="S718" s="1470"/>
      <c r="T718" s="1468">
        <f>55</f>
        <v>55</v>
      </c>
      <c r="U718" s="1469"/>
      <c r="V718" s="1469"/>
      <c r="W718" s="1470"/>
      <c r="X718" s="1358">
        <f t="shared" ref="X718:X741" si="8">O718+T718</f>
        <v>629</v>
      </c>
      <c r="Y718" s="1359"/>
      <c r="Z718" s="1359"/>
      <c r="AA718" s="1359"/>
      <c r="AB718" s="1360"/>
      <c r="AC718" s="1613">
        <v>0.3</v>
      </c>
      <c r="AD718" s="1614"/>
      <c r="AE718" s="1614"/>
      <c r="AF718" s="1614"/>
      <c r="AG718" s="1615"/>
      <c r="AH718" s="1361">
        <f>IF($AC718&gt;0,($X718/$AZ718), "")</f>
        <v>0.29980934223069589</v>
      </c>
      <c r="AI718" s="1362"/>
      <c r="AJ718" s="1363"/>
      <c r="AK718" s="1355" t="s">
        <v>591</v>
      </c>
      <c r="AL718" s="1356"/>
      <c r="AM718" s="1356"/>
      <c r="AN718" s="1356"/>
      <c r="AO718" s="1357"/>
      <c r="AP718" s="3"/>
      <c r="AQ718" s="3"/>
      <c r="AR718" s="3"/>
      <c r="AS718" s="3"/>
      <c r="AZ718" s="118">
        <f t="shared" ref="AZ718:AZ752" si="9">IF($G718=0,"N/A",VLOOKUP($T$189,TC_Rent,(MATCH($B718,bedrooms,FALSE)),FALSE))</f>
        <v>2098</v>
      </c>
      <c r="BA718" s="3"/>
      <c r="BB718" s="3"/>
      <c r="BC718" s="3"/>
      <c r="BD718" s="3"/>
      <c r="BE718" s="204"/>
      <c r="BF718" s="293">
        <f t="shared" ref="BF718:BF752" si="10">G718</f>
        <v>6</v>
      </c>
      <c r="BG718" s="297">
        <f t="shared" ref="BG718:BG752" si="11">IF($BF$753=0,0,BF718/$BF$753)</f>
        <v>7.5949367088607597E-2</v>
      </c>
      <c r="BH718" s="298">
        <f t="shared" ref="BH718:BH752" si="12">IF(BG718=0,"",BG718*AC718)</f>
        <v>2.2784810126582278E-2</v>
      </c>
      <c r="BI718" s="3"/>
      <c r="BJ718" s="3"/>
      <c r="BK718" s="3"/>
      <c r="BL718" s="3"/>
      <c r="BM718" s="3"/>
      <c r="BN718" s="3"/>
      <c r="BS718" s="293">
        <f t="shared" ref="BS718:BS752" si="13">G718</f>
        <v>6</v>
      </c>
      <c r="BT718" s="297">
        <f t="shared" ref="BT718:BT752" si="14">IF($BS$753=0,0,BS718/$BS$753)</f>
        <v>7.5949367088607597E-2</v>
      </c>
      <c r="BU718" s="298">
        <f t="shared" ref="BU718:BU752" si="15">IF(BT718=0,"",BT718*AH718)</f>
        <v>2.2770329789673107E-2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6</v>
      </c>
      <c r="CN718" s="1337"/>
      <c r="CO718" s="3"/>
      <c r="CP718" s="1332">
        <f t="shared" ref="CP718:CP752" si="18">IF(B718="SRO/Studio",G718,0)</f>
        <v>0</v>
      </c>
      <c r="CQ718" s="1333"/>
      <c r="CR718" s="1333"/>
      <c r="CS718" s="1333"/>
      <c r="CT718" s="1334"/>
      <c r="CU718" s="1354">
        <f t="shared" ref="CU718:CU752" si="19">IF(B718="1 Bedroom",G718,0)</f>
        <v>6</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6</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574</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3" customHeight="1">
      <c r="A719" s="4"/>
      <c r="B719" s="1355" t="s">
        <v>325</v>
      </c>
      <c r="C719" s="1356"/>
      <c r="D719" s="1356"/>
      <c r="E719" s="1356"/>
      <c r="F719" s="1357"/>
      <c r="G719" s="1364">
        <v>20</v>
      </c>
      <c r="H719" s="1365"/>
      <c r="I719" s="1365"/>
      <c r="J719" s="1366"/>
      <c r="K719" s="1604">
        <v>628</v>
      </c>
      <c r="L719" s="1605"/>
      <c r="M719" s="1605"/>
      <c r="N719" s="1606"/>
      <c r="O719" s="1468">
        <v>784</v>
      </c>
      <c r="P719" s="1469"/>
      <c r="Q719" s="1469"/>
      <c r="R719" s="1469"/>
      <c r="S719" s="1470"/>
      <c r="T719" s="1468">
        <f>T718</f>
        <v>55</v>
      </c>
      <c r="U719" s="1469"/>
      <c r="V719" s="1469"/>
      <c r="W719" s="1470"/>
      <c r="X719" s="1358">
        <f t="shared" si="8"/>
        <v>839</v>
      </c>
      <c r="Y719" s="1359"/>
      <c r="Z719" s="1359"/>
      <c r="AA719" s="1359"/>
      <c r="AB719" s="1360"/>
      <c r="AC719" s="1613">
        <v>0.4</v>
      </c>
      <c r="AD719" s="1614"/>
      <c r="AE719" s="1614"/>
      <c r="AF719" s="1614"/>
      <c r="AG719" s="1615"/>
      <c r="AH719" s="1361">
        <f t="shared" ref="AH719:AH752" si="36">IF($AC719&gt;0,($X719/$AZ719), "")</f>
        <v>0.39990467111534794</v>
      </c>
      <c r="AI719" s="1362"/>
      <c r="AJ719" s="1363"/>
      <c r="AK719" s="1355" t="s">
        <v>591</v>
      </c>
      <c r="AL719" s="1356"/>
      <c r="AM719" s="1356"/>
      <c r="AN719" s="1356"/>
      <c r="AO719" s="1357"/>
      <c r="AP719" s="3"/>
      <c r="AQ719" s="3"/>
      <c r="AR719" s="3"/>
      <c r="AS719" s="3"/>
      <c r="AZ719" s="118">
        <f>IF($G719=0,"N/A",VLOOKUP($T$189,TC_Rent,(MATCH($B719,bedrooms,FALSE)),FALSE))</f>
        <v>2098</v>
      </c>
      <c r="BA719" s="3"/>
      <c r="BB719" s="3"/>
      <c r="BC719" s="3"/>
      <c r="BD719" s="3"/>
      <c r="BE719" s="204"/>
      <c r="BF719" s="294">
        <f t="shared" si="10"/>
        <v>20</v>
      </c>
      <c r="BG719" s="297">
        <f t="shared" si="11"/>
        <v>0.25316455696202533</v>
      </c>
      <c r="BH719" s="298">
        <f t="shared" si="12"/>
        <v>0.10126582278481014</v>
      </c>
      <c r="BI719" s="3"/>
      <c r="BJ719" s="3"/>
      <c r="BK719" s="3"/>
      <c r="BL719" s="3"/>
      <c r="BM719" s="3"/>
      <c r="BN719" s="3"/>
      <c r="BS719" s="294">
        <f t="shared" si="13"/>
        <v>20</v>
      </c>
      <c r="BT719" s="297">
        <f t="shared" si="14"/>
        <v>0.25316455696202533</v>
      </c>
      <c r="BU719" s="298">
        <f t="shared" si="15"/>
        <v>0.10124168888996152</v>
      </c>
      <c r="CC719" s="3"/>
      <c r="CD719" s="3"/>
      <c r="CE719" s="3"/>
      <c r="CF719" s="3"/>
      <c r="CG719" s="1351">
        <f t="shared" ref="CG719:CG752" si="37">IF(AND(AC719&lt;=0.5,AC719&gt;=0.36),1,0)</f>
        <v>1</v>
      </c>
      <c r="CH719" s="1353"/>
      <c r="CI719" s="1335">
        <f t="shared" ref="CI719:CI752" si="38">IF(CG719=1,G719,0)</f>
        <v>20</v>
      </c>
      <c r="CJ719" s="1337"/>
      <c r="CK719" s="1351">
        <f t="shared" si="16"/>
        <v>0</v>
      </c>
      <c r="CL719" s="1353"/>
      <c r="CM719" s="1335">
        <f t="shared" si="17"/>
        <v>0</v>
      </c>
      <c r="CN719" s="1337"/>
      <c r="CO719" s="3"/>
      <c r="CP719" s="1332">
        <f>IF(B719="SRO/Studio",G719,0)</f>
        <v>0</v>
      </c>
      <c r="CQ719" s="1333"/>
      <c r="CR719" s="1333"/>
      <c r="CS719" s="1333"/>
      <c r="CT719" s="1334"/>
      <c r="CU719" s="1354">
        <f>IF(B719="1 Bedroom",G719,0)</f>
        <v>20</v>
      </c>
      <c r="CV719" s="1354"/>
      <c r="CW719" s="1354"/>
      <c r="CX719" s="1354"/>
      <c r="CY719" s="1354"/>
      <c r="CZ719" s="1354">
        <f>IF(B719="2 Bedrooms",G719,0)</f>
        <v>0</v>
      </c>
      <c r="DA719" s="1354"/>
      <c r="DB719" s="1354"/>
      <c r="DC719" s="1354"/>
      <c r="DD719" s="1354"/>
      <c r="DE719" s="1354">
        <f>IF(B719="3 Bedrooms",G719,0)</f>
        <v>0</v>
      </c>
      <c r="DF719" s="1354"/>
      <c r="DG719" s="1354"/>
      <c r="DH719" s="1354"/>
      <c r="DI719" s="1354"/>
      <c r="DJ719" s="1354">
        <f>IF(B719="4 Bedrooms",G719,0)</f>
        <v>0</v>
      </c>
      <c r="DK719" s="1354"/>
      <c r="DL719" s="1354"/>
      <c r="DM719" s="1354"/>
      <c r="DN719" s="1354"/>
      <c r="DO719" s="1354">
        <f>IF(B719="5 Bedrooms",G719,0)</f>
        <v>0</v>
      </c>
      <c r="DP719" s="1354"/>
      <c r="DQ719" s="1354"/>
      <c r="DR719" s="1354"/>
      <c r="DS719" s="1354"/>
      <c r="DT719" s="6"/>
      <c r="DU719" s="1368">
        <f>IF(AND(B719="SRO/Studio",AC719&lt;=0.3),G719,0)</f>
        <v>0</v>
      </c>
      <c r="DV719" s="1368"/>
      <c r="DW719" s="1368"/>
      <c r="DX719" s="1368"/>
      <c r="DY719" s="1368"/>
      <c r="DZ719" s="1368">
        <f>IF(AND(B719="1 Bedroom",AC719&lt;=0.3),G719,0)</f>
        <v>0</v>
      </c>
      <c r="EA719" s="1368"/>
      <c r="EB719" s="1368"/>
      <c r="EC719" s="1368"/>
      <c r="ED719" s="1368"/>
      <c r="EE719" s="1368">
        <f>IF(AND(B719="2 Bedrooms",AC719&lt;=0.3),G719,0)</f>
        <v>0</v>
      </c>
      <c r="EF719" s="1368"/>
      <c r="EG719" s="1368"/>
      <c r="EH719" s="1368"/>
      <c r="EI719" s="1368"/>
      <c r="EJ719" s="1368">
        <f>IF(AND(B719="3 Bedrooms",AC719&lt;=0.3),G719,0)</f>
        <v>0</v>
      </c>
      <c r="EK719" s="1368"/>
      <c r="EL719" s="1368"/>
      <c r="EM719" s="1368"/>
      <c r="EN719" s="1368"/>
      <c r="EO719" s="1368">
        <f>IF(AND(B719="4 Bedrooms",AC719&lt;=0.3),G719,0)</f>
        <v>0</v>
      </c>
      <c r="EP719" s="1368"/>
      <c r="EQ719" s="1368"/>
      <c r="ER719" s="1368"/>
      <c r="ES719" s="1368"/>
      <c r="ET719" s="1368">
        <f>IF(AND(B719="5 Bedrooms",AC719&lt;=0.3),G719,0)</f>
        <v>0</v>
      </c>
      <c r="EU719" s="1368"/>
      <c r="EV719" s="1368"/>
      <c r="EW719" s="1368"/>
      <c r="EX719" s="1368"/>
      <c r="EY719" s="4"/>
      <c r="EZ719" s="1351" t="str">
        <f t="shared" si="30"/>
        <v/>
      </c>
      <c r="FA719" s="1352"/>
      <c r="FB719" s="1352"/>
      <c r="FC719" s="1352"/>
      <c r="FD719" s="1353"/>
      <c r="FE719" s="1351">
        <f t="shared" si="31"/>
        <v>784</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3" customHeight="1">
      <c r="A720" s="4"/>
      <c r="B720" s="1355" t="s">
        <v>325</v>
      </c>
      <c r="C720" s="1356"/>
      <c r="D720" s="1356"/>
      <c r="E720" s="1356"/>
      <c r="F720" s="1357"/>
      <c r="G720" s="1364">
        <v>6</v>
      </c>
      <c r="H720" s="1365"/>
      <c r="I720" s="1365"/>
      <c r="J720" s="1366"/>
      <c r="K720" s="1604">
        <v>628</v>
      </c>
      <c r="L720" s="1605"/>
      <c r="M720" s="1605"/>
      <c r="N720" s="1606"/>
      <c r="O720" s="1468">
        <v>994</v>
      </c>
      <c r="P720" s="1469"/>
      <c r="Q720" s="1469"/>
      <c r="R720" s="1469"/>
      <c r="S720" s="1470"/>
      <c r="T720" s="1468">
        <f>T719</f>
        <v>55</v>
      </c>
      <c r="U720" s="1469"/>
      <c r="V720" s="1469"/>
      <c r="W720" s="1470"/>
      <c r="X720" s="1358">
        <f t="shared" si="8"/>
        <v>1049</v>
      </c>
      <c r="Y720" s="1359"/>
      <c r="Z720" s="1359"/>
      <c r="AA720" s="1359"/>
      <c r="AB720" s="1360"/>
      <c r="AC720" s="1613">
        <v>0.5</v>
      </c>
      <c r="AD720" s="1614"/>
      <c r="AE720" s="1614"/>
      <c r="AF720" s="1614"/>
      <c r="AG720" s="1615"/>
      <c r="AH720" s="1361">
        <f t="shared" si="36"/>
        <v>0.5</v>
      </c>
      <c r="AI720" s="1362"/>
      <c r="AJ720" s="1363"/>
      <c r="AK720" s="1355" t="s">
        <v>591</v>
      </c>
      <c r="AL720" s="1356"/>
      <c r="AM720" s="1356"/>
      <c r="AN720" s="1356"/>
      <c r="AO720" s="1357"/>
      <c r="AP720" s="3"/>
      <c r="AQ720" s="3"/>
      <c r="AR720" s="3"/>
      <c r="AS720" s="3"/>
      <c r="AZ720" s="118">
        <f>IF($G720=0,"N/A",VLOOKUP($T$189,TC_Rent,(MATCH($B720,bedrooms,FALSE)),FALSE))</f>
        <v>2098</v>
      </c>
      <c r="BA720" s="3"/>
      <c r="BB720" s="3"/>
      <c r="BC720" s="3"/>
      <c r="BD720" s="3"/>
      <c r="BE720" s="204"/>
      <c r="BF720" s="294">
        <f t="shared" si="10"/>
        <v>6</v>
      </c>
      <c r="BG720" s="297">
        <f t="shared" si="11"/>
        <v>7.5949367088607597E-2</v>
      </c>
      <c r="BH720" s="298">
        <f t="shared" si="12"/>
        <v>3.7974683544303799E-2</v>
      </c>
      <c r="BI720" s="3"/>
      <c r="BJ720" s="3"/>
      <c r="BK720" s="3"/>
      <c r="BL720" s="3"/>
      <c r="BM720" s="3"/>
      <c r="BN720" s="3"/>
      <c r="BS720" s="294">
        <f t="shared" si="13"/>
        <v>6</v>
      </c>
      <c r="BT720" s="297">
        <f t="shared" si="14"/>
        <v>7.5949367088607597E-2</v>
      </c>
      <c r="BU720" s="298">
        <f t="shared" si="15"/>
        <v>3.7974683544303799E-2</v>
      </c>
      <c r="CC720" s="3"/>
      <c r="CD720" s="3"/>
      <c r="CE720" s="3"/>
      <c r="CF720" s="3"/>
      <c r="CG720" s="1351">
        <f t="shared" si="37"/>
        <v>1</v>
      </c>
      <c r="CH720" s="1353"/>
      <c r="CI720" s="1335">
        <f t="shared" si="38"/>
        <v>6</v>
      </c>
      <c r="CJ720" s="1337"/>
      <c r="CK720" s="1351">
        <f t="shared" si="16"/>
        <v>0</v>
      </c>
      <c r="CL720" s="1353"/>
      <c r="CM720" s="1335">
        <f t="shared" si="17"/>
        <v>0</v>
      </c>
      <c r="CN720" s="1337"/>
      <c r="CO720" s="3"/>
      <c r="CP720" s="1332">
        <f>IF(B720="SRO/Studio",G720,0)</f>
        <v>0</v>
      </c>
      <c r="CQ720" s="1333"/>
      <c r="CR720" s="1333"/>
      <c r="CS720" s="1333"/>
      <c r="CT720" s="1334"/>
      <c r="CU720" s="1354">
        <f>IF(B720="1 Bedroom",G720,0)</f>
        <v>6</v>
      </c>
      <c r="CV720" s="1354"/>
      <c r="CW720" s="1354"/>
      <c r="CX720" s="1354"/>
      <c r="CY720" s="1354"/>
      <c r="CZ720" s="1354">
        <f>IF(B720="2 Bedrooms",G720,0)</f>
        <v>0</v>
      </c>
      <c r="DA720" s="1354"/>
      <c r="DB720" s="1354"/>
      <c r="DC720" s="1354"/>
      <c r="DD720" s="1354"/>
      <c r="DE720" s="1354">
        <f>IF(B720="3 Bedrooms",G720,0)</f>
        <v>0</v>
      </c>
      <c r="DF720" s="1354"/>
      <c r="DG720" s="1354"/>
      <c r="DH720" s="1354"/>
      <c r="DI720" s="1354"/>
      <c r="DJ720" s="1354">
        <f>IF(B720="4 Bedrooms",G720,0)</f>
        <v>0</v>
      </c>
      <c r="DK720" s="1354"/>
      <c r="DL720" s="1354"/>
      <c r="DM720" s="1354"/>
      <c r="DN720" s="1354"/>
      <c r="DO720" s="1354">
        <f>IF(B720="5 Bedrooms",G720,0)</f>
        <v>0</v>
      </c>
      <c r="DP720" s="1354"/>
      <c r="DQ720" s="1354"/>
      <c r="DR720" s="1354"/>
      <c r="DS720" s="1354"/>
      <c r="DT720" s="6"/>
      <c r="DU720" s="1368">
        <f>IF(AND(B720="SRO/Studio",AC720&lt;=0.3),G720,0)</f>
        <v>0</v>
      </c>
      <c r="DV720" s="1368"/>
      <c r="DW720" s="1368"/>
      <c r="DX720" s="1368"/>
      <c r="DY720" s="1368"/>
      <c r="DZ720" s="1368">
        <f>IF(AND(B720="1 Bedroom",AC720&lt;=0.3),G720,0)</f>
        <v>0</v>
      </c>
      <c r="EA720" s="1368"/>
      <c r="EB720" s="1368"/>
      <c r="EC720" s="1368"/>
      <c r="ED720" s="1368"/>
      <c r="EE720" s="1368">
        <f>IF(AND(B720="2 Bedrooms",AC720&lt;=0.3),G720,0)</f>
        <v>0</v>
      </c>
      <c r="EF720" s="1368"/>
      <c r="EG720" s="1368"/>
      <c r="EH720" s="1368"/>
      <c r="EI720" s="1368"/>
      <c r="EJ720" s="1368">
        <f>IF(AND(B720="3 Bedrooms",AC720&lt;=0.3),G720,0)</f>
        <v>0</v>
      </c>
      <c r="EK720" s="1368"/>
      <c r="EL720" s="1368"/>
      <c r="EM720" s="1368"/>
      <c r="EN720" s="1368"/>
      <c r="EO720" s="1368">
        <f>IF(AND(B720="4 Bedrooms",AC720&lt;=0.3),G720,0)</f>
        <v>0</v>
      </c>
      <c r="EP720" s="1368"/>
      <c r="EQ720" s="1368"/>
      <c r="ER720" s="1368"/>
      <c r="ES720" s="1368"/>
      <c r="ET720" s="1368">
        <f>IF(AND(B720="5 Bedrooms",AC720&lt;=0.3),G720,0)</f>
        <v>0</v>
      </c>
      <c r="EU720" s="1368"/>
      <c r="EV720" s="1368"/>
      <c r="EW720" s="1368"/>
      <c r="EX720" s="1368"/>
      <c r="EZ720" s="1351" t="str">
        <f t="shared" si="30"/>
        <v/>
      </c>
      <c r="FA720" s="1352"/>
      <c r="FB720" s="1352"/>
      <c r="FC720" s="1352"/>
      <c r="FD720" s="1353"/>
      <c r="FE720" s="1351">
        <f t="shared" si="31"/>
        <v>994</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3" customHeight="1">
      <c r="B721" s="1355" t="s">
        <v>163</v>
      </c>
      <c r="C721" s="1356"/>
      <c r="D721" s="1356"/>
      <c r="E721" s="1356"/>
      <c r="F721" s="1357"/>
      <c r="G721" s="1364">
        <v>7</v>
      </c>
      <c r="H721" s="1365"/>
      <c r="I721" s="1365"/>
      <c r="J721" s="1366"/>
      <c r="K721" s="1604">
        <v>898</v>
      </c>
      <c r="L721" s="1605"/>
      <c r="M721" s="1605"/>
      <c r="N721" s="1606"/>
      <c r="O721" s="1468">
        <v>685</v>
      </c>
      <c r="P721" s="1469"/>
      <c r="Q721" s="1469"/>
      <c r="R721" s="1469"/>
      <c r="S721" s="1470"/>
      <c r="T721" s="1468">
        <f>70</f>
        <v>70</v>
      </c>
      <c r="U721" s="1469"/>
      <c r="V721" s="1469"/>
      <c r="W721" s="1470"/>
      <c r="X721" s="1358">
        <f t="shared" si="8"/>
        <v>755</v>
      </c>
      <c r="Y721" s="1359"/>
      <c r="Z721" s="1359"/>
      <c r="AA721" s="1359"/>
      <c r="AB721" s="1360"/>
      <c r="AC721" s="1613">
        <v>0.3</v>
      </c>
      <c r="AD721" s="1614"/>
      <c r="AE721" s="1614"/>
      <c r="AF721" s="1614"/>
      <c r="AG721" s="1615"/>
      <c r="AH721" s="1361">
        <f t="shared" si="36"/>
        <v>0.30007949125596184</v>
      </c>
      <c r="AI721" s="1362"/>
      <c r="AJ721" s="1363"/>
      <c r="AK721" s="1355" t="s">
        <v>591</v>
      </c>
      <c r="AL721" s="1356"/>
      <c r="AM721" s="1356"/>
      <c r="AN721" s="1356"/>
      <c r="AO721" s="1357"/>
      <c r="AP721" s="3"/>
      <c r="AQ721" s="3"/>
      <c r="AR721" s="3"/>
      <c r="AS721" s="3"/>
      <c r="AY721" s="116"/>
      <c r="AZ721" s="118">
        <f t="shared" si="9"/>
        <v>2516</v>
      </c>
      <c r="BA721" s="3"/>
      <c r="BB721" s="3"/>
      <c r="BC721" s="3"/>
      <c r="BD721" s="3"/>
      <c r="BE721" s="204"/>
      <c r="BF721" s="294">
        <f t="shared" si="10"/>
        <v>7</v>
      </c>
      <c r="BG721" s="297">
        <f t="shared" si="11"/>
        <v>8.8607594936708861E-2</v>
      </c>
      <c r="BH721" s="298">
        <f t="shared" si="12"/>
        <v>2.6582278481012658E-2</v>
      </c>
      <c r="BI721" s="3"/>
      <c r="BJ721" s="3"/>
      <c r="BK721" s="3"/>
      <c r="BL721" s="3"/>
      <c r="BM721" s="3"/>
      <c r="BN721" s="3"/>
      <c r="BS721" s="294">
        <f t="shared" si="13"/>
        <v>7</v>
      </c>
      <c r="BT721" s="297">
        <f t="shared" si="14"/>
        <v>8.8607594936708861E-2</v>
      </c>
      <c r="BU721" s="298">
        <f t="shared" si="15"/>
        <v>2.6589322010021937E-2</v>
      </c>
      <c r="CC721" s="3"/>
      <c r="CD721" s="3"/>
      <c r="CE721" s="3"/>
      <c r="CF721" s="3"/>
      <c r="CG721" s="1351">
        <f t="shared" si="37"/>
        <v>0</v>
      </c>
      <c r="CH721" s="1353"/>
      <c r="CI721" s="1335">
        <f t="shared" si="38"/>
        <v>0</v>
      </c>
      <c r="CJ721" s="1337"/>
      <c r="CK721" s="1351">
        <f t="shared" si="16"/>
        <v>1</v>
      </c>
      <c r="CL721" s="1353"/>
      <c r="CM721" s="1335">
        <f t="shared" si="17"/>
        <v>7</v>
      </c>
      <c r="CN721" s="1337"/>
      <c r="CO721" s="3"/>
      <c r="CP721" s="1332">
        <f t="shared" si="18"/>
        <v>0</v>
      </c>
      <c r="CQ721" s="1333"/>
      <c r="CR721" s="1333"/>
      <c r="CS721" s="1333"/>
      <c r="CT721" s="1334"/>
      <c r="CU721" s="1354">
        <f t="shared" si="19"/>
        <v>0</v>
      </c>
      <c r="CV721" s="1354"/>
      <c r="CW721" s="1354"/>
      <c r="CX721" s="1354"/>
      <c r="CY721" s="1354"/>
      <c r="CZ721" s="1354">
        <f t="shared" si="20"/>
        <v>7</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7</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t="str">
        <f t="shared" si="31"/>
        <v/>
      </c>
      <c r="FF721" s="1352"/>
      <c r="FG721" s="1352"/>
      <c r="FH721" s="1352"/>
      <c r="FI721" s="1353"/>
      <c r="FJ721" s="1351">
        <f t="shared" si="32"/>
        <v>685</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3" customHeight="1">
      <c r="B722" s="1355" t="s">
        <v>163</v>
      </c>
      <c r="C722" s="1356"/>
      <c r="D722" s="1356"/>
      <c r="E722" s="1356"/>
      <c r="F722" s="1357"/>
      <c r="G722" s="1364">
        <v>10</v>
      </c>
      <c r="H722" s="1365"/>
      <c r="I722" s="1365"/>
      <c r="J722" s="1366"/>
      <c r="K722" s="1604">
        <v>898</v>
      </c>
      <c r="L722" s="1605"/>
      <c r="M722" s="1605"/>
      <c r="N722" s="1606"/>
      <c r="O722" s="1468">
        <v>937</v>
      </c>
      <c r="P722" s="1469"/>
      <c r="Q722" s="1469"/>
      <c r="R722" s="1469"/>
      <c r="S722" s="1470"/>
      <c r="T722" s="1468">
        <f>T721</f>
        <v>70</v>
      </c>
      <c r="U722" s="1469"/>
      <c r="V722" s="1469"/>
      <c r="W722" s="1470"/>
      <c r="X722" s="1358">
        <f t="shared" si="8"/>
        <v>1007</v>
      </c>
      <c r="Y722" s="1359"/>
      <c r="Z722" s="1359"/>
      <c r="AA722" s="1359"/>
      <c r="AB722" s="1360"/>
      <c r="AC722" s="1613">
        <v>0.4</v>
      </c>
      <c r="AD722" s="1614"/>
      <c r="AE722" s="1614"/>
      <c r="AF722" s="1614"/>
      <c r="AG722" s="1615"/>
      <c r="AH722" s="1361">
        <f t="shared" si="36"/>
        <v>0.40023847376788552</v>
      </c>
      <c r="AI722" s="1362"/>
      <c r="AJ722" s="1363"/>
      <c r="AK722" s="1355" t="s">
        <v>591</v>
      </c>
      <c r="AL722" s="1356"/>
      <c r="AM722" s="1356"/>
      <c r="AN722" s="1356"/>
      <c r="AO722" s="1357"/>
      <c r="AP722" s="3"/>
      <c r="AQ722" s="3"/>
      <c r="AR722" s="3"/>
      <c r="AS722" s="3"/>
      <c r="AY722" s="116"/>
      <c r="AZ722" s="118">
        <f t="shared" si="9"/>
        <v>2516</v>
      </c>
      <c r="BA722" s="3"/>
      <c r="BB722" s="3"/>
      <c r="BC722" s="3"/>
      <c r="BD722" s="3"/>
      <c r="BE722" s="204"/>
      <c r="BF722" s="294">
        <f t="shared" si="10"/>
        <v>10</v>
      </c>
      <c r="BG722" s="297">
        <f t="shared" si="11"/>
        <v>0.12658227848101267</v>
      </c>
      <c r="BH722" s="298">
        <f t="shared" si="12"/>
        <v>5.0632911392405069E-2</v>
      </c>
      <c r="BI722" s="3"/>
      <c r="BJ722" s="3"/>
      <c r="BK722" s="3"/>
      <c r="BL722" s="3"/>
      <c r="BM722" s="3"/>
      <c r="BN722" s="3"/>
      <c r="BS722" s="294">
        <f t="shared" si="13"/>
        <v>10</v>
      </c>
      <c r="BT722" s="297">
        <f t="shared" si="14"/>
        <v>0.12658227848101267</v>
      </c>
      <c r="BU722" s="298">
        <f t="shared" si="15"/>
        <v>5.0663097945301966E-2</v>
      </c>
      <c r="CC722" s="3"/>
      <c r="CD722" s="3"/>
      <c r="CE722" s="3"/>
      <c r="CF722" s="3"/>
      <c r="CG722" s="1351">
        <f t="shared" si="37"/>
        <v>1</v>
      </c>
      <c r="CH722" s="1353"/>
      <c r="CI722" s="1335">
        <f t="shared" si="38"/>
        <v>10</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10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937</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3" customHeight="1">
      <c r="B723" s="1355" t="s">
        <v>163</v>
      </c>
      <c r="C723" s="1356"/>
      <c r="D723" s="1356"/>
      <c r="E723" s="1356"/>
      <c r="F723" s="1357"/>
      <c r="G723" s="1364">
        <v>7</v>
      </c>
      <c r="H723" s="1365"/>
      <c r="I723" s="1365"/>
      <c r="J723" s="1366"/>
      <c r="K723" s="1604">
        <v>898</v>
      </c>
      <c r="L723" s="1605"/>
      <c r="M723" s="1605"/>
      <c r="N723" s="1606"/>
      <c r="O723" s="1468">
        <f>[1]budgets!$AD$14</f>
        <v>1188.28</v>
      </c>
      <c r="P723" s="1469"/>
      <c r="Q723" s="1469"/>
      <c r="R723" s="1469"/>
      <c r="S723" s="1470"/>
      <c r="T723" s="1468">
        <f>T722</f>
        <v>70</v>
      </c>
      <c r="U723" s="1469"/>
      <c r="V723" s="1469"/>
      <c r="W723" s="1470"/>
      <c r="X723" s="1358">
        <f t="shared" si="8"/>
        <v>1258.28</v>
      </c>
      <c r="Y723" s="1359"/>
      <c r="Z723" s="1359"/>
      <c r="AA723" s="1359"/>
      <c r="AB723" s="1360"/>
      <c r="AC723" s="1613">
        <v>0.5</v>
      </c>
      <c r="AD723" s="1614"/>
      <c r="AE723" s="1614"/>
      <c r="AF723" s="1614"/>
      <c r="AG723" s="1615"/>
      <c r="AH723" s="1361">
        <f t="shared" si="36"/>
        <v>0.50011128775834657</v>
      </c>
      <c r="AI723" s="1362"/>
      <c r="AJ723" s="1363"/>
      <c r="AK723" s="1355" t="s">
        <v>591</v>
      </c>
      <c r="AL723" s="1356"/>
      <c r="AM723" s="1356"/>
      <c r="AN723" s="1356"/>
      <c r="AO723" s="1357"/>
      <c r="AP723" s="3"/>
      <c r="AQ723" s="3"/>
      <c r="AR723" s="3"/>
      <c r="AS723" s="3"/>
      <c r="AY723" s="116"/>
      <c r="AZ723" s="118">
        <f t="shared" si="9"/>
        <v>2516</v>
      </c>
      <c r="BA723" s="3"/>
      <c r="BB723" s="3"/>
      <c r="BC723" s="3"/>
      <c r="BD723" s="3"/>
      <c r="BE723" s="204"/>
      <c r="BF723" s="294">
        <f t="shared" si="10"/>
        <v>7</v>
      </c>
      <c r="BG723" s="297">
        <f t="shared" si="11"/>
        <v>8.8607594936708861E-2</v>
      </c>
      <c r="BH723" s="298">
        <f t="shared" si="12"/>
        <v>4.4303797468354431E-2</v>
      </c>
      <c r="BI723" s="3"/>
      <c r="BJ723" s="3"/>
      <c r="BK723" s="3"/>
      <c r="BL723" s="3"/>
      <c r="BM723" s="3"/>
      <c r="BN723" s="3"/>
      <c r="BS723" s="294">
        <f t="shared" si="13"/>
        <v>7</v>
      </c>
      <c r="BT723" s="297">
        <f t="shared" si="14"/>
        <v>8.8607594936708861E-2</v>
      </c>
      <c r="BU723" s="298">
        <f t="shared" si="15"/>
        <v>4.4313658408967414E-2</v>
      </c>
      <c r="CC723" s="3"/>
      <c r="CD723" s="3"/>
      <c r="CE723" s="3"/>
      <c r="CF723" s="3"/>
      <c r="CG723" s="1351">
        <f t="shared" si="37"/>
        <v>1</v>
      </c>
      <c r="CH723" s="1353"/>
      <c r="CI723" s="1335">
        <f t="shared" si="38"/>
        <v>7</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7</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1188.28</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3" customHeight="1">
      <c r="B724" s="1355" t="s">
        <v>164</v>
      </c>
      <c r="C724" s="1356"/>
      <c r="D724" s="1356"/>
      <c r="E724" s="1356"/>
      <c r="F724" s="1357"/>
      <c r="G724" s="1364">
        <v>6</v>
      </c>
      <c r="H724" s="1365"/>
      <c r="I724" s="1365"/>
      <c r="J724" s="1366"/>
      <c r="K724" s="1604">
        <v>1088</v>
      </c>
      <c r="L724" s="1605"/>
      <c r="M724" s="1605"/>
      <c r="N724" s="1606"/>
      <c r="O724" s="1468">
        <f>[1]budgets!$AD$16</f>
        <v>790.56999999999994</v>
      </c>
      <c r="P724" s="1469"/>
      <c r="Q724" s="1469"/>
      <c r="R724" s="1469"/>
      <c r="S724" s="1470"/>
      <c r="T724" s="1468">
        <f>82</f>
        <v>82</v>
      </c>
      <c r="U724" s="1469"/>
      <c r="V724" s="1469"/>
      <c r="W724" s="1470"/>
      <c r="X724" s="1358">
        <f t="shared" si="8"/>
        <v>872.56999999999994</v>
      </c>
      <c r="Y724" s="1359"/>
      <c r="Z724" s="1359"/>
      <c r="AA724" s="1359"/>
      <c r="AB724" s="1360"/>
      <c r="AC724" s="1613">
        <v>0.3</v>
      </c>
      <c r="AD724" s="1614"/>
      <c r="AE724" s="1614"/>
      <c r="AF724" s="1614"/>
      <c r="AG724" s="1615"/>
      <c r="AH724" s="1361">
        <f t="shared" si="36"/>
        <v>0.29985223367697594</v>
      </c>
      <c r="AI724" s="1362"/>
      <c r="AJ724" s="1363"/>
      <c r="AK724" s="1355" t="s">
        <v>591</v>
      </c>
      <c r="AL724" s="1356"/>
      <c r="AM724" s="1356"/>
      <c r="AN724" s="1356"/>
      <c r="AO724" s="1357"/>
      <c r="AP724" s="3"/>
      <c r="AQ724" s="3"/>
      <c r="AR724" s="3"/>
      <c r="AS724" s="3"/>
      <c r="AY724" s="116"/>
      <c r="AZ724" s="118">
        <f t="shared" si="9"/>
        <v>2910</v>
      </c>
      <c r="BA724" s="3"/>
      <c r="BB724" s="3"/>
      <c r="BC724" s="3"/>
      <c r="BD724" s="3"/>
      <c r="BE724" s="204"/>
      <c r="BF724" s="294">
        <f t="shared" si="10"/>
        <v>6</v>
      </c>
      <c r="BG724" s="297">
        <f t="shared" si="11"/>
        <v>7.5949367088607597E-2</v>
      </c>
      <c r="BH724" s="298">
        <f t="shared" si="12"/>
        <v>2.2784810126582278E-2</v>
      </c>
      <c r="BI724" s="3"/>
      <c r="BJ724" s="3"/>
      <c r="BK724" s="3"/>
      <c r="BL724" s="3"/>
      <c r="BM724" s="3"/>
      <c r="BN724" s="3"/>
      <c r="BS724" s="294">
        <f t="shared" si="13"/>
        <v>6</v>
      </c>
      <c r="BT724" s="297">
        <f t="shared" si="14"/>
        <v>7.5949367088607597E-2</v>
      </c>
      <c r="BU724" s="298">
        <f t="shared" si="15"/>
        <v>2.2773587367871592E-2</v>
      </c>
      <c r="CC724" s="3"/>
      <c r="CE724" s="3"/>
      <c r="CF724" s="3"/>
      <c r="CG724" s="1351">
        <f t="shared" si="37"/>
        <v>0</v>
      </c>
      <c r="CH724" s="1353"/>
      <c r="CI724" s="1335">
        <f t="shared" si="38"/>
        <v>0</v>
      </c>
      <c r="CJ724" s="1337"/>
      <c r="CK724" s="1351">
        <f t="shared" si="16"/>
        <v>1</v>
      </c>
      <c r="CL724" s="1353"/>
      <c r="CM724" s="1335">
        <f t="shared" si="17"/>
        <v>6</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6</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6</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f t="shared" si="33"/>
        <v>790.56999999999994</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3" customHeight="1">
      <c r="B725" s="1355" t="s">
        <v>164</v>
      </c>
      <c r="C725" s="1356"/>
      <c r="D725" s="1356"/>
      <c r="E725" s="1356"/>
      <c r="F725" s="1357"/>
      <c r="G725" s="1364">
        <v>4</v>
      </c>
      <c r="H725" s="1365"/>
      <c r="I725" s="1365"/>
      <c r="J725" s="1366"/>
      <c r="K725" s="1604">
        <v>1088</v>
      </c>
      <c r="L725" s="1605"/>
      <c r="M725" s="1605"/>
      <c r="N725" s="1606"/>
      <c r="O725" s="1468">
        <f>[1]budgets!$AD$17</f>
        <v>1081.57</v>
      </c>
      <c r="P725" s="1469"/>
      <c r="Q725" s="1469"/>
      <c r="R725" s="1469"/>
      <c r="S725" s="1470"/>
      <c r="T725" s="1468">
        <f>T724</f>
        <v>82</v>
      </c>
      <c r="U725" s="1469"/>
      <c r="V725" s="1469"/>
      <c r="W725" s="1470"/>
      <c r="X725" s="1358">
        <f t="shared" si="8"/>
        <v>1163.57</v>
      </c>
      <c r="Y725" s="1359"/>
      <c r="Z725" s="1359"/>
      <c r="AA725" s="1359"/>
      <c r="AB725" s="1360"/>
      <c r="AC725" s="1613">
        <v>0.4</v>
      </c>
      <c r="AD725" s="1614"/>
      <c r="AE725" s="1614"/>
      <c r="AF725" s="1614"/>
      <c r="AG725" s="1615"/>
      <c r="AH725" s="1361">
        <f t="shared" si="36"/>
        <v>0.39985223367697592</v>
      </c>
      <c r="AI725" s="1362"/>
      <c r="AJ725" s="1363"/>
      <c r="AK725" s="1355" t="s">
        <v>591</v>
      </c>
      <c r="AL725" s="1356"/>
      <c r="AM725" s="1356"/>
      <c r="AN725" s="1356"/>
      <c r="AO725" s="1357"/>
      <c r="AP725" s="3"/>
      <c r="AQ725" s="3"/>
      <c r="AR725" s="3"/>
      <c r="AS725" s="3"/>
      <c r="AY725" s="1085"/>
      <c r="AZ725" s="118">
        <f t="shared" si="9"/>
        <v>2910</v>
      </c>
      <c r="BA725" s="3"/>
      <c r="BB725" s="3"/>
      <c r="BC725" s="3"/>
      <c r="BD725" s="3"/>
      <c r="BE725" s="204"/>
      <c r="BF725" s="294">
        <f t="shared" si="10"/>
        <v>4</v>
      </c>
      <c r="BG725" s="297">
        <f t="shared" si="11"/>
        <v>5.0632911392405063E-2</v>
      </c>
      <c r="BH725" s="298">
        <f t="shared" si="12"/>
        <v>2.0253164556962026E-2</v>
      </c>
      <c r="BI725" s="3"/>
      <c r="BJ725" s="3"/>
      <c r="BK725" s="3"/>
      <c r="BL725" s="3"/>
      <c r="BM725" s="3"/>
      <c r="BN725" s="3"/>
      <c r="BS725" s="294">
        <f t="shared" si="13"/>
        <v>4</v>
      </c>
      <c r="BT725" s="297">
        <f t="shared" si="14"/>
        <v>5.0632911392405063E-2</v>
      </c>
      <c r="BU725" s="298">
        <f t="shared" si="15"/>
        <v>2.0245682717821567E-2</v>
      </c>
      <c r="BV725" s="292"/>
      <c r="BW725" s="3"/>
      <c r="BX725" s="3"/>
      <c r="BY725" s="3"/>
      <c r="BZ725" s="3"/>
      <c r="CA725" s="3"/>
      <c r="CB725" s="3"/>
      <c r="CC725" s="3"/>
      <c r="CE725" s="3"/>
      <c r="CF725" s="3"/>
      <c r="CG725" s="1351">
        <f t="shared" si="37"/>
        <v>1</v>
      </c>
      <c r="CH725" s="1353"/>
      <c r="CI725" s="1335">
        <f t="shared" si="38"/>
        <v>4</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4</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f t="shared" si="33"/>
        <v>1081.57</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3" customHeight="1">
      <c r="B726" s="1355" t="s">
        <v>164</v>
      </c>
      <c r="C726" s="1356"/>
      <c r="D726" s="1356"/>
      <c r="E726" s="1356"/>
      <c r="F726" s="1357"/>
      <c r="G726" s="1364">
        <v>5</v>
      </c>
      <c r="H726" s="1365"/>
      <c r="I726" s="1365"/>
      <c r="J726" s="1366"/>
      <c r="K726" s="1604">
        <v>1088</v>
      </c>
      <c r="L726" s="1605"/>
      <c r="M726" s="1605"/>
      <c r="N726" s="1606"/>
      <c r="O726" s="1468">
        <f>[1]budgets!$AD$18</f>
        <v>1372.57</v>
      </c>
      <c r="P726" s="1469"/>
      <c r="Q726" s="1469"/>
      <c r="R726" s="1469"/>
      <c r="S726" s="1470"/>
      <c r="T726" s="1468">
        <f>T725</f>
        <v>82</v>
      </c>
      <c r="U726" s="1469"/>
      <c r="V726" s="1469"/>
      <c r="W726" s="1470"/>
      <c r="X726" s="1358">
        <f t="shared" si="8"/>
        <v>1454.57</v>
      </c>
      <c r="Y726" s="1359"/>
      <c r="Z726" s="1359"/>
      <c r="AA726" s="1359"/>
      <c r="AB726" s="1360"/>
      <c r="AC726" s="1613">
        <v>0.5</v>
      </c>
      <c r="AD726" s="1614"/>
      <c r="AE726" s="1614"/>
      <c r="AF726" s="1614"/>
      <c r="AG726" s="1615"/>
      <c r="AH726" s="1361">
        <f t="shared" si="36"/>
        <v>0.4998522336769759</v>
      </c>
      <c r="AI726" s="1362"/>
      <c r="AJ726" s="1363"/>
      <c r="AK726" s="1355" t="s">
        <v>591</v>
      </c>
      <c r="AL726" s="1356"/>
      <c r="AM726" s="1356"/>
      <c r="AN726" s="1356"/>
      <c r="AO726" s="1357"/>
      <c r="AP726" s="3"/>
      <c r="AQ726" s="3"/>
      <c r="AR726" s="3"/>
      <c r="AS726" s="3"/>
      <c r="AY726" s="1085"/>
      <c r="AZ726" s="118">
        <f t="shared" si="9"/>
        <v>2910</v>
      </c>
      <c r="BA726" s="3"/>
      <c r="BB726" s="3"/>
      <c r="BC726" s="3"/>
      <c r="BD726" s="3"/>
      <c r="BE726" s="204"/>
      <c r="BF726" s="294">
        <f t="shared" si="10"/>
        <v>5</v>
      </c>
      <c r="BG726" s="297">
        <f t="shared" si="11"/>
        <v>6.3291139240506333E-2</v>
      </c>
      <c r="BH726" s="298">
        <f t="shared" si="12"/>
        <v>3.1645569620253167E-2</v>
      </c>
      <c r="BI726" s="3"/>
      <c r="BJ726" s="3"/>
      <c r="BK726" s="3"/>
      <c r="BL726" s="3"/>
      <c r="BM726" s="3"/>
      <c r="BN726" s="3"/>
      <c r="BS726" s="294">
        <f t="shared" si="13"/>
        <v>5</v>
      </c>
      <c r="BT726" s="297">
        <f t="shared" si="14"/>
        <v>6.3291139240506333E-2</v>
      </c>
      <c r="BU726" s="298">
        <f t="shared" si="15"/>
        <v>3.1636217321327591E-2</v>
      </c>
      <c r="BV726" s="3"/>
      <c r="BW726" s="3"/>
      <c r="BX726" s="3"/>
      <c r="BY726" s="3"/>
      <c r="BZ726" s="3"/>
      <c r="CA726" s="3"/>
      <c r="CB726" s="3"/>
      <c r="CC726" s="3"/>
      <c r="CE726" s="3"/>
      <c r="CF726" s="3"/>
      <c r="CG726" s="1351">
        <f t="shared" si="37"/>
        <v>1</v>
      </c>
      <c r="CH726" s="1353"/>
      <c r="CI726" s="1335">
        <f t="shared" si="38"/>
        <v>5</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5</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1372.57</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3" customHeight="1">
      <c r="A727" s="4"/>
      <c r="B727" s="1355" t="s">
        <v>165</v>
      </c>
      <c r="C727" s="1356"/>
      <c r="D727" s="1356"/>
      <c r="E727" s="1356"/>
      <c r="F727" s="1357"/>
      <c r="G727" s="1364">
        <v>2</v>
      </c>
      <c r="H727" s="1365"/>
      <c r="I727" s="1365"/>
      <c r="J727" s="1366"/>
      <c r="K727" s="1604">
        <v>1240</v>
      </c>
      <c r="L727" s="1605"/>
      <c r="M727" s="1605"/>
      <c r="N727" s="1606"/>
      <c r="O727" s="1468">
        <f>[1]budgets!$AD$20</f>
        <v>874.15</v>
      </c>
      <c r="P727" s="1469"/>
      <c r="Q727" s="1469"/>
      <c r="R727" s="1469"/>
      <c r="S727" s="1470"/>
      <c r="T727" s="1468">
        <f>99</f>
        <v>99</v>
      </c>
      <c r="U727" s="1469"/>
      <c r="V727" s="1469"/>
      <c r="W727" s="1470"/>
      <c r="X727" s="1358">
        <f t="shared" si="8"/>
        <v>973.15</v>
      </c>
      <c r="Y727" s="1359"/>
      <c r="Z727" s="1359"/>
      <c r="AA727" s="1359"/>
      <c r="AB727" s="1360"/>
      <c r="AC727" s="1613">
        <v>0.3</v>
      </c>
      <c r="AD727" s="1614"/>
      <c r="AE727" s="1614"/>
      <c r="AF727" s="1614"/>
      <c r="AG727" s="1615"/>
      <c r="AH727" s="1361">
        <f t="shared" si="36"/>
        <v>0.29998458692971641</v>
      </c>
      <c r="AI727" s="1362"/>
      <c r="AJ727" s="1363"/>
      <c r="AK727" s="1355" t="s">
        <v>591</v>
      </c>
      <c r="AL727" s="1356"/>
      <c r="AM727" s="1356"/>
      <c r="AN727" s="1356"/>
      <c r="AO727" s="1357"/>
      <c r="AP727" s="3"/>
      <c r="AQ727" s="3"/>
      <c r="AR727" s="3"/>
      <c r="AS727" s="3"/>
      <c r="AY727" s="1085"/>
      <c r="AZ727" s="118">
        <f t="shared" si="9"/>
        <v>3244</v>
      </c>
      <c r="BA727" s="3"/>
      <c r="BB727" s="3"/>
      <c r="BC727" s="3"/>
      <c r="BD727" s="3"/>
      <c r="BE727" s="204"/>
      <c r="BF727" s="294">
        <f t="shared" si="10"/>
        <v>2</v>
      </c>
      <c r="BG727" s="297">
        <f t="shared" si="11"/>
        <v>2.5316455696202531E-2</v>
      </c>
      <c r="BH727" s="298">
        <f t="shared" si="12"/>
        <v>7.5949367088607592E-3</v>
      </c>
      <c r="BI727" s="3"/>
      <c r="BJ727" s="3"/>
      <c r="BK727" s="3"/>
      <c r="BL727" s="3"/>
      <c r="BM727" s="3"/>
      <c r="BN727" s="3"/>
      <c r="BS727" s="294">
        <f t="shared" si="13"/>
        <v>2</v>
      </c>
      <c r="BT727" s="297">
        <f t="shared" si="14"/>
        <v>2.5316455696202531E-2</v>
      </c>
      <c r="BU727" s="298">
        <f t="shared" si="15"/>
        <v>7.5945465045497828E-3</v>
      </c>
      <c r="BV727" s="3"/>
      <c r="BW727" s="3"/>
      <c r="BX727" s="3"/>
      <c r="BY727" s="3"/>
      <c r="BZ727" s="3"/>
      <c r="CA727" s="3"/>
      <c r="CB727" s="3"/>
      <c r="CC727" s="3"/>
      <c r="CE727" s="3"/>
      <c r="CF727" s="3"/>
      <c r="CG727" s="1351">
        <f t="shared" si="37"/>
        <v>0</v>
      </c>
      <c r="CH727" s="1353"/>
      <c r="CI727" s="1335">
        <f t="shared" si="38"/>
        <v>0</v>
      </c>
      <c r="CJ727" s="1337"/>
      <c r="CK727" s="1351">
        <f t="shared" si="16"/>
        <v>1</v>
      </c>
      <c r="CL727" s="1353"/>
      <c r="CM727" s="1335">
        <f t="shared" si="17"/>
        <v>2</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2</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2</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f t="shared" si="34"/>
        <v>874.15</v>
      </c>
      <c r="FU727" s="1352"/>
      <c r="FV727" s="1352"/>
      <c r="FW727" s="1352"/>
      <c r="FX727" s="1353"/>
      <c r="FY727" s="1351" t="str">
        <f t="shared" si="35"/>
        <v/>
      </c>
      <c r="FZ727" s="1352"/>
      <c r="GA727" s="1352"/>
      <c r="GB727" s="1352"/>
      <c r="GC727" s="1353"/>
    </row>
    <row r="728" spans="1:185" ht="13" customHeight="1">
      <c r="A728" s="4"/>
      <c r="B728" s="1355" t="s">
        <v>165</v>
      </c>
      <c r="C728" s="1356"/>
      <c r="D728" s="1356"/>
      <c r="E728" s="1356"/>
      <c r="F728" s="1357"/>
      <c r="G728" s="1364">
        <v>4</v>
      </c>
      <c r="H728" s="1365"/>
      <c r="I728" s="1365"/>
      <c r="J728" s="1366"/>
      <c r="K728" s="1604">
        <v>1240</v>
      </c>
      <c r="L728" s="1605"/>
      <c r="M728" s="1605"/>
      <c r="N728" s="1606"/>
      <c r="O728" s="1468">
        <f>[1]budgets!$AD$21</f>
        <v>1199.1500000000001</v>
      </c>
      <c r="P728" s="1469"/>
      <c r="Q728" s="1469"/>
      <c r="R728" s="1469"/>
      <c r="S728" s="1470"/>
      <c r="T728" s="1468">
        <f>T727</f>
        <v>99</v>
      </c>
      <c r="U728" s="1469"/>
      <c r="V728" s="1469"/>
      <c r="W728" s="1470"/>
      <c r="X728" s="1358">
        <f t="shared" si="8"/>
        <v>1298.1500000000001</v>
      </c>
      <c r="Y728" s="1359"/>
      <c r="Z728" s="1359"/>
      <c r="AA728" s="1359"/>
      <c r="AB728" s="1360"/>
      <c r="AC728" s="1613">
        <v>0.4</v>
      </c>
      <c r="AD728" s="1614"/>
      <c r="AE728" s="1614"/>
      <c r="AF728" s="1614"/>
      <c r="AG728" s="1615"/>
      <c r="AH728" s="1361">
        <f t="shared" si="36"/>
        <v>0.40016954377311964</v>
      </c>
      <c r="AI728" s="1362"/>
      <c r="AJ728" s="1363"/>
      <c r="AK728" s="1355" t="s">
        <v>591</v>
      </c>
      <c r="AL728" s="1356"/>
      <c r="AM728" s="1356"/>
      <c r="AN728" s="1356"/>
      <c r="AO728" s="1357"/>
      <c r="AP728" s="3"/>
      <c r="AQ728" s="3"/>
      <c r="AR728" s="3"/>
      <c r="AS728" s="3"/>
      <c r="AY728" s="1085"/>
      <c r="AZ728" s="118">
        <f t="shared" si="9"/>
        <v>3244</v>
      </c>
      <c r="BA728" s="3"/>
      <c r="BB728" s="3"/>
      <c r="BC728" s="3"/>
      <c r="BD728" s="3"/>
      <c r="BE728" s="204"/>
      <c r="BF728" s="294">
        <f t="shared" si="10"/>
        <v>4</v>
      </c>
      <c r="BG728" s="297">
        <f t="shared" si="11"/>
        <v>5.0632911392405063E-2</v>
      </c>
      <c r="BH728" s="298">
        <f t="shared" si="12"/>
        <v>2.0253164556962026E-2</v>
      </c>
      <c r="BI728" s="3"/>
      <c r="BJ728" s="3"/>
      <c r="BK728" s="3"/>
      <c r="BL728" s="3"/>
      <c r="BM728" s="3"/>
      <c r="BN728" s="3"/>
      <c r="BS728" s="294">
        <f t="shared" si="13"/>
        <v>4</v>
      </c>
      <c r="BT728" s="297">
        <f t="shared" si="14"/>
        <v>5.0632911392405063E-2</v>
      </c>
      <c r="BU728" s="298">
        <f t="shared" si="15"/>
        <v>2.0261749051803526E-2</v>
      </c>
      <c r="BV728" s="3"/>
      <c r="BW728" s="3"/>
      <c r="BX728" s="3"/>
      <c r="BY728" s="3"/>
      <c r="BZ728" s="3"/>
      <c r="CA728" s="3"/>
      <c r="CB728" s="3"/>
      <c r="CC728" s="3"/>
      <c r="CE728" s="3"/>
      <c r="CF728" s="3"/>
      <c r="CG728" s="1351">
        <f t="shared" si="37"/>
        <v>1</v>
      </c>
      <c r="CH728" s="1353"/>
      <c r="CI728" s="1335">
        <f t="shared" si="38"/>
        <v>4</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4</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f t="shared" si="34"/>
        <v>1199.1500000000001</v>
      </c>
      <c r="FU728" s="1352"/>
      <c r="FV728" s="1352"/>
      <c r="FW728" s="1352"/>
      <c r="FX728" s="1353"/>
      <c r="FY728" s="1351" t="str">
        <f t="shared" si="35"/>
        <v/>
      </c>
      <c r="FZ728" s="1352"/>
      <c r="GA728" s="1352"/>
      <c r="GB728" s="1352"/>
      <c r="GC728" s="1353"/>
    </row>
    <row r="729" spans="1:185" ht="13" customHeight="1">
      <c r="A729" s="4"/>
      <c r="B729" s="1355" t="s">
        <v>165</v>
      </c>
      <c r="C729" s="1356"/>
      <c r="D729" s="1356"/>
      <c r="E729" s="1356"/>
      <c r="F729" s="1357"/>
      <c r="G729" s="1364">
        <v>2</v>
      </c>
      <c r="H729" s="1365"/>
      <c r="I729" s="1365"/>
      <c r="J729" s="1366"/>
      <c r="K729" s="1604">
        <v>1240</v>
      </c>
      <c r="L729" s="1605"/>
      <c r="M729" s="1605"/>
      <c r="N729" s="1606"/>
      <c r="O729" s="1468">
        <f>[1]budgets!$AD$22</f>
        <v>1523.15</v>
      </c>
      <c r="P729" s="1469"/>
      <c r="Q729" s="1469"/>
      <c r="R729" s="1469"/>
      <c r="S729" s="1470"/>
      <c r="T729" s="1468">
        <f>T728</f>
        <v>99</v>
      </c>
      <c r="U729" s="1469"/>
      <c r="V729" s="1469"/>
      <c r="W729" s="1470"/>
      <c r="X729" s="1358">
        <f t="shared" si="8"/>
        <v>1622.15</v>
      </c>
      <c r="Y729" s="1359"/>
      <c r="Z729" s="1359"/>
      <c r="AA729" s="1359"/>
      <c r="AB729" s="1360"/>
      <c r="AC729" s="1613">
        <v>0.5</v>
      </c>
      <c r="AD729" s="1614"/>
      <c r="AE729" s="1614"/>
      <c r="AF729" s="1614"/>
      <c r="AG729" s="1615"/>
      <c r="AH729" s="1361">
        <f t="shared" si="36"/>
        <v>0.50004623921085078</v>
      </c>
      <c r="AI729" s="1362"/>
      <c r="AJ729" s="1363"/>
      <c r="AK729" s="1355" t="s">
        <v>591</v>
      </c>
      <c r="AL729" s="1356"/>
      <c r="AM729" s="1356"/>
      <c r="AN729" s="1356"/>
      <c r="AO729" s="1357"/>
      <c r="AP729" s="3"/>
      <c r="AQ729" s="3"/>
      <c r="AR729" s="3"/>
      <c r="AS729" s="3"/>
      <c r="AY729" s="1085"/>
      <c r="AZ729" s="118">
        <f t="shared" si="9"/>
        <v>3244</v>
      </c>
      <c r="BA729" s="3"/>
      <c r="BB729" s="3"/>
      <c r="BC729" s="3"/>
      <c r="BD729" s="3"/>
      <c r="BE729" s="204"/>
      <c r="BF729" s="294">
        <f t="shared" si="10"/>
        <v>2</v>
      </c>
      <c r="BG729" s="297">
        <f t="shared" si="11"/>
        <v>2.5316455696202531E-2</v>
      </c>
      <c r="BH729" s="298">
        <f t="shared" si="12"/>
        <v>1.2658227848101266E-2</v>
      </c>
      <c r="BI729" s="3"/>
      <c r="BJ729" s="3"/>
      <c r="BK729" s="3"/>
      <c r="BL729" s="3"/>
      <c r="BM729" s="3"/>
      <c r="BN729" s="3"/>
      <c r="BS729" s="294">
        <f t="shared" si="13"/>
        <v>2</v>
      </c>
      <c r="BT729" s="297">
        <f t="shared" si="14"/>
        <v>2.5316455696202531E-2</v>
      </c>
      <c r="BU729" s="298">
        <f t="shared" si="15"/>
        <v>1.2659398461034197E-2</v>
      </c>
      <c r="BV729" s="3"/>
      <c r="BW729" s="3"/>
      <c r="BX729" s="3"/>
      <c r="BY729" s="3"/>
      <c r="BZ729" s="3"/>
      <c r="CA729" s="3"/>
      <c r="CB729" s="3"/>
      <c r="CC729" s="3"/>
      <c r="CE729" s="3"/>
      <c r="CF729" s="3"/>
      <c r="CG729" s="1351">
        <f t="shared" si="37"/>
        <v>1</v>
      </c>
      <c r="CH729" s="1353"/>
      <c r="CI729" s="1335">
        <f t="shared" si="38"/>
        <v>2</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2</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f t="shared" si="34"/>
        <v>1523.15</v>
      </c>
      <c r="FU729" s="1352"/>
      <c r="FV729" s="1352"/>
      <c r="FW729" s="1352"/>
      <c r="FX729" s="1353"/>
      <c r="FY729" s="1351" t="str">
        <f t="shared" si="35"/>
        <v/>
      </c>
      <c r="FZ729" s="1352"/>
      <c r="GA729" s="1352"/>
      <c r="GB729" s="1352"/>
      <c r="GC729" s="1353"/>
    </row>
    <row r="730" spans="1:185" ht="13" customHeight="1">
      <c r="B730" s="1355"/>
      <c r="C730" s="1356"/>
      <c r="D730" s="1356"/>
      <c r="E730" s="1356"/>
      <c r="F730" s="1357"/>
      <c r="G730" s="1364"/>
      <c r="H730" s="1365"/>
      <c r="I730" s="1365"/>
      <c r="J730" s="1366"/>
      <c r="K730" s="1604"/>
      <c r="L730" s="1605"/>
      <c r="M730" s="1605"/>
      <c r="N730" s="1606"/>
      <c r="O730" s="1468"/>
      <c r="P730" s="1469"/>
      <c r="Q730" s="1469"/>
      <c r="R730" s="1469"/>
      <c r="S730" s="1470"/>
      <c r="T730" s="1468"/>
      <c r="U730" s="1469"/>
      <c r="V730" s="1469"/>
      <c r="W730" s="1470"/>
      <c r="X730" s="1358">
        <f t="shared" si="8"/>
        <v>0</v>
      </c>
      <c r="Y730" s="1359"/>
      <c r="Z730" s="1359"/>
      <c r="AA730" s="1359"/>
      <c r="AB730" s="1360"/>
      <c r="AC730" s="1613"/>
      <c r="AD730" s="1614"/>
      <c r="AE730" s="1614"/>
      <c r="AF730" s="1614"/>
      <c r="AG730" s="1615"/>
      <c r="AH730" s="1361" t="str">
        <f t="shared" si="36"/>
        <v/>
      </c>
      <c r="AI730" s="1362"/>
      <c r="AJ730" s="1363"/>
      <c r="AK730" s="1355" t="s">
        <v>591</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3" customHeight="1">
      <c r="B731" s="1355"/>
      <c r="C731" s="1356"/>
      <c r="D731" s="1356"/>
      <c r="E731" s="1356"/>
      <c r="F731" s="1357"/>
      <c r="G731" s="1364"/>
      <c r="H731" s="1365"/>
      <c r="I731" s="1365"/>
      <c r="J731" s="1366"/>
      <c r="K731" s="1604"/>
      <c r="L731" s="1605"/>
      <c r="M731" s="1605"/>
      <c r="N731" s="1606"/>
      <c r="O731" s="1468"/>
      <c r="P731" s="1469"/>
      <c r="Q731" s="1469"/>
      <c r="R731" s="1469"/>
      <c r="S731" s="1470"/>
      <c r="T731" s="1468"/>
      <c r="U731" s="1469"/>
      <c r="V731" s="1469"/>
      <c r="W731" s="1470"/>
      <c r="X731" s="1358">
        <f t="shared" si="8"/>
        <v>0</v>
      </c>
      <c r="Y731" s="1359"/>
      <c r="Z731" s="1359"/>
      <c r="AA731" s="1359"/>
      <c r="AB731" s="1360"/>
      <c r="AC731" s="1613"/>
      <c r="AD731" s="1614"/>
      <c r="AE731" s="1614"/>
      <c r="AF731" s="1614"/>
      <c r="AG731" s="1615"/>
      <c r="AH731" s="1361" t="str">
        <f t="shared" si="36"/>
        <v/>
      </c>
      <c r="AI731" s="1362"/>
      <c r="AJ731" s="1363"/>
      <c r="AK731" s="1355" t="s">
        <v>591</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3" customHeight="1">
      <c r="B732" s="1355"/>
      <c r="C732" s="1356"/>
      <c r="D732" s="1356"/>
      <c r="E732" s="1356"/>
      <c r="F732" s="1357"/>
      <c r="G732" s="1364"/>
      <c r="H732" s="1365"/>
      <c r="I732" s="1365"/>
      <c r="J732" s="1366"/>
      <c r="K732" s="1604"/>
      <c r="L732" s="1605"/>
      <c r="M732" s="1605"/>
      <c r="N732" s="1606"/>
      <c r="O732" s="1468"/>
      <c r="P732" s="1469"/>
      <c r="Q732" s="1469"/>
      <c r="R732" s="1469"/>
      <c r="S732" s="1470"/>
      <c r="T732" s="1468"/>
      <c r="U732" s="1469"/>
      <c r="V732" s="1469"/>
      <c r="W732" s="1470"/>
      <c r="X732" s="1358">
        <f t="shared" si="8"/>
        <v>0</v>
      </c>
      <c r="Y732" s="1359"/>
      <c r="Z732" s="1359"/>
      <c r="AA732" s="1359"/>
      <c r="AB732" s="1360"/>
      <c r="AC732" s="1613"/>
      <c r="AD732" s="1614"/>
      <c r="AE732" s="1614"/>
      <c r="AF732" s="1614"/>
      <c r="AG732" s="1615"/>
      <c r="AH732" s="1361" t="str">
        <f t="shared" si="36"/>
        <v/>
      </c>
      <c r="AI732" s="1362"/>
      <c r="AJ732" s="1363"/>
      <c r="AK732" s="1355" t="s">
        <v>591</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3" customHeight="1">
      <c r="B733" s="1355"/>
      <c r="C733" s="1356"/>
      <c r="D733" s="1356"/>
      <c r="E733" s="1356"/>
      <c r="F733" s="1357"/>
      <c r="G733" s="1364"/>
      <c r="H733" s="1365"/>
      <c r="I733" s="1365"/>
      <c r="J733" s="1366"/>
      <c r="K733" s="1604"/>
      <c r="L733" s="1605"/>
      <c r="M733" s="1605"/>
      <c r="N733" s="1606"/>
      <c r="O733" s="1468"/>
      <c r="P733" s="1469"/>
      <c r="Q733" s="1469"/>
      <c r="R733" s="1469"/>
      <c r="S733" s="1470"/>
      <c r="T733" s="1468"/>
      <c r="U733" s="1469"/>
      <c r="V733" s="1469"/>
      <c r="W733" s="1470"/>
      <c r="X733" s="1358">
        <f t="shared" si="8"/>
        <v>0</v>
      </c>
      <c r="Y733" s="1359"/>
      <c r="Z733" s="1359"/>
      <c r="AA733" s="1359"/>
      <c r="AB733" s="1360"/>
      <c r="AC733" s="1613"/>
      <c r="AD733" s="1614"/>
      <c r="AE733" s="1614"/>
      <c r="AF733" s="1614"/>
      <c r="AG733" s="1615"/>
      <c r="AH733" s="1361" t="str">
        <f t="shared" si="36"/>
        <v/>
      </c>
      <c r="AI733" s="1362"/>
      <c r="AJ733" s="1363"/>
      <c r="AK733" s="1355" t="s">
        <v>591</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3" customHeight="1">
      <c r="B734" s="1355"/>
      <c r="C734" s="1356"/>
      <c r="D734" s="1356"/>
      <c r="E734" s="1356"/>
      <c r="F734" s="1357"/>
      <c r="G734" s="1364"/>
      <c r="H734" s="1365"/>
      <c r="I734" s="1365"/>
      <c r="J734" s="1366"/>
      <c r="K734" s="1604"/>
      <c r="L734" s="1605"/>
      <c r="M734" s="1605"/>
      <c r="N734" s="1606"/>
      <c r="O734" s="1468"/>
      <c r="P734" s="1469"/>
      <c r="Q734" s="1469"/>
      <c r="R734" s="1469"/>
      <c r="S734" s="1470"/>
      <c r="T734" s="1468"/>
      <c r="U734" s="1469"/>
      <c r="V734" s="1469"/>
      <c r="W734" s="1470"/>
      <c r="X734" s="1358">
        <f t="shared" si="8"/>
        <v>0</v>
      </c>
      <c r="Y734" s="1359"/>
      <c r="Z734" s="1359"/>
      <c r="AA734" s="1359"/>
      <c r="AB734" s="1360"/>
      <c r="AC734" s="1613"/>
      <c r="AD734" s="1614"/>
      <c r="AE734" s="1614"/>
      <c r="AF734" s="1614"/>
      <c r="AG734" s="1615"/>
      <c r="AH734" s="1361" t="str">
        <f t="shared" si="36"/>
        <v/>
      </c>
      <c r="AI734" s="1362"/>
      <c r="AJ734" s="1363"/>
      <c r="AK734" s="1355" t="s">
        <v>591</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3" customHeight="1">
      <c r="B735" s="1355"/>
      <c r="C735" s="1356"/>
      <c r="D735" s="1356"/>
      <c r="E735" s="1356"/>
      <c r="F735" s="1357"/>
      <c r="G735" s="1364"/>
      <c r="H735" s="1365"/>
      <c r="I735" s="1365"/>
      <c r="J735" s="1366"/>
      <c r="K735" s="1604"/>
      <c r="L735" s="1605"/>
      <c r="M735" s="1605"/>
      <c r="N735" s="1606"/>
      <c r="O735" s="1468"/>
      <c r="P735" s="1469"/>
      <c r="Q735" s="1469"/>
      <c r="R735" s="1469"/>
      <c r="S735" s="1470"/>
      <c r="T735" s="1468"/>
      <c r="U735" s="1469"/>
      <c r="V735" s="1469"/>
      <c r="W735" s="1470"/>
      <c r="X735" s="1358">
        <f t="shared" si="8"/>
        <v>0</v>
      </c>
      <c r="Y735" s="1359"/>
      <c r="Z735" s="1359"/>
      <c r="AA735" s="1359"/>
      <c r="AB735" s="1360"/>
      <c r="AC735" s="1613"/>
      <c r="AD735" s="1614"/>
      <c r="AE735" s="1614"/>
      <c r="AF735" s="1614"/>
      <c r="AG735" s="1615"/>
      <c r="AH735" s="1361" t="str">
        <f t="shared" si="36"/>
        <v/>
      </c>
      <c r="AI735" s="1362"/>
      <c r="AJ735" s="1363"/>
      <c r="AK735" s="1355" t="s">
        <v>591</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3" customHeight="1">
      <c r="B736" s="1355"/>
      <c r="C736" s="1356"/>
      <c r="D736" s="1356"/>
      <c r="E736" s="1356"/>
      <c r="F736" s="1357"/>
      <c r="G736" s="1364"/>
      <c r="H736" s="1365"/>
      <c r="I736" s="1365"/>
      <c r="J736" s="1366"/>
      <c r="K736" s="1604"/>
      <c r="L736" s="1605"/>
      <c r="M736" s="1605"/>
      <c r="N736" s="1606"/>
      <c r="O736" s="1468"/>
      <c r="P736" s="1469"/>
      <c r="Q736" s="1469"/>
      <c r="R736" s="1469"/>
      <c r="S736" s="1470"/>
      <c r="T736" s="1468"/>
      <c r="U736" s="1469"/>
      <c r="V736" s="1469"/>
      <c r="W736" s="1470"/>
      <c r="X736" s="1358">
        <f t="shared" si="8"/>
        <v>0</v>
      </c>
      <c r="Y736" s="1359"/>
      <c r="Z736" s="1359"/>
      <c r="AA736" s="1359"/>
      <c r="AB736" s="1360"/>
      <c r="AC736" s="1613"/>
      <c r="AD736" s="1614"/>
      <c r="AE736" s="1614"/>
      <c r="AF736" s="1614"/>
      <c r="AG736" s="1615"/>
      <c r="AH736" s="1361" t="str">
        <f t="shared" si="36"/>
        <v/>
      </c>
      <c r="AI736" s="1362"/>
      <c r="AJ736" s="1363"/>
      <c r="AK736" s="1355" t="s">
        <v>591</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3" customHeight="1">
      <c r="B737" s="1355"/>
      <c r="C737" s="1356"/>
      <c r="D737" s="1356"/>
      <c r="E737" s="1356"/>
      <c r="F737" s="1357"/>
      <c r="G737" s="1364"/>
      <c r="H737" s="1365"/>
      <c r="I737" s="1365"/>
      <c r="J737" s="1366"/>
      <c r="K737" s="1604"/>
      <c r="L737" s="1605"/>
      <c r="M737" s="1605"/>
      <c r="N737" s="1606"/>
      <c r="O737" s="1468"/>
      <c r="P737" s="1469"/>
      <c r="Q737" s="1469"/>
      <c r="R737" s="1469"/>
      <c r="S737" s="1470"/>
      <c r="T737" s="1468"/>
      <c r="U737" s="1469"/>
      <c r="V737" s="1469"/>
      <c r="W737" s="1470"/>
      <c r="X737" s="1358">
        <f t="shared" si="8"/>
        <v>0</v>
      </c>
      <c r="Y737" s="1359"/>
      <c r="Z737" s="1359"/>
      <c r="AA737" s="1359"/>
      <c r="AB737" s="1360"/>
      <c r="AC737" s="1613"/>
      <c r="AD737" s="1614"/>
      <c r="AE737" s="1614"/>
      <c r="AF737" s="1614"/>
      <c r="AG737" s="1615"/>
      <c r="AH737" s="1361" t="str">
        <f t="shared" si="36"/>
        <v/>
      </c>
      <c r="AI737" s="1362"/>
      <c r="AJ737" s="1363"/>
      <c r="AK737" s="1355" t="s">
        <v>591</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3" customHeight="1">
      <c r="B738" s="1355"/>
      <c r="C738" s="1356"/>
      <c r="D738" s="1356"/>
      <c r="E738" s="1356"/>
      <c r="F738" s="1357"/>
      <c r="G738" s="1364"/>
      <c r="H738" s="1365"/>
      <c r="I738" s="1365"/>
      <c r="J738" s="1366"/>
      <c r="K738" s="1604"/>
      <c r="L738" s="1605"/>
      <c r="M738" s="1605"/>
      <c r="N738" s="1606"/>
      <c r="O738" s="1468"/>
      <c r="P738" s="1469"/>
      <c r="Q738" s="1469"/>
      <c r="R738" s="1469"/>
      <c r="S738" s="1470"/>
      <c r="T738" s="1468"/>
      <c r="U738" s="1469"/>
      <c r="V738" s="1469"/>
      <c r="W738" s="1470"/>
      <c r="X738" s="1358">
        <f t="shared" si="8"/>
        <v>0</v>
      </c>
      <c r="Y738" s="1359"/>
      <c r="Z738" s="1359"/>
      <c r="AA738" s="1359"/>
      <c r="AB738" s="1360"/>
      <c r="AC738" s="1613"/>
      <c r="AD738" s="1614"/>
      <c r="AE738" s="1614"/>
      <c r="AF738" s="1614"/>
      <c r="AG738" s="1615"/>
      <c r="AH738" s="1361" t="str">
        <f t="shared" si="36"/>
        <v/>
      </c>
      <c r="AI738" s="1362"/>
      <c r="AJ738" s="1363"/>
      <c r="AK738" s="1355" t="s">
        <v>591</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3" customHeight="1">
      <c r="B739" s="1355"/>
      <c r="C739" s="1356"/>
      <c r="D739" s="1356"/>
      <c r="E739" s="1356"/>
      <c r="F739" s="1357"/>
      <c r="G739" s="1364"/>
      <c r="H739" s="1365"/>
      <c r="I739" s="1365"/>
      <c r="J739" s="1366"/>
      <c r="K739" s="1604"/>
      <c r="L739" s="1605"/>
      <c r="M739" s="1605"/>
      <c r="N739" s="1606"/>
      <c r="O739" s="1468"/>
      <c r="P739" s="1469"/>
      <c r="Q739" s="1469"/>
      <c r="R739" s="1469"/>
      <c r="S739" s="1470"/>
      <c r="T739" s="1468"/>
      <c r="U739" s="1469"/>
      <c r="V739" s="1469"/>
      <c r="W739" s="1470"/>
      <c r="X739" s="1358">
        <f t="shared" si="8"/>
        <v>0</v>
      </c>
      <c r="Y739" s="1359"/>
      <c r="Z739" s="1359"/>
      <c r="AA739" s="1359"/>
      <c r="AB739" s="1360"/>
      <c r="AC739" s="1613"/>
      <c r="AD739" s="1614"/>
      <c r="AE739" s="1614"/>
      <c r="AF739" s="1614"/>
      <c r="AG739" s="1615"/>
      <c r="AH739" s="1361" t="str">
        <f t="shared" si="36"/>
        <v/>
      </c>
      <c r="AI739" s="1362"/>
      <c r="AJ739" s="1363"/>
      <c r="AK739" s="1355" t="s">
        <v>591</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3" customHeight="1">
      <c r="B740" s="1355"/>
      <c r="C740" s="1356"/>
      <c r="D740" s="1356"/>
      <c r="E740" s="1356"/>
      <c r="F740" s="1357"/>
      <c r="G740" s="1364"/>
      <c r="H740" s="1365"/>
      <c r="I740" s="1365"/>
      <c r="J740" s="1366"/>
      <c r="K740" s="1604"/>
      <c r="L740" s="1605"/>
      <c r="M740" s="1605"/>
      <c r="N740" s="1606"/>
      <c r="O740" s="1468"/>
      <c r="P740" s="1469"/>
      <c r="Q740" s="1469"/>
      <c r="R740" s="1469"/>
      <c r="S740" s="1470"/>
      <c r="T740" s="1468"/>
      <c r="U740" s="1469"/>
      <c r="V740" s="1469"/>
      <c r="W740" s="1470"/>
      <c r="X740" s="1358">
        <f t="shared" si="8"/>
        <v>0</v>
      </c>
      <c r="Y740" s="1359"/>
      <c r="Z740" s="1359"/>
      <c r="AA740" s="1359"/>
      <c r="AB740" s="1360"/>
      <c r="AC740" s="1613"/>
      <c r="AD740" s="1614"/>
      <c r="AE740" s="1614"/>
      <c r="AF740" s="1614"/>
      <c r="AG740" s="1615"/>
      <c r="AH740" s="1361" t="str">
        <f t="shared" si="36"/>
        <v/>
      </c>
      <c r="AI740" s="1362"/>
      <c r="AJ740" s="1363"/>
      <c r="AK740" s="1355" t="s">
        <v>591</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3" customHeight="1">
      <c r="B741" s="1355"/>
      <c r="C741" s="1356"/>
      <c r="D741" s="1356"/>
      <c r="E741" s="1356"/>
      <c r="F741" s="1357"/>
      <c r="G741" s="1364"/>
      <c r="H741" s="1365"/>
      <c r="I741" s="1365"/>
      <c r="J741" s="1366"/>
      <c r="K741" s="1604"/>
      <c r="L741" s="1605"/>
      <c r="M741" s="1605"/>
      <c r="N741" s="1606"/>
      <c r="O741" s="1468"/>
      <c r="P741" s="1469"/>
      <c r="Q741" s="1469"/>
      <c r="R741" s="1469"/>
      <c r="S741" s="1470"/>
      <c r="T741" s="1468"/>
      <c r="U741" s="1469"/>
      <c r="V741" s="1469"/>
      <c r="W741" s="1470"/>
      <c r="X741" s="1358">
        <f t="shared" si="8"/>
        <v>0</v>
      </c>
      <c r="Y741" s="1359"/>
      <c r="Z741" s="1359"/>
      <c r="AA741" s="1359"/>
      <c r="AB741" s="1360"/>
      <c r="AC741" s="1613"/>
      <c r="AD741" s="1614"/>
      <c r="AE741" s="1614"/>
      <c r="AF741" s="1614"/>
      <c r="AG741" s="1615"/>
      <c r="AH741" s="1361" t="str">
        <f t="shared" si="36"/>
        <v/>
      </c>
      <c r="AI741" s="1362"/>
      <c r="AJ741" s="1363"/>
      <c r="AK741" s="1355" t="s">
        <v>591</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3" customHeight="1">
      <c r="B742" s="1355"/>
      <c r="C742" s="1356"/>
      <c r="D742" s="1356"/>
      <c r="E742" s="1356"/>
      <c r="F742" s="1357"/>
      <c r="G742" s="1364"/>
      <c r="H742" s="1365"/>
      <c r="I742" s="1365"/>
      <c r="J742" s="1366"/>
      <c r="K742" s="1604"/>
      <c r="L742" s="1605"/>
      <c r="M742" s="1605"/>
      <c r="N742" s="1606"/>
      <c r="O742" s="1468"/>
      <c r="P742" s="1469"/>
      <c r="Q742" s="1469"/>
      <c r="R742" s="1469"/>
      <c r="S742" s="1470"/>
      <c r="T742" s="1468"/>
      <c r="U742" s="1469"/>
      <c r="V742" s="1469"/>
      <c r="W742" s="1470"/>
      <c r="X742" s="1358">
        <f t="shared" ref="X742:X751" si="39">O742+T742</f>
        <v>0</v>
      </c>
      <c r="Y742" s="1359"/>
      <c r="Z742" s="1359"/>
      <c r="AA742" s="1359"/>
      <c r="AB742" s="1360"/>
      <c r="AC742" s="1613"/>
      <c r="AD742" s="1614"/>
      <c r="AE742" s="1614"/>
      <c r="AF742" s="1614"/>
      <c r="AG742" s="1615"/>
      <c r="AH742" s="1361" t="str">
        <f t="shared" si="36"/>
        <v/>
      </c>
      <c r="AI742" s="1362"/>
      <c r="AJ742" s="1363"/>
      <c r="AK742" s="1355" t="s">
        <v>591</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3" customHeight="1">
      <c r="A743"/>
      <c r="B743" s="1355"/>
      <c r="C743" s="1356"/>
      <c r="D743" s="1356"/>
      <c r="E743" s="1356"/>
      <c r="F743" s="1357"/>
      <c r="G743" s="1364"/>
      <c r="H743" s="1365"/>
      <c r="I743" s="1365"/>
      <c r="J743" s="1366"/>
      <c r="K743" s="1604"/>
      <c r="L743" s="1605"/>
      <c r="M743" s="1605"/>
      <c r="N743" s="1606"/>
      <c r="O743" s="1468"/>
      <c r="P743" s="1469"/>
      <c r="Q743" s="1469"/>
      <c r="R743" s="1469"/>
      <c r="S743" s="1470"/>
      <c r="T743" s="1468"/>
      <c r="U743" s="1469"/>
      <c r="V743" s="1469"/>
      <c r="W743" s="1470"/>
      <c r="X743" s="1358">
        <f t="shared" si="39"/>
        <v>0</v>
      </c>
      <c r="Y743" s="1359"/>
      <c r="Z743" s="1359"/>
      <c r="AA743" s="1359"/>
      <c r="AB743" s="1360"/>
      <c r="AC743" s="1613"/>
      <c r="AD743" s="1614"/>
      <c r="AE743" s="1614"/>
      <c r="AF743" s="1614"/>
      <c r="AG743" s="1615"/>
      <c r="AH743" s="1361" t="str">
        <f t="shared" si="36"/>
        <v/>
      </c>
      <c r="AI743" s="1362"/>
      <c r="AJ743" s="1363"/>
      <c r="AK743" s="1355" t="s">
        <v>591</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3" customHeight="1">
      <c r="B744" s="1355"/>
      <c r="C744" s="1356"/>
      <c r="D744" s="1356"/>
      <c r="E744" s="1356"/>
      <c r="F744" s="1357"/>
      <c r="G744" s="1364"/>
      <c r="H744" s="1365"/>
      <c r="I744" s="1365"/>
      <c r="J744" s="1366"/>
      <c r="K744" s="1604"/>
      <c r="L744" s="1605"/>
      <c r="M744" s="1605"/>
      <c r="N744" s="1606"/>
      <c r="O744" s="1468"/>
      <c r="P744" s="1469"/>
      <c r="Q744" s="1469"/>
      <c r="R744" s="1469"/>
      <c r="S744" s="1470"/>
      <c r="T744" s="1468"/>
      <c r="U744" s="1469"/>
      <c r="V744" s="1469"/>
      <c r="W744" s="1470"/>
      <c r="X744" s="1358">
        <f t="shared" si="39"/>
        <v>0</v>
      </c>
      <c r="Y744" s="1359"/>
      <c r="Z744" s="1359"/>
      <c r="AA744" s="1359"/>
      <c r="AB744" s="1360"/>
      <c r="AC744" s="1613"/>
      <c r="AD744" s="1614"/>
      <c r="AE744" s="1614"/>
      <c r="AF744" s="1614"/>
      <c r="AG744" s="1615"/>
      <c r="AH744" s="1361" t="str">
        <f t="shared" si="36"/>
        <v/>
      </c>
      <c r="AI744" s="1362"/>
      <c r="AJ744" s="1363"/>
      <c r="AK744" s="1355" t="s">
        <v>591</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3" customHeight="1">
      <c r="B745" s="1355"/>
      <c r="C745" s="1356"/>
      <c r="D745" s="1356"/>
      <c r="E745" s="1356"/>
      <c r="F745" s="1357"/>
      <c r="G745" s="1364"/>
      <c r="H745" s="1365"/>
      <c r="I745" s="1365"/>
      <c r="J745" s="1366"/>
      <c r="K745" s="1604"/>
      <c r="L745" s="1605"/>
      <c r="M745" s="1605"/>
      <c r="N745" s="1606"/>
      <c r="O745" s="1468"/>
      <c r="P745" s="1469"/>
      <c r="Q745" s="1469"/>
      <c r="R745" s="1469"/>
      <c r="S745" s="1470"/>
      <c r="T745" s="1468"/>
      <c r="U745" s="1469"/>
      <c r="V745" s="1469"/>
      <c r="W745" s="1470"/>
      <c r="X745" s="1358">
        <f t="shared" si="39"/>
        <v>0</v>
      </c>
      <c r="Y745" s="1359"/>
      <c r="Z745" s="1359"/>
      <c r="AA745" s="1359"/>
      <c r="AB745" s="1360"/>
      <c r="AC745" s="1613"/>
      <c r="AD745" s="1614"/>
      <c r="AE745" s="1614"/>
      <c r="AF745" s="1614"/>
      <c r="AG745" s="1615"/>
      <c r="AH745" s="1361" t="str">
        <f t="shared" si="36"/>
        <v/>
      </c>
      <c r="AI745" s="1362"/>
      <c r="AJ745" s="1363"/>
      <c r="AK745" s="1355" t="s">
        <v>591</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3" customHeight="1">
      <c r="B746" s="1355"/>
      <c r="C746" s="1356"/>
      <c r="D746" s="1356"/>
      <c r="E746" s="1356"/>
      <c r="F746" s="1357"/>
      <c r="G746" s="1364"/>
      <c r="H746" s="1365"/>
      <c r="I746" s="1365"/>
      <c r="J746" s="1366"/>
      <c r="K746" s="1604"/>
      <c r="L746" s="1605"/>
      <c r="M746" s="1605"/>
      <c r="N746" s="1606"/>
      <c r="O746" s="1468"/>
      <c r="P746" s="1469"/>
      <c r="Q746" s="1469"/>
      <c r="R746" s="1469"/>
      <c r="S746" s="1470"/>
      <c r="T746" s="1468"/>
      <c r="U746" s="1469"/>
      <c r="V746" s="1469"/>
      <c r="W746" s="1470"/>
      <c r="X746" s="1358">
        <f t="shared" si="39"/>
        <v>0</v>
      </c>
      <c r="Y746" s="1359"/>
      <c r="Z746" s="1359"/>
      <c r="AA746" s="1359"/>
      <c r="AB746" s="1360"/>
      <c r="AC746" s="1613"/>
      <c r="AD746" s="1614"/>
      <c r="AE746" s="1614"/>
      <c r="AF746" s="1614"/>
      <c r="AG746" s="1615"/>
      <c r="AH746" s="1361" t="str">
        <f t="shared" si="36"/>
        <v/>
      </c>
      <c r="AI746" s="1362"/>
      <c r="AJ746" s="1363"/>
      <c r="AK746" s="1355" t="s">
        <v>591</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3" customHeight="1">
      <c r="B747" s="1355"/>
      <c r="C747" s="1356"/>
      <c r="D747" s="1356"/>
      <c r="E747" s="1356"/>
      <c r="F747" s="1357"/>
      <c r="G747" s="1364"/>
      <c r="H747" s="1365"/>
      <c r="I747" s="1365"/>
      <c r="J747" s="1366"/>
      <c r="K747" s="1604"/>
      <c r="L747" s="1605"/>
      <c r="M747" s="1605"/>
      <c r="N747" s="1606"/>
      <c r="O747" s="1468"/>
      <c r="P747" s="1469"/>
      <c r="Q747" s="1469"/>
      <c r="R747" s="1469"/>
      <c r="S747" s="1470"/>
      <c r="T747" s="1468"/>
      <c r="U747" s="1469"/>
      <c r="V747" s="1469"/>
      <c r="W747" s="1470"/>
      <c r="X747" s="1358">
        <f t="shared" si="39"/>
        <v>0</v>
      </c>
      <c r="Y747" s="1359"/>
      <c r="Z747" s="1359"/>
      <c r="AA747" s="1359"/>
      <c r="AB747" s="1360"/>
      <c r="AC747" s="1613"/>
      <c r="AD747" s="1614"/>
      <c r="AE747" s="1614"/>
      <c r="AF747" s="1614"/>
      <c r="AG747" s="1615"/>
      <c r="AH747" s="1361" t="str">
        <f t="shared" si="36"/>
        <v/>
      </c>
      <c r="AI747" s="1362"/>
      <c r="AJ747" s="1363"/>
      <c r="AK747" s="1355" t="s">
        <v>591</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3" customHeight="1">
      <c r="A748"/>
      <c r="B748" s="1355"/>
      <c r="C748" s="1356"/>
      <c r="D748" s="1356"/>
      <c r="E748" s="1356"/>
      <c r="F748" s="1357"/>
      <c r="G748" s="1364"/>
      <c r="H748" s="1365"/>
      <c r="I748" s="1365"/>
      <c r="J748" s="1366"/>
      <c r="K748" s="1604"/>
      <c r="L748" s="1605"/>
      <c r="M748" s="1605"/>
      <c r="N748" s="1606"/>
      <c r="O748" s="1468"/>
      <c r="P748" s="1469"/>
      <c r="Q748" s="1469"/>
      <c r="R748" s="1469"/>
      <c r="S748" s="1470"/>
      <c r="T748" s="1468"/>
      <c r="U748" s="1469"/>
      <c r="V748" s="1469"/>
      <c r="W748" s="1470"/>
      <c r="X748" s="1358">
        <f t="shared" si="39"/>
        <v>0</v>
      </c>
      <c r="Y748" s="1359"/>
      <c r="Z748" s="1359"/>
      <c r="AA748" s="1359"/>
      <c r="AB748" s="1360"/>
      <c r="AC748" s="1613"/>
      <c r="AD748" s="1614"/>
      <c r="AE748" s="1614"/>
      <c r="AF748" s="1614"/>
      <c r="AG748" s="1615"/>
      <c r="AH748" s="1361" t="str">
        <f t="shared" si="36"/>
        <v/>
      </c>
      <c r="AI748" s="1362"/>
      <c r="AJ748" s="1363"/>
      <c r="AK748" s="1355" t="s">
        <v>591</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3" customHeight="1">
      <c r="A749"/>
      <c r="B749" s="1355"/>
      <c r="C749" s="1356"/>
      <c r="D749" s="1356"/>
      <c r="E749" s="1356"/>
      <c r="F749" s="1357"/>
      <c r="G749" s="1364"/>
      <c r="H749" s="1365"/>
      <c r="I749" s="1365"/>
      <c r="J749" s="1366"/>
      <c r="K749" s="1604"/>
      <c r="L749" s="1605"/>
      <c r="M749" s="1605"/>
      <c r="N749" s="1606"/>
      <c r="O749" s="1468"/>
      <c r="P749" s="1469"/>
      <c r="Q749" s="1469"/>
      <c r="R749" s="1469"/>
      <c r="S749" s="1470"/>
      <c r="T749" s="1468"/>
      <c r="U749" s="1469"/>
      <c r="V749" s="1469"/>
      <c r="W749" s="1470"/>
      <c r="X749" s="1358">
        <f t="shared" si="39"/>
        <v>0</v>
      </c>
      <c r="Y749" s="1359"/>
      <c r="Z749" s="1359"/>
      <c r="AA749" s="1359"/>
      <c r="AB749" s="1360"/>
      <c r="AC749" s="1613"/>
      <c r="AD749" s="1614"/>
      <c r="AE749" s="1614"/>
      <c r="AF749" s="1614"/>
      <c r="AG749" s="1615"/>
      <c r="AH749" s="1361" t="str">
        <f t="shared" si="36"/>
        <v/>
      </c>
      <c r="AI749" s="1362"/>
      <c r="AJ749" s="1363"/>
      <c r="AK749" s="1355" t="s">
        <v>591</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3" customHeight="1">
      <c r="A750"/>
      <c r="B750" s="1355"/>
      <c r="C750" s="1356"/>
      <c r="D750" s="1356"/>
      <c r="E750" s="1356"/>
      <c r="F750" s="1357"/>
      <c r="G750" s="1364"/>
      <c r="H750" s="1365"/>
      <c r="I750" s="1365"/>
      <c r="J750" s="1366"/>
      <c r="K750" s="1604"/>
      <c r="L750" s="1605"/>
      <c r="M750" s="1605"/>
      <c r="N750" s="1606"/>
      <c r="O750" s="1468"/>
      <c r="P750" s="1469"/>
      <c r="Q750" s="1469"/>
      <c r="R750" s="1469"/>
      <c r="S750" s="1470"/>
      <c r="T750" s="1468"/>
      <c r="U750" s="1469"/>
      <c r="V750" s="1469"/>
      <c r="W750" s="1470"/>
      <c r="X750" s="1358">
        <f t="shared" si="39"/>
        <v>0</v>
      </c>
      <c r="Y750" s="1359"/>
      <c r="Z750" s="1359"/>
      <c r="AA750" s="1359"/>
      <c r="AB750" s="1360"/>
      <c r="AC750" s="1613"/>
      <c r="AD750" s="1614"/>
      <c r="AE750" s="1614"/>
      <c r="AF750" s="1614"/>
      <c r="AG750" s="1615"/>
      <c r="AH750" s="1361" t="str">
        <f t="shared" si="36"/>
        <v/>
      </c>
      <c r="AI750" s="1362"/>
      <c r="AJ750" s="1363"/>
      <c r="AK750" s="1355" t="s">
        <v>591</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3" customHeight="1">
      <c r="A751"/>
      <c r="B751" s="1355"/>
      <c r="C751" s="1356"/>
      <c r="D751" s="1356"/>
      <c r="E751" s="1356"/>
      <c r="F751" s="1357"/>
      <c r="G751" s="1364"/>
      <c r="H751" s="1365"/>
      <c r="I751" s="1365"/>
      <c r="J751" s="1366"/>
      <c r="K751" s="1604"/>
      <c r="L751" s="1605"/>
      <c r="M751" s="1605"/>
      <c r="N751" s="1606"/>
      <c r="O751" s="1468"/>
      <c r="P751" s="1469"/>
      <c r="Q751" s="1469"/>
      <c r="R751" s="1469"/>
      <c r="S751" s="1470"/>
      <c r="T751" s="1468"/>
      <c r="U751" s="1469"/>
      <c r="V751" s="1469"/>
      <c r="W751" s="1470"/>
      <c r="X751" s="1358">
        <f t="shared" si="39"/>
        <v>0</v>
      </c>
      <c r="Y751" s="1359"/>
      <c r="Z751" s="1359"/>
      <c r="AA751" s="1359"/>
      <c r="AB751" s="1360"/>
      <c r="AC751" s="1613"/>
      <c r="AD751" s="1614"/>
      <c r="AE751" s="1614"/>
      <c r="AF751" s="1614"/>
      <c r="AG751" s="1615"/>
      <c r="AH751" s="1361" t="str">
        <f t="shared" si="36"/>
        <v/>
      </c>
      <c r="AI751" s="1362"/>
      <c r="AJ751" s="1363"/>
      <c r="AK751" s="1355" t="s">
        <v>591</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3" customHeight="1">
      <c r="A752"/>
      <c r="B752" s="1355"/>
      <c r="C752" s="1356"/>
      <c r="D752" s="1356"/>
      <c r="E752" s="1356"/>
      <c r="F752" s="1357"/>
      <c r="G752" s="1364"/>
      <c r="H752" s="1365"/>
      <c r="I752" s="1365"/>
      <c r="J752" s="1366"/>
      <c r="K752" s="1604"/>
      <c r="L752" s="1605"/>
      <c r="M752" s="1605"/>
      <c r="N752" s="1606"/>
      <c r="O752" s="1468"/>
      <c r="P752" s="1469"/>
      <c r="Q752" s="1469"/>
      <c r="R752" s="1469"/>
      <c r="S752" s="1470"/>
      <c r="T752" s="1468"/>
      <c r="U752" s="1469"/>
      <c r="V752" s="1469"/>
      <c r="W752" s="1470"/>
      <c r="X752" s="1358">
        <f>O752+T752</f>
        <v>0</v>
      </c>
      <c r="Y752" s="1359"/>
      <c r="Z752" s="1359"/>
      <c r="AA752" s="1359"/>
      <c r="AB752" s="1360"/>
      <c r="AC752" s="1613"/>
      <c r="AD752" s="1614"/>
      <c r="AE752" s="1614"/>
      <c r="AF752" s="1614"/>
      <c r="AG752" s="1615"/>
      <c r="AH752" s="1361" t="str">
        <f t="shared" si="36"/>
        <v/>
      </c>
      <c r="AI752" s="1362"/>
      <c r="AJ752" s="1363"/>
      <c r="AK752" s="1355" t="s">
        <v>591</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3" customHeight="1">
      <c r="A753"/>
      <c r="B753" s="1408" t="s">
        <v>125</v>
      </c>
      <c r="C753" s="1409"/>
      <c r="D753" s="1409"/>
      <c r="E753" s="1409"/>
      <c r="F753" s="1411"/>
      <c r="G753" s="1718">
        <f>SUM(G718:G752)</f>
        <v>79</v>
      </c>
      <c r="H753" s="1719"/>
      <c r="I753" s="1719"/>
      <c r="J753" s="1720"/>
      <c r="K753" s="902" t="s">
        <v>124</v>
      </c>
      <c r="L753" s="5"/>
      <c r="M753" s="5"/>
      <c r="N753" s="46"/>
      <c r="O753" s="1358">
        <f>SUMPRODUCT(G718:G752,O718:O752)</f>
        <v>73094.710000000006</v>
      </c>
      <c r="P753" s="1359"/>
      <c r="Q753" s="1359"/>
      <c r="R753" s="1359"/>
      <c r="S753" s="1360"/>
      <c r="T753"/>
      <c r="U753"/>
      <c r="V753"/>
      <c r="W753"/>
      <c r="X753" s="904" t="s">
        <v>900</v>
      </c>
      <c r="Y753" s="903"/>
      <c r="Z753" s="903"/>
      <c r="AA753" s="903"/>
      <c r="AB753" s="905"/>
      <c r="AC753" s="1617">
        <f>BH753</f>
        <v>0.39873417721518989</v>
      </c>
      <c r="AD753" s="1618"/>
      <c r="AE753" s="1618"/>
      <c r="AF753" s="1618"/>
      <c r="AG753" s="1619"/>
      <c r="AH753" s="1617">
        <f>IFERROR(BU753,"")</f>
        <v>0.39872396201263799</v>
      </c>
      <c r="AI753" s="1618"/>
      <c r="AJ753" s="1619"/>
      <c r="AK753"/>
      <c r="AL753"/>
      <c r="AM753"/>
      <c r="AN753"/>
      <c r="AO753"/>
      <c r="AP753" s="205"/>
      <c r="AQ753" s="205"/>
      <c r="AR753" s="205"/>
      <c r="AS753" s="205"/>
      <c r="AT753"/>
      <c r="AU753"/>
      <c r="AV753"/>
      <c r="AW753"/>
      <c r="AX753"/>
      <c r="AY753"/>
      <c r="AZ753" s="34"/>
      <c r="BA753" s="34"/>
      <c r="BB753" s="34"/>
      <c r="BC753" s="34"/>
      <c r="BE753" s="290" t="s">
        <v>899</v>
      </c>
      <c r="BF753" s="299">
        <f>SUM(BF718:BF752)</f>
        <v>79</v>
      </c>
      <c r="BG753" s="300">
        <f>SUM(BG718:BG752)</f>
        <v>1.0000000000000002</v>
      </c>
      <c r="BH753" s="300">
        <f>SUM(BH718:BH752)</f>
        <v>0.39873417721518989</v>
      </c>
      <c r="BI753"/>
      <c r="BJ753"/>
      <c r="BK753"/>
      <c r="BL753"/>
      <c r="BO753"/>
      <c r="BP753"/>
      <c r="BQ753"/>
      <c r="BR753"/>
      <c r="BS753" s="859">
        <f>SUM(BS718:BS752)</f>
        <v>79</v>
      </c>
      <c r="BT753" s="300">
        <f>SUM(BT718:BT752)</f>
        <v>1.0000000000000002</v>
      </c>
      <c r="BU753" s="300">
        <f>SUM(BU718:BU752)</f>
        <v>0.39872396201263799</v>
      </c>
      <c r="CI753" s="1351">
        <f>SUM(CI718:CJ752)</f>
        <v>58</v>
      </c>
      <c r="CJ753" s="1353"/>
      <c r="CM753" s="1351">
        <f>SUM(CM718:CN752)</f>
        <v>21</v>
      </c>
      <c r="CN753" s="1353"/>
      <c r="CP753" s="1351">
        <f>SUM(CP718:CT752)</f>
        <v>0</v>
      </c>
      <c r="CQ753" s="1352"/>
      <c r="CR753" s="1352"/>
      <c r="CS753" s="1352"/>
      <c r="CT753" s="1353"/>
      <c r="CU753" s="1367">
        <f>SUM(CU718:CY752)</f>
        <v>32</v>
      </c>
      <c r="CV753" s="1367"/>
      <c r="CW753" s="1367"/>
      <c r="CX753" s="1367"/>
      <c r="CY753" s="1367"/>
      <c r="CZ753" s="1367">
        <f>SUM(CZ718:DD752)</f>
        <v>24</v>
      </c>
      <c r="DA753" s="1367"/>
      <c r="DB753" s="1367"/>
      <c r="DC753" s="1367"/>
      <c r="DD753" s="1367"/>
      <c r="DE753" s="1367">
        <f>SUM(DE718:DI752)</f>
        <v>15</v>
      </c>
      <c r="DF753" s="1367"/>
      <c r="DG753" s="1367"/>
      <c r="DH753" s="1367"/>
      <c r="DI753" s="1367"/>
      <c r="DJ753" s="1367">
        <f>SUM(DJ718:DN752)</f>
        <v>8</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6</v>
      </c>
      <c r="EA753" s="1367"/>
      <c r="EB753" s="1367"/>
      <c r="EC753" s="1367"/>
      <c r="ED753" s="1367"/>
      <c r="EE753" s="1367">
        <f>SUM(EE718:EI752)</f>
        <v>7</v>
      </c>
      <c r="EF753" s="1367"/>
      <c r="EG753" s="1367"/>
      <c r="EH753" s="1367"/>
      <c r="EI753" s="1367"/>
      <c r="EJ753" s="1367">
        <f>SUM(EJ718:EN752)</f>
        <v>6</v>
      </c>
      <c r="EK753" s="1367"/>
      <c r="EL753" s="1367"/>
      <c r="EM753" s="1367"/>
      <c r="EN753" s="1367"/>
      <c r="EO753" s="1367">
        <f>SUM(EO718:ES752)</f>
        <v>2</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2352</v>
      </c>
      <c r="FF753" s="1367"/>
      <c r="FG753" s="1367"/>
      <c r="FH753" s="1367"/>
      <c r="FI753" s="1367"/>
      <c r="FJ753" s="1367">
        <f>SUM(FJ718:FN752)</f>
        <v>2810.2799999999997</v>
      </c>
      <c r="FK753" s="1367"/>
      <c r="FL753" s="1367"/>
      <c r="FM753" s="1367"/>
      <c r="FN753" s="1367"/>
      <c r="FO753" s="1367">
        <f>SUM(FO718:FS752)</f>
        <v>3244.71</v>
      </c>
      <c r="FP753" s="1367"/>
      <c r="FQ753" s="1367"/>
      <c r="FR753" s="1367"/>
      <c r="FS753" s="1367"/>
      <c r="FT753" s="1367">
        <f>SUM(FT718:FX752)</f>
        <v>3596.4500000000003</v>
      </c>
      <c r="FU753" s="1367"/>
      <c r="FV753" s="1367"/>
      <c r="FW753" s="1367"/>
      <c r="FX753" s="1367"/>
      <c r="FY753" s="1367">
        <f>SUM(FY718:GC752)</f>
        <v>0</v>
      </c>
      <c r="FZ753" s="1367"/>
      <c r="GA753" s="1367"/>
      <c r="GB753" s="1367"/>
      <c r="GC753" s="1367"/>
    </row>
    <row r="754" spans="1:185" s="3" customFormat="1" ht="13" customHeight="1">
      <c r="A754"/>
      <c r="B754" s="1722" t="s">
        <v>1893</v>
      </c>
      <c r="C754" s="1722"/>
      <c r="D754" s="1722"/>
      <c r="E754" s="1722"/>
      <c r="F754" s="1722"/>
      <c r="G754" s="1722"/>
      <c r="H754" s="1722"/>
      <c r="I754" s="1722"/>
      <c r="J754" s="1722"/>
      <c r="K754" s="1722"/>
      <c r="L754" s="1722"/>
      <c r="M754" s="1722"/>
      <c r="N754" s="1722"/>
      <c r="O754" s="1722"/>
      <c r="P754" s="1722"/>
      <c r="Q754" s="1722"/>
      <c r="R754" s="1722"/>
      <c r="S754" s="1722"/>
      <c r="T754" s="1722"/>
      <c r="U754" s="1722"/>
      <c r="V754" s="1722"/>
      <c r="W754" s="1722"/>
      <c r="X754" s="1722"/>
      <c r="Y754" s="1722"/>
      <c r="Z754" s="1722"/>
      <c r="AA754" s="1722"/>
      <c r="AB754" s="1722"/>
      <c r="AC754" s="1722"/>
      <c r="AD754" s="1722"/>
      <c r="AE754" s="1722"/>
      <c r="AF754" s="1722"/>
      <c r="AG754" s="1722"/>
      <c r="AH754" s="1722"/>
      <c r="AI754"/>
      <c r="AJ754"/>
      <c r="AK754"/>
      <c r="AT754"/>
      <c r="AU754"/>
      <c r="AV754"/>
      <c r="AW754"/>
      <c r="AX754"/>
      <c r="AY754"/>
      <c r="CD754"/>
      <c r="DN754" s="56" t="s">
        <v>1860</v>
      </c>
      <c r="DO754" s="1351">
        <f>CP753+CU753+CZ753+DE753+DJ753+DO753</f>
        <v>79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2"/>
      <c r="C755" s="1722"/>
      <c r="D755" s="1722"/>
      <c r="E755" s="1722"/>
      <c r="F755" s="1722"/>
      <c r="G755" s="1722"/>
      <c r="H755" s="1722"/>
      <c r="I755" s="1722"/>
      <c r="J755" s="1722"/>
      <c r="K755" s="1722"/>
      <c r="L755" s="1722"/>
      <c r="M755" s="1722"/>
      <c r="N755" s="1722"/>
      <c r="O755" s="1722"/>
      <c r="P755" s="1722"/>
      <c r="Q755" s="1722"/>
      <c r="R755" s="1722"/>
      <c r="S755" s="1722"/>
      <c r="T755" s="1722"/>
      <c r="U755" s="1722"/>
      <c r="V755" s="1722"/>
      <c r="W755" s="1722"/>
      <c r="X755" s="1722"/>
      <c r="Y755" s="1722"/>
      <c r="Z755" s="1722"/>
      <c r="AA755" s="1722"/>
      <c r="AB755" s="1722"/>
      <c r="AC755" s="1722"/>
      <c r="AD755" s="1722"/>
      <c r="AE755" s="1722"/>
      <c r="AF755" s="1722"/>
      <c r="AG755" s="1722"/>
      <c r="AH755" s="17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32</v>
      </c>
      <c r="CZ755" s="3"/>
      <c r="DA755" s="3"/>
      <c r="DB755" s="3"/>
      <c r="DC755" s="3"/>
      <c r="DD755" s="861">
        <f>CZ753*2</f>
        <v>48</v>
      </c>
      <c r="DE755" s="3"/>
      <c r="DF755" s="3"/>
      <c r="DG755" s="3"/>
      <c r="DH755" s="3"/>
      <c r="DI755" s="861">
        <f>DE753*3</f>
        <v>45</v>
      </c>
      <c r="DJ755" s="3"/>
      <c r="DK755" s="3"/>
      <c r="DL755" s="3"/>
      <c r="DM755" s="3"/>
      <c r="DN755" s="861">
        <f>DJ753*4</f>
        <v>32</v>
      </c>
      <c r="DO755" s="3"/>
      <c r="DP755" s="3"/>
      <c r="DQ755" s="3"/>
      <c r="DR755" s="3"/>
      <c r="DS755" s="861">
        <f>DO753*5</f>
        <v>0</v>
      </c>
      <c r="DU755" s="861">
        <f>CT755+CY755+DD755+DI755+DN755+DS755</f>
        <v>157</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7">
        <f>DU755</f>
        <v>157</v>
      </c>
      <c r="P756" s="1367"/>
      <c r="Q756" s="1367"/>
      <c r="R756" s="1367"/>
      <c r="S756" s="969"/>
      <c r="T756" s="969"/>
      <c r="U756" s="118" t="s">
        <v>1892</v>
      </c>
      <c r="V756" s="1032"/>
      <c r="W756" s="1032"/>
      <c r="X756" s="1032"/>
      <c r="Y756" s="1033"/>
      <c r="Z756" s="1033"/>
      <c r="AA756" s="1033"/>
      <c r="AB756" s="1033"/>
      <c r="AC756" s="1032"/>
      <c r="AD756" s="1032"/>
      <c r="AE756" s="1032"/>
      <c r="AF756" s="1032"/>
      <c r="AG756" s="1714">
        <v>0</v>
      </c>
      <c r="AH756" s="1714"/>
      <c r="AI756" s="1714"/>
      <c r="AJ756" s="1714"/>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1" t="s">
        <v>591</v>
      </c>
      <c r="AE759" s="1721"/>
      <c r="AF759" s="1721"/>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4" t="s">
        <v>389</v>
      </c>
      <c r="K769" s="1495"/>
      <c r="L769" s="1495"/>
      <c r="M769" s="1495"/>
      <c r="N769" s="1496"/>
      <c r="O769" s="1602" t="s">
        <v>285</v>
      </c>
      <c r="P769" s="1602"/>
      <c r="Q769" s="1602"/>
      <c r="R769" s="1602"/>
      <c r="S769" s="1602"/>
      <c r="T769" s="1511" t="s">
        <v>1679</v>
      </c>
      <c r="U769" s="1512"/>
      <c r="V769" s="1512"/>
      <c r="W769" s="1513"/>
      <c r="X769" s="1494" t="s">
        <v>447</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7"/>
      <c r="K770" s="1498"/>
      <c r="L770" s="1498"/>
      <c r="M770" s="1498"/>
      <c r="N770" s="1499"/>
      <c r="O770" s="1602"/>
      <c r="P770" s="1602"/>
      <c r="Q770" s="1602"/>
      <c r="R770" s="1602"/>
      <c r="S770" s="1602"/>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7"/>
      <c r="K771" s="1498"/>
      <c r="L771" s="1498"/>
      <c r="M771" s="1498"/>
      <c r="N771" s="1499"/>
      <c r="O771" s="1602"/>
      <c r="P771" s="1602"/>
      <c r="Q771" s="1602"/>
      <c r="R771" s="1602"/>
      <c r="S771" s="1602"/>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0"/>
      <c r="K772" s="1501"/>
      <c r="L772" s="1501"/>
      <c r="M772" s="1501"/>
      <c r="N772" s="1502"/>
      <c r="O772" s="1602"/>
      <c r="P772" s="1602"/>
      <c r="Q772" s="1602"/>
      <c r="R772" s="1602"/>
      <c r="S772" s="1602"/>
      <c r="T772" s="1610"/>
      <c r="U772" s="1611"/>
      <c r="V772" s="1611"/>
      <c r="W772" s="1612"/>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164</v>
      </c>
      <c r="K773" s="1356"/>
      <c r="L773" s="1356"/>
      <c r="M773" s="1356"/>
      <c r="N773" s="1357"/>
      <c r="O773" s="1464">
        <v>1</v>
      </c>
      <c r="P773" s="1464"/>
      <c r="Q773" s="1464"/>
      <c r="R773" s="1464"/>
      <c r="S773" s="1464"/>
      <c r="T773" s="1604">
        <v>1088</v>
      </c>
      <c r="U773" s="1605"/>
      <c r="V773" s="1605"/>
      <c r="W773" s="1606"/>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4"/>
      <c r="P774" s="1464"/>
      <c r="Q774" s="1464"/>
      <c r="R774" s="1464"/>
      <c r="S774" s="1464"/>
      <c r="T774" s="1604"/>
      <c r="U774" s="1605"/>
      <c r="V774" s="1605"/>
      <c r="W774" s="1606"/>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4"/>
      <c r="P775" s="1464"/>
      <c r="Q775" s="1464"/>
      <c r="R775" s="1464"/>
      <c r="S775" s="1464"/>
      <c r="T775" s="1604"/>
      <c r="U775" s="1605"/>
      <c r="V775" s="1605"/>
      <c r="W775" s="1606"/>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4"/>
      <c r="P776" s="1464"/>
      <c r="Q776" s="1464"/>
      <c r="R776" s="1464"/>
      <c r="S776" s="1464"/>
      <c r="T776" s="1604"/>
      <c r="U776" s="1605"/>
      <c r="V776" s="1605"/>
      <c r="W776" s="1606"/>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3"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4" t="s">
        <v>389</v>
      </c>
      <c r="K783" s="1495"/>
      <c r="L783" s="1495"/>
      <c r="M783" s="1495"/>
      <c r="N783" s="1496"/>
      <c r="O783" s="1602" t="s">
        <v>285</v>
      </c>
      <c r="P783" s="1602"/>
      <c r="Q783" s="1602"/>
      <c r="R783" s="1602"/>
      <c r="S783" s="1602"/>
      <c r="T783" s="1511" t="s">
        <v>1679</v>
      </c>
      <c r="U783" s="1512"/>
      <c r="V783" s="1512"/>
      <c r="W783" s="1513"/>
      <c r="X783" s="1494" t="s">
        <v>447</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7"/>
      <c r="K784" s="1498"/>
      <c r="L784" s="1498"/>
      <c r="M784" s="1498"/>
      <c r="N784" s="1499"/>
      <c r="O784" s="1602"/>
      <c r="P784" s="1602"/>
      <c r="Q784" s="1602"/>
      <c r="R784" s="1602"/>
      <c r="S784" s="1602"/>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7"/>
      <c r="K785" s="1498"/>
      <c r="L785" s="1498"/>
      <c r="M785" s="1498"/>
      <c r="N785" s="1499"/>
      <c r="O785" s="1602"/>
      <c r="P785" s="1602"/>
      <c r="Q785" s="1602"/>
      <c r="R785" s="1602"/>
      <c r="S785" s="1602"/>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0"/>
      <c r="K786" s="1501"/>
      <c r="L786" s="1501"/>
      <c r="M786" s="1501"/>
      <c r="N786" s="1502"/>
      <c r="O786" s="1602"/>
      <c r="P786" s="1602"/>
      <c r="Q786" s="1602"/>
      <c r="R786" s="1602"/>
      <c r="S786" s="1602"/>
      <c r="T786" s="1610"/>
      <c r="U786" s="1611"/>
      <c r="V786" s="1611"/>
      <c r="W786" s="1612"/>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4"/>
      <c r="P787" s="1464"/>
      <c r="Q787" s="1464"/>
      <c r="R787" s="1464"/>
      <c r="S787" s="1464"/>
      <c r="T787" s="1604"/>
      <c r="U787" s="1605"/>
      <c r="V787" s="1605"/>
      <c r="W787" s="1606"/>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4"/>
      <c r="P788" s="1464"/>
      <c r="Q788" s="1464"/>
      <c r="R788" s="1464"/>
      <c r="S788" s="1464"/>
      <c r="T788" s="1604"/>
      <c r="U788" s="1605"/>
      <c r="V788" s="1605"/>
      <c r="W788" s="1606"/>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4"/>
      <c r="P789" s="1464"/>
      <c r="Q789" s="1464"/>
      <c r="R789" s="1464"/>
      <c r="S789" s="1464"/>
      <c r="T789" s="1604"/>
      <c r="U789" s="1605"/>
      <c r="V789" s="1605"/>
      <c r="W789" s="1606"/>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4"/>
      <c r="P790" s="1464"/>
      <c r="Q790" s="1464"/>
      <c r="R790" s="1464"/>
      <c r="S790" s="1464"/>
      <c r="T790" s="1604"/>
      <c r="U790" s="1605"/>
      <c r="V790" s="1605"/>
      <c r="W790" s="1606"/>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4"/>
      <c r="P791" s="1464"/>
      <c r="Q791" s="1464"/>
      <c r="R791" s="1464"/>
      <c r="S791" s="1464"/>
      <c r="T791" s="1604"/>
      <c r="U791" s="1605"/>
      <c r="V791" s="1605"/>
      <c r="W791" s="1606"/>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4"/>
      <c r="P792" s="1464"/>
      <c r="Q792" s="1464"/>
      <c r="R792" s="1464"/>
      <c r="S792" s="1464"/>
      <c r="T792" s="1604"/>
      <c r="U792" s="1605"/>
      <c r="V792" s="1605"/>
      <c r="W792" s="1606"/>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4"/>
      <c r="P793" s="1464"/>
      <c r="Q793" s="1464"/>
      <c r="R793" s="1464"/>
      <c r="S793" s="1464"/>
      <c r="T793" s="1604"/>
      <c r="U793" s="1605"/>
      <c r="V793" s="1605"/>
      <c r="W793" s="1606"/>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4"/>
      <c r="P794" s="1464"/>
      <c r="Q794" s="1464"/>
      <c r="R794" s="1464"/>
      <c r="S794" s="1464"/>
      <c r="T794" s="1604"/>
      <c r="U794" s="1605"/>
      <c r="V794" s="1605"/>
      <c r="W794" s="1606"/>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4"/>
      <c r="P795" s="1464"/>
      <c r="Q795" s="1464"/>
      <c r="R795" s="1464"/>
      <c r="S795" s="1464"/>
      <c r="T795" s="1604"/>
      <c r="U795" s="1605"/>
      <c r="V795" s="1605"/>
      <c r="W795" s="1606"/>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4"/>
      <c r="P796" s="1464"/>
      <c r="Q796" s="1464"/>
      <c r="R796" s="1464"/>
      <c r="S796" s="1464"/>
      <c r="T796" s="1604"/>
      <c r="U796" s="1605"/>
      <c r="V796" s="1605"/>
      <c r="W796" s="1606"/>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24">
        <f>SUM(O787:S796)</f>
        <v>0</v>
      </c>
      <c r="P797" s="1624"/>
      <c r="Q797" s="1624"/>
      <c r="R797" s="1624"/>
      <c r="S797" s="1624"/>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73094.710000000006</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877136.52</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32</v>
      </c>
      <c r="CV802" s="1349"/>
      <c r="CW802" s="1349"/>
      <c r="CX802" s="1349"/>
      <c r="CY802" s="1350"/>
      <c r="CZ802" s="1348">
        <f>CZ753+CZ777+CZ797</f>
        <v>24</v>
      </c>
      <c r="DA802" s="1349"/>
      <c r="DB802" s="1349"/>
      <c r="DC802" s="1349"/>
      <c r="DD802" s="1350"/>
      <c r="DE802" s="1348">
        <f>DE753+DE777+DE797</f>
        <v>16</v>
      </c>
      <c r="DF802" s="1349"/>
      <c r="DG802" s="1349"/>
      <c r="DH802" s="1349"/>
      <c r="DI802" s="1350"/>
      <c r="DJ802" s="1348">
        <f>DJ753+DJ777+DJ797</f>
        <v>8</v>
      </c>
      <c r="DK802" s="1349"/>
      <c r="DL802" s="1349"/>
      <c r="DM802" s="1349"/>
      <c r="DN802" s="1350"/>
      <c r="DO802" s="1351">
        <f>DO797+DO777+DO753</f>
        <v>0</v>
      </c>
      <c r="DP802" s="1352"/>
      <c r="DQ802" s="1352"/>
      <c r="DR802" s="1352"/>
      <c r="DS802" s="1353"/>
      <c r="DT802" s="3"/>
      <c r="DU802" s="861">
        <f>DU755+DU800</f>
        <v>157</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3">
        <v>79</v>
      </c>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7" t="s">
        <v>2735</v>
      </c>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t="s">
        <v>2736</v>
      </c>
      <c r="AA808" s="1520"/>
      <c r="AB808" s="1520"/>
      <c r="AC808" s="1520"/>
      <c r="AD808" s="1520"/>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240261.12</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2" t="s">
        <v>334</v>
      </c>
      <c r="Q816" s="1643"/>
      <c r="R816" s="1643"/>
      <c r="S816" s="1643"/>
      <c r="T816" s="1643"/>
      <c r="U816" s="1643"/>
      <c r="V816" s="1643"/>
      <c r="W816" s="1643"/>
      <c r="X816" s="1643"/>
      <c r="Y816" s="1644"/>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1117397.6400000001</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6" t="s">
        <v>126</v>
      </c>
      <c r="N823" s="1686"/>
      <c r="O823" s="1686"/>
      <c r="P823" s="1687"/>
      <c r="Q823" s="1621" t="s">
        <v>290</v>
      </c>
      <c r="R823" s="1621"/>
      <c r="S823" s="1621"/>
      <c r="T823" s="1621"/>
      <c r="U823" s="1621" t="s">
        <v>291</v>
      </c>
      <c r="V823" s="1621"/>
      <c r="W823" s="1621"/>
      <c r="X823" s="1621"/>
      <c r="Y823" s="1621" t="s">
        <v>292</v>
      </c>
      <c r="Z823" s="1621"/>
      <c r="AA823" s="1621"/>
      <c r="AB823" s="1621"/>
      <c r="AC823" s="1621" t="s">
        <v>361</v>
      </c>
      <c r="AD823" s="1621"/>
      <c r="AE823" s="1621"/>
      <c r="AF823" s="1621"/>
      <c r="AG823" s="1616" t="s">
        <v>335</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8"/>
      <c r="N824" s="1688"/>
      <c r="O824" s="1688"/>
      <c r="P824" s="1689"/>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3" t="s">
        <v>40</v>
      </c>
      <c r="D825" s="1483"/>
      <c r="E825" s="1483"/>
      <c r="F825" s="1483"/>
      <c r="G825" s="1483"/>
      <c r="H825" s="1483"/>
      <c r="I825" s="48"/>
      <c r="J825" s="48"/>
      <c r="K825" s="48"/>
      <c r="L825" s="49"/>
      <c r="M825" s="1600"/>
      <c r="N825" s="1600"/>
      <c r="O825" s="1600"/>
      <c r="P825" s="1600"/>
      <c r="Q825" s="1600">
        <v>0.37</v>
      </c>
      <c r="R825" s="1600"/>
      <c r="S825" s="1600"/>
      <c r="T825" s="1600"/>
      <c r="U825" s="1600">
        <v>0.69</v>
      </c>
      <c r="V825" s="1600"/>
      <c r="W825" s="1600"/>
      <c r="X825" s="1600"/>
      <c r="Y825" s="1600">
        <v>0.8</v>
      </c>
      <c r="Z825" s="1600"/>
      <c r="AA825" s="1600"/>
      <c r="AB825" s="1600"/>
      <c r="AC825" s="1490">
        <v>1.18</v>
      </c>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4" t="s">
        <v>41</v>
      </c>
      <c r="D826" s="1441"/>
      <c r="E826" s="1441"/>
      <c r="F826" s="1441"/>
      <c r="G826" s="1441"/>
      <c r="H826" s="1441"/>
      <c r="I826" s="5"/>
      <c r="J826" s="5"/>
      <c r="K826" s="5"/>
      <c r="L826" s="46"/>
      <c r="M826" s="1600"/>
      <c r="N826" s="1600"/>
      <c r="O826" s="1600"/>
      <c r="P826" s="1600"/>
      <c r="Q826" s="1600">
        <v>3.46</v>
      </c>
      <c r="R826" s="1600"/>
      <c r="S826" s="1600"/>
      <c r="T826" s="1600"/>
      <c r="U826" s="1600">
        <v>3.93</v>
      </c>
      <c r="V826" s="1600"/>
      <c r="W826" s="1600"/>
      <c r="X826" s="1600"/>
      <c r="Y826" s="1600">
        <v>4.32</v>
      </c>
      <c r="Z826" s="1600"/>
      <c r="AA826" s="1600"/>
      <c r="AB826" s="1600"/>
      <c r="AC826" s="1490">
        <v>5.41</v>
      </c>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4" t="s">
        <v>42</v>
      </c>
      <c r="D827" s="1441"/>
      <c r="E827" s="1441"/>
      <c r="F827" s="1441"/>
      <c r="G827" s="1441"/>
      <c r="H827" s="1441"/>
      <c r="I827" s="60"/>
      <c r="J827" s="60"/>
      <c r="K827" s="60"/>
      <c r="L827" s="61"/>
      <c r="M827" s="1600"/>
      <c r="N827" s="1600"/>
      <c r="O827" s="1600"/>
      <c r="P827" s="1600"/>
      <c r="Q827" s="1600">
        <v>1.88</v>
      </c>
      <c r="R827" s="1600"/>
      <c r="S827" s="1600"/>
      <c r="T827" s="1600"/>
      <c r="U827" s="1600">
        <v>1.95</v>
      </c>
      <c r="V827" s="1600"/>
      <c r="W827" s="1600"/>
      <c r="X827" s="1600"/>
      <c r="Y827" s="1600">
        <v>2.0699999999999998</v>
      </c>
      <c r="Z827" s="1600"/>
      <c r="AA827" s="1600"/>
      <c r="AB827" s="1600"/>
      <c r="AC827" s="1490">
        <v>2.23</v>
      </c>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4" t="s">
        <v>762</v>
      </c>
      <c r="D828" s="1441"/>
      <c r="E828" s="1441"/>
      <c r="F828" s="1441"/>
      <c r="G828" s="1441"/>
      <c r="H828" s="1441"/>
      <c r="I828" s="60"/>
      <c r="J828" s="60"/>
      <c r="K828" s="60"/>
      <c r="L828" s="61"/>
      <c r="M828" s="1600"/>
      <c r="N828" s="1600"/>
      <c r="O828" s="1600"/>
      <c r="P828" s="1600"/>
      <c r="Q828" s="1600">
        <v>1.45</v>
      </c>
      <c r="R828" s="1600"/>
      <c r="S828" s="1600"/>
      <c r="T828" s="1600"/>
      <c r="U828" s="1600">
        <v>1.94</v>
      </c>
      <c r="V828" s="1600"/>
      <c r="W828" s="1600"/>
      <c r="X828" s="1600"/>
      <c r="Y828" s="1600">
        <v>2.27</v>
      </c>
      <c r="Z828" s="1600"/>
      <c r="AA828" s="1600"/>
      <c r="AB828" s="1600"/>
      <c r="AC828" s="1490">
        <v>2.5499999999999998</v>
      </c>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4" t="s">
        <v>459</v>
      </c>
      <c r="D829" s="1441"/>
      <c r="E829" s="1441"/>
      <c r="F829" s="1441"/>
      <c r="G829" s="1441"/>
      <c r="H829" s="1441"/>
      <c r="I829" s="60"/>
      <c r="J829" s="60"/>
      <c r="K829" s="60"/>
      <c r="L829" s="61"/>
      <c r="M829" s="1600"/>
      <c r="N829" s="1600"/>
      <c r="O829" s="1600"/>
      <c r="P829" s="1600"/>
      <c r="Q829" s="1600">
        <v>22.09</v>
      </c>
      <c r="R829" s="1600"/>
      <c r="S829" s="1600"/>
      <c r="T829" s="1600"/>
      <c r="U829" s="1600">
        <v>25.35</v>
      </c>
      <c r="V829" s="1600"/>
      <c r="W829" s="1600"/>
      <c r="X829" s="1600"/>
      <c r="Y829" s="1600">
        <v>28.3</v>
      </c>
      <c r="Z829" s="1600"/>
      <c r="AA829" s="1600"/>
      <c r="AB829" s="1600"/>
      <c r="AC829" s="1490">
        <v>32.53</v>
      </c>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0" t="s">
        <v>783</v>
      </c>
      <c r="D830" s="1441"/>
      <c r="E830" s="1441"/>
      <c r="F830" s="1441"/>
      <c r="G830" s="1441"/>
      <c r="H830" s="1441"/>
      <c r="I830" s="60"/>
      <c r="J830" s="60"/>
      <c r="K830" s="60"/>
      <c r="L830" s="61"/>
      <c r="M830" s="1600"/>
      <c r="N830" s="1600"/>
      <c r="O830" s="1600"/>
      <c r="P830" s="1600"/>
      <c r="Q830" s="1600">
        <v>15.03</v>
      </c>
      <c r="R830" s="1600"/>
      <c r="S830" s="1600"/>
      <c r="T830" s="1600"/>
      <c r="U830" s="1600">
        <v>22.54</v>
      </c>
      <c r="V830" s="1600"/>
      <c r="W830" s="1600"/>
      <c r="X830" s="1600"/>
      <c r="Y830" s="1600">
        <v>30.05</v>
      </c>
      <c r="Z830" s="1600"/>
      <c r="AA830" s="1600"/>
      <c r="AB830" s="1600"/>
      <c r="AC830" s="1490">
        <v>37.56</v>
      </c>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2" t="s">
        <v>2715</v>
      </c>
      <c r="G831" s="1643"/>
      <c r="H831" s="1643"/>
      <c r="I831" s="1643"/>
      <c r="J831" s="1643"/>
      <c r="K831" s="1643"/>
      <c r="L831" s="1643"/>
      <c r="M831" s="1600"/>
      <c r="N831" s="1600"/>
      <c r="O831" s="1600"/>
      <c r="P831" s="1600"/>
      <c r="Q831" s="1600">
        <v>10.220000000000001</v>
      </c>
      <c r="R831" s="1600"/>
      <c r="S831" s="1600"/>
      <c r="T831" s="1600"/>
      <c r="U831" s="1600">
        <v>13.31</v>
      </c>
      <c r="V831" s="1600"/>
      <c r="W831" s="1600"/>
      <c r="X831" s="1600"/>
      <c r="Y831" s="1600">
        <v>14.62</v>
      </c>
      <c r="Z831" s="1600"/>
      <c r="AA831" s="1600"/>
      <c r="AB831" s="1600"/>
      <c r="AC831" s="1490">
        <v>17.39</v>
      </c>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49">
        <f>SUM(M825:P831)</f>
        <v>0</v>
      </c>
      <c r="N832" s="1649"/>
      <c r="O832" s="1649"/>
      <c r="P832" s="1649"/>
      <c r="Q832" s="1649">
        <f>SUM(Q825:T831)</f>
        <v>54.5</v>
      </c>
      <c r="R832" s="1649"/>
      <c r="S832" s="1649"/>
      <c r="T832" s="1649"/>
      <c r="U832" s="1649">
        <f>SUM(U825:X831)</f>
        <v>69.709999999999994</v>
      </c>
      <c r="V832" s="1649"/>
      <c r="W832" s="1649"/>
      <c r="X832" s="1649"/>
      <c r="Y832" s="1649">
        <f>SUM(Y825:AB831)</f>
        <v>82.43</v>
      </c>
      <c r="Z832" s="1649"/>
      <c r="AA832" s="1649"/>
      <c r="AB832" s="1649"/>
      <c r="AC832" s="1649">
        <f>SUM(AC825:AF831)</f>
        <v>98.850000000000009</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5" t="s">
        <v>2716</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8">
        <v>2200</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38">
        <v>2400</v>
      </c>
      <c r="X843" s="1638"/>
      <c r="Y843" s="1638"/>
      <c r="Z843" s="1638"/>
      <c r="AA843" s="1638"/>
      <c r="AB843" s="1638"/>
      <c r="AC843" s="1638"/>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38">
        <v>8000</v>
      </c>
      <c r="X844" s="1638"/>
      <c r="Y844" s="1638"/>
      <c r="Z844" s="1638"/>
      <c r="AA844" s="1638"/>
      <c r="AB844" s="1638"/>
      <c r="AC844" s="1638"/>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38">
        <v>20100</v>
      </c>
      <c r="X845" s="1638"/>
      <c r="Y845" s="1638"/>
      <c r="Z845" s="1638"/>
      <c r="AA845" s="1638"/>
      <c r="AB845" s="1638"/>
      <c r="AC845" s="1638"/>
      <c r="AZ845" s="30"/>
      <c r="BA845" s="30"/>
      <c r="BB845" s="14"/>
      <c r="BC845" s="14"/>
      <c r="BD845" s="14"/>
      <c r="BE845" s="14"/>
      <c r="BF845" s="14"/>
      <c r="BG845" s="14"/>
      <c r="BH845" s="14"/>
      <c r="BI845" s="14"/>
      <c r="BJ845" s="14"/>
      <c r="BK845" s="14"/>
      <c r="BL845" s="14"/>
    </row>
    <row r="846" spans="1:64" ht="13" customHeight="1">
      <c r="J846" s="45" t="s">
        <v>170</v>
      </c>
      <c r="K846" s="5"/>
      <c r="L846" s="5"/>
      <c r="M846" s="1642" t="s">
        <v>2717</v>
      </c>
      <c r="N846" s="1643"/>
      <c r="O846" s="1643"/>
      <c r="P846" s="1643"/>
      <c r="Q846" s="1643"/>
      <c r="R846" s="1643"/>
      <c r="S846" s="1643"/>
      <c r="T846" s="1643"/>
      <c r="U846" s="1643"/>
      <c r="V846" s="1644"/>
      <c r="W846" s="1638">
        <f>4500+4200+4000+1800+3200</f>
        <v>17700</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2">
        <f>SUM(W842:W846)</f>
        <v>50400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4"/>
      <c r="BH848" s="1634"/>
      <c r="BI848" s="1634"/>
      <c r="BJ848" s="1634"/>
      <c r="BK848" s="1634"/>
      <c r="BL848" s="1634"/>
    </row>
    <row r="849" spans="3:55" ht="13" customHeight="1">
      <c r="C849" s="2" t="s">
        <v>344</v>
      </c>
      <c r="J849" s="1408" t="s">
        <v>345</v>
      </c>
      <c r="K849" s="1409"/>
      <c r="L849" s="1409"/>
      <c r="M849" s="1409"/>
      <c r="N849" s="1409"/>
      <c r="O849" s="1409"/>
      <c r="P849" s="1409"/>
      <c r="Q849" s="1409"/>
      <c r="R849" s="1409"/>
      <c r="S849" s="1409"/>
      <c r="T849" s="1409"/>
      <c r="U849" s="1409"/>
      <c r="V849" s="1411"/>
      <c r="W849" s="1475">
        <v>48000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3" customHeight="1">
      <c r="J852" s="45" t="s">
        <v>351</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3" customHeight="1">
      <c r="J853" s="45" t="s">
        <v>459</v>
      </c>
      <c r="K853" s="5"/>
      <c r="L853" s="5"/>
      <c r="M853" s="5"/>
      <c r="N853" s="5"/>
      <c r="O853" s="5"/>
      <c r="P853" s="5"/>
      <c r="Q853" s="5"/>
      <c r="R853" s="5"/>
      <c r="S853" s="5"/>
      <c r="T853" s="5"/>
      <c r="U853" s="5"/>
      <c r="V853" s="46"/>
      <c r="W853" s="1653">
        <v>22200</v>
      </c>
      <c r="X853" s="1653"/>
      <c r="Y853" s="1653"/>
      <c r="Z853" s="1653"/>
      <c r="AA853" s="1653"/>
      <c r="AB853" s="1653"/>
      <c r="AC853" s="1653"/>
      <c r="AZ853" s="30"/>
      <c r="BA853" s="30"/>
      <c r="BB853" s="14"/>
      <c r="BC853" s="14"/>
    </row>
    <row r="854" spans="3:55" ht="13" customHeight="1">
      <c r="J854" s="62" t="s">
        <v>620</v>
      </c>
      <c r="K854" s="5"/>
      <c r="L854" s="5"/>
      <c r="M854" s="5"/>
      <c r="N854" s="5"/>
      <c r="O854" s="5"/>
      <c r="P854" s="5"/>
      <c r="Q854" s="5"/>
      <c r="R854" s="5"/>
      <c r="S854" s="5"/>
      <c r="T854" s="5"/>
      <c r="U854" s="5"/>
      <c r="V854" s="46"/>
      <c r="W854" s="1653">
        <f>22340+24000</f>
        <v>46340</v>
      </c>
      <c r="X854" s="1653"/>
      <c r="Y854" s="1653"/>
      <c r="Z854" s="1653"/>
      <c r="AA854" s="1653"/>
      <c r="AB854" s="1653"/>
      <c r="AC854" s="1653"/>
      <c r="AZ854" s="34"/>
      <c r="BA854" s="34"/>
      <c r="BB854" s="34"/>
      <c r="BC854" s="34"/>
    </row>
    <row r="855" spans="3:55" ht="13" customHeight="1">
      <c r="J855" s="63"/>
      <c r="K855" s="48"/>
      <c r="L855" s="48"/>
      <c r="M855" s="48"/>
      <c r="N855" s="48"/>
      <c r="O855" s="48"/>
      <c r="P855" s="48"/>
      <c r="Q855" s="48"/>
      <c r="R855" s="48"/>
      <c r="S855" s="48"/>
      <c r="T855" s="48"/>
      <c r="U855" s="48"/>
      <c r="V855" s="54" t="s">
        <v>272</v>
      </c>
      <c r="W855" s="1654">
        <f>SUM(W851:W854)</f>
        <v>68540</v>
      </c>
      <c r="X855" s="1654"/>
      <c r="Y855" s="1654"/>
      <c r="Z855" s="1654"/>
      <c r="AA855" s="1654"/>
      <c r="AB855" s="1654"/>
      <c r="AC855" s="1654"/>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50">
        <v>43680</v>
      </c>
      <c r="X857" s="1651"/>
      <c r="Y857" s="1651"/>
      <c r="Z857" s="1651"/>
      <c r="AA857" s="1651"/>
      <c r="AB857" s="1651"/>
      <c r="AC857" s="1652"/>
      <c r="AD857" s="528"/>
      <c r="AZ857" s="34"/>
      <c r="BA857" s="34"/>
      <c r="BB857" s="34"/>
      <c r="BC857" s="34"/>
    </row>
    <row r="858" spans="3:55" ht="13" customHeight="1">
      <c r="C858" s="2" t="s">
        <v>347</v>
      </c>
      <c r="J858" s="121" t="s">
        <v>1655</v>
      </c>
      <c r="K858" s="5"/>
      <c r="L858" s="5"/>
      <c r="M858" s="5"/>
      <c r="N858" s="5"/>
      <c r="O858" s="5"/>
      <c r="P858" s="5"/>
      <c r="Q858" s="5"/>
      <c r="R858" s="5"/>
      <c r="S858" s="5"/>
      <c r="T858" s="1636">
        <v>1</v>
      </c>
      <c r="U858" s="1599"/>
      <c r="V858" s="1637"/>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0">
        <v>41600</v>
      </c>
      <c r="X859" s="1651"/>
      <c r="Y859" s="1651"/>
      <c r="Z859" s="1651"/>
      <c r="AA859" s="1651"/>
      <c r="AB859" s="1651"/>
      <c r="AC859" s="1652"/>
      <c r="AD859" s="533"/>
      <c r="AZ859" s="34"/>
      <c r="BA859" s="34"/>
      <c r="BB859" s="34"/>
      <c r="BC859" s="34"/>
    </row>
    <row r="860" spans="3:55" ht="13" customHeight="1">
      <c r="C860" s="2"/>
      <c r="J860" s="121" t="s">
        <v>1656</v>
      </c>
      <c r="K860" s="5"/>
      <c r="L860" s="5"/>
      <c r="M860" s="5"/>
      <c r="N860" s="5"/>
      <c r="O860" s="5"/>
      <c r="P860" s="5"/>
      <c r="Q860" s="5"/>
      <c r="R860" s="5"/>
      <c r="S860" s="5"/>
      <c r="T860" s="1636">
        <v>1</v>
      </c>
      <c r="U860" s="1599"/>
      <c r="V860" s="1637"/>
      <c r="W860" s="874"/>
      <c r="X860" s="875"/>
      <c r="Y860" s="875"/>
      <c r="Z860" s="875"/>
      <c r="AA860" s="875"/>
      <c r="AB860" s="875"/>
      <c r="AC860" s="876"/>
      <c r="AD860" s="533"/>
      <c r="AZ860" s="34"/>
      <c r="BA860" s="34"/>
      <c r="BB860" s="34"/>
      <c r="BC860" s="34"/>
    </row>
    <row r="861" spans="3:55" ht="13" customHeight="1">
      <c r="J861" s="45" t="s">
        <v>170</v>
      </c>
      <c r="K861" s="5"/>
      <c r="L861" s="5"/>
      <c r="M861" s="1642" t="s">
        <v>2718</v>
      </c>
      <c r="N861" s="1643"/>
      <c r="O861" s="1643"/>
      <c r="P861" s="1643"/>
      <c r="Q861" s="1643"/>
      <c r="R861" s="1643"/>
      <c r="S861" s="1643"/>
      <c r="T861" s="1643"/>
      <c r="U861" s="1643"/>
      <c r="V861" s="1644"/>
      <c r="W861" s="1650">
        <f>5940+11100+9000+12100</f>
        <v>38140</v>
      </c>
      <c r="X861" s="1651"/>
      <c r="Y861" s="1651"/>
      <c r="Z861" s="1651"/>
      <c r="AA861" s="1651"/>
      <c r="AB861" s="1651"/>
      <c r="AC861" s="1652"/>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39">
        <f>SUM(W857:W861)</f>
        <v>123420</v>
      </c>
      <c r="X862" s="1640"/>
      <c r="Y862" s="1640"/>
      <c r="Z862" s="1640"/>
      <c r="AA862" s="1640"/>
      <c r="AB862" s="1640"/>
      <c r="AC862" s="1641"/>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0">
        <f>43200</f>
        <v>43200</v>
      </c>
      <c r="X863" s="1651"/>
      <c r="Y863" s="1651"/>
      <c r="Z863" s="1651"/>
      <c r="AA863" s="1651"/>
      <c r="AB863" s="1651"/>
      <c r="AC863" s="1652"/>
      <c r="AU863" s="14"/>
      <c r="AZ863" s="34"/>
      <c r="BA863" s="34"/>
      <c r="BB863" s="34"/>
      <c r="BC863" s="34"/>
    </row>
    <row r="864" spans="3:55" ht="13" customHeight="1">
      <c r="J864" s="512"/>
      <c r="AU864" s="14"/>
      <c r="AZ864" s="34"/>
      <c r="BA864" s="34"/>
      <c r="BB864" s="34"/>
      <c r="BC864" s="34"/>
    </row>
    <row r="865" spans="3:55" ht="13" customHeight="1">
      <c r="C865" s="2" t="s">
        <v>390</v>
      </c>
      <c r="J865" s="45" t="s">
        <v>617</v>
      </c>
      <c r="K865" s="5"/>
      <c r="L865" s="5"/>
      <c r="M865" s="5"/>
      <c r="N865" s="5"/>
      <c r="O865" s="5"/>
      <c r="P865" s="5"/>
      <c r="Q865" s="5"/>
      <c r="R865" s="5"/>
      <c r="S865" s="5"/>
      <c r="T865" s="5"/>
      <c r="U865" s="5"/>
      <c r="V865" s="46"/>
      <c r="W865" s="1638">
        <v>5800</v>
      </c>
      <c r="X865" s="1638"/>
      <c r="Y865" s="1638"/>
      <c r="Z865" s="1638"/>
      <c r="AA865" s="1638"/>
      <c r="AB865" s="1638"/>
      <c r="AC865" s="1638"/>
      <c r="AU865" s="14"/>
      <c r="AZ865" s="34"/>
      <c r="BA865" s="34"/>
      <c r="BB865" s="34"/>
      <c r="BC865" s="34"/>
    </row>
    <row r="866" spans="3:55" ht="13" customHeight="1">
      <c r="J866" s="45" t="s">
        <v>522</v>
      </c>
      <c r="K866" s="5"/>
      <c r="L866" s="5"/>
      <c r="M866" s="5"/>
      <c r="N866" s="5"/>
      <c r="O866" s="5"/>
      <c r="P866" s="5"/>
      <c r="Q866" s="5"/>
      <c r="R866" s="5"/>
      <c r="S866" s="5"/>
      <c r="T866" s="5"/>
      <c r="U866" s="5"/>
      <c r="V866" s="46"/>
      <c r="W866" s="1638">
        <f>6000+9800+4800</f>
        <v>20600</v>
      </c>
      <c r="X866" s="1638"/>
      <c r="Y866" s="1638"/>
      <c r="Z866" s="1638"/>
      <c r="AA866" s="1638"/>
      <c r="AB866" s="1638"/>
      <c r="AC866" s="1638"/>
      <c r="AU866" s="4"/>
      <c r="AZ866" s="34"/>
      <c r="BA866" s="34"/>
      <c r="BB866" s="34"/>
      <c r="BC866" s="34"/>
    </row>
    <row r="867" spans="3:55" ht="13" customHeight="1">
      <c r="J867" s="45" t="s">
        <v>521</v>
      </c>
      <c r="K867" s="5"/>
      <c r="L867" s="5"/>
      <c r="M867" s="5"/>
      <c r="N867" s="5"/>
      <c r="O867" s="5"/>
      <c r="P867" s="5"/>
      <c r="Q867" s="5"/>
      <c r="R867" s="5"/>
      <c r="S867" s="5"/>
      <c r="T867" s="5"/>
      <c r="U867" s="5"/>
      <c r="V867" s="46"/>
      <c r="W867" s="1638">
        <v>32600</v>
      </c>
      <c r="X867" s="1638"/>
      <c r="Y867" s="1638"/>
      <c r="Z867" s="1638"/>
      <c r="AA867" s="1638"/>
      <c r="AB867" s="1638"/>
      <c r="AC867" s="1638"/>
      <c r="AU867" s="4"/>
      <c r="AZ867" s="34"/>
      <c r="BA867" s="34"/>
      <c r="BB867" s="34"/>
      <c r="BC867" s="34"/>
    </row>
    <row r="868" spans="3:55" ht="13" customHeight="1">
      <c r="J868" s="45" t="s">
        <v>520</v>
      </c>
      <c r="K868" s="5"/>
      <c r="L868" s="5"/>
      <c r="M868" s="5"/>
      <c r="N868" s="5"/>
      <c r="O868" s="5"/>
      <c r="P868" s="5"/>
      <c r="Q868" s="5"/>
      <c r="R868" s="5"/>
      <c r="S868" s="5"/>
      <c r="T868" s="5"/>
      <c r="U868" s="5"/>
      <c r="V868" s="46"/>
      <c r="W868" s="1638">
        <v>5700</v>
      </c>
      <c r="X868" s="1638"/>
      <c r="Y868" s="1638"/>
      <c r="Z868" s="1638"/>
      <c r="AA868" s="1638"/>
      <c r="AB868" s="1638"/>
      <c r="AC868" s="1638"/>
      <c r="AU868" s="4"/>
      <c r="AZ868" s="34"/>
      <c r="BA868" s="34"/>
      <c r="BB868" s="34"/>
      <c r="BC868" s="34"/>
    </row>
    <row r="869" spans="3:55" ht="13" customHeight="1">
      <c r="J869" s="45" t="s">
        <v>519</v>
      </c>
      <c r="K869" s="5"/>
      <c r="L869" s="5"/>
      <c r="M869" s="5"/>
      <c r="N869" s="5"/>
      <c r="O869" s="5"/>
      <c r="P869" s="5"/>
      <c r="Q869" s="5"/>
      <c r="R869" s="5"/>
      <c r="S869" s="5"/>
      <c r="T869" s="5"/>
      <c r="U869" s="5"/>
      <c r="V869" s="46"/>
      <c r="W869" s="1638">
        <v>38300</v>
      </c>
      <c r="X869" s="1638"/>
      <c r="Y869" s="1638"/>
      <c r="Z869" s="1638"/>
      <c r="AA869" s="1638"/>
      <c r="AB869" s="1638"/>
      <c r="AC869" s="1638"/>
      <c r="AU869" s="4"/>
      <c r="AZ869" s="34"/>
      <c r="BA869" s="34"/>
      <c r="BB869" s="34"/>
      <c r="BC869" s="34"/>
    </row>
    <row r="870" spans="3:55" ht="13" customHeight="1">
      <c r="J870" s="45" t="s">
        <v>518</v>
      </c>
      <c r="K870" s="5"/>
      <c r="L870" s="5"/>
      <c r="M870" s="5"/>
      <c r="N870" s="5"/>
      <c r="O870" s="5"/>
      <c r="P870" s="5"/>
      <c r="Q870" s="5"/>
      <c r="R870" s="5"/>
      <c r="S870" s="5"/>
      <c r="T870" s="5"/>
      <c r="U870" s="5"/>
      <c r="V870" s="46"/>
      <c r="W870" s="1638"/>
      <c r="X870" s="1638"/>
      <c r="Y870" s="1638"/>
      <c r="Z870" s="1638"/>
      <c r="AA870" s="1638"/>
      <c r="AB870" s="1638"/>
      <c r="AC870" s="1638"/>
      <c r="AU870" s="4"/>
      <c r="AZ870" s="34"/>
      <c r="BA870" s="34"/>
      <c r="BB870" s="34"/>
      <c r="BC870" s="34"/>
    </row>
    <row r="871" spans="3:55" ht="13" customHeight="1">
      <c r="J871" s="45" t="s">
        <v>170</v>
      </c>
      <c r="K871" s="5"/>
      <c r="L871" s="5"/>
      <c r="M871" s="1642" t="s">
        <v>2719</v>
      </c>
      <c r="N871" s="1643"/>
      <c r="O871" s="1643"/>
      <c r="P871" s="1643"/>
      <c r="Q871" s="1643"/>
      <c r="R871" s="1643"/>
      <c r="S871" s="1643"/>
      <c r="T871" s="1643"/>
      <c r="U871" s="1643"/>
      <c r="V871" s="1644"/>
      <c r="W871" s="1638">
        <f>4500+2740+[1]budgets!$AA$86</f>
        <v>14040</v>
      </c>
      <c r="X871" s="1638"/>
      <c r="Y871" s="1638"/>
      <c r="Z871" s="1638"/>
      <c r="AA871" s="1638"/>
      <c r="AB871" s="1638"/>
      <c r="AC871" s="1638"/>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1">
        <f>SUM(W865:W871)</f>
        <v>117040</v>
      </c>
      <c r="X872" s="1601"/>
      <c r="Y872" s="1601"/>
      <c r="Z872" s="1601"/>
      <c r="AA872" s="1601"/>
      <c r="AB872" s="1601"/>
      <c r="AC872" s="1601"/>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642" t="s">
        <v>2720</v>
      </c>
      <c r="N874" s="1643"/>
      <c r="O874" s="1643"/>
      <c r="P874" s="1643"/>
      <c r="Q874" s="1643"/>
      <c r="R874" s="1643"/>
      <c r="S874" s="1643"/>
      <c r="T874" s="1643"/>
      <c r="U874" s="1643"/>
      <c r="V874" s="1644"/>
      <c r="W874" s="1475">
        <v>3400</v>
      </c>
      <c r="X874" s="1338"/>
      <c r="Y874" s="1338"/>
      <c r="Z874" s="1338"/>
      <c r="AA874" s="1338"/>
      <c r="AB874" s="1338"/>
      <c r="AC874" s="1339"/>
      <c r="AD874" s="533"/>
      <c r="AV874" s="14"/>
      <c r="AW874" s="14"/>
      <c r="AX874" s="14"/>
      <c r="AY874" s="14"/>
      <c r="AZ874" s="34"/>
      <c r="BA874" s="34"/>
      <c r="BB874" s="34"/>
      <c r="BC874" s="34"/>
    </row>
    <row r="875" spans="3:55" ht="13" customHeight="1">
      <c r="C875" s="2" t="s">
        <v>1244</v>
      </c>
      <c r="J875" s="45" t="s">
        <v>170</v>
      </c>
      <c r="K875" s="5"/>
      <c r="L875" s="5"/>
      <c r="M875" s="1642" t="s">
        <v>334</v>
      </c>
      <c r="N875" s="1643"/>
      <c r="O875" s="1643"/>
      <c r="P875" s="1643"/>
      <c r="Q875" s="1643"/>
      <c r="R875" s="1643"/>
      <c r="S875" s="1643"/>
      <c r="T875" s="1643"/>
      <c r="U875" s="1643"/>
      <c r="V875" s="1644"/>
      <c r="W875" s="1475"/>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42" t="s">
        <v>334</v>
      </c>
      <c r="N876" s="1643"/>
      <c r="O876" s="1643"/>
      <c r="P876" s="1643"/>
      <c r="Q876" s="1643"/>
      <c r="R876" s="1643"/>
      <c r="S876" s="1643"/>
      <c r="T876" s="1643"/>
      <c r="U876" s="1643"/>
      <c r="V876" s="1644"/>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2" t="s">
        <v>334</v>
      </c>
      <c r="N877" s="1643"/>
      <c r="O877" s="1643"/>
      <c r="P877" s="1643"/>
      <c r="Q877" s="1643"/>
      <c r="R877" s="1643"/>
      <c r="S877" s="1643"/>
      <c r="T877" s="1643"/>
      <c r="U877" s="1643"/>
      <c r="V877" s="1644"/>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2" t="s">
        <v>334</v>
      </c>
      <c r="N878" s="1643"/>
      <c r="O878" s="1643"/>
      <c r="P878" s="1643"/>
      <c r="Q878" s="1643"/>
      <c r="R878" s="1643"/>
      <c r="S878" s="1643"/>
      <c r="T878" s="1643"/>
      <c r="U878" s="1643"/>
      <c r="V878" s="1644"/>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2">
        <f>SUM(W874:W878)</f>
        <v>3400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454000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5">
        <f>O797+O777+G753</f>
        <v>80</v>
      </c>
      <c r="AD884" s="1645"/>
      <c r="AE884" s="1645"/>
      <c r="AF884" s="1645"/>
      <c r="AG884" s="1645"/>
      <c r="AH884" s="1646"/>
      <c r="AL884" s="4"/>
      <c r="AM884" s="4"/>
      <c r="AN884" s="4"/>
      <c r="AO884" s="4"/>
      <c r="AP884" s="4"/>
      <c r="AQ884" s="4"/>
      <c r="AR884" s="4"/>
      <c r="AS884" s="4"/>
      <c r="AT884" s="4"/>
      <c r="AZ884" s="34"/>
      <c r="BA884" s="34"/>
      <c r="BB884" s="34"/>
      <c r="BC884" s="34"/>
    </row>
    <row r="885" spans="3:55" ht="13"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601">
        <f>IF(ISERROR((ROUNDDOWN(AC883/AC884,0))),0,(ROUNDDOWN(AC883/AC884,0)))</f>
        <v>5675</v>
      </c>
      <c r="AD885" s="1601"/>
      <c r="AE885" s="1601"/>
      <c r="AF885" s="1601"/>
      <c r="AG885" s="1601"/>
      <c r="AH885" s="1601"/>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7">
        <f>'Sources and Uses Budget'!C75</f>
        <v>487970</v>
      </c>
      <c r="AD886" s="1648"/>
      <c r="AE886" s="1648"/>
      <c r="AF886" s="1648"/>
      <c r="AG886" s="1648"/>
      <c r="AH886" s="164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v>28800</v>
      </c>
      <c r="AD887" s="1638"/>
      <c r="AE887" s="1638"/>
      <c r="AF887" s="1638"/>
      <c r="AG887" s="1638"/>
      <c r="AH887" s="1638"/>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48000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f>[1]budgets!$AF$56+[1]budgets!$AF$57</f>
        <v>12000</v>
      </c>
      <c r="AD890" s="1491"/>
      <c r="AE890" s="1491"/>
      <c r="AF890" s="1491"/>
      <c r="AG890" s="1491"/>
      <c r="AH890" s="1492"/>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5200</v>
      </c>
      <c r="AD891" s="1338"/>
      <c r="AE891" s="1338"/>
      <c r="AF891" s="1338"/>
      <c r="AG891" s="1338"/>
      <c r="AH891" s="1339"/>
      <c r="AZ891" s="34"/>
      <c r="BA891" s="34"/>
      <c r="BB891" s="34"/>
      <c r="BC891" s="34"/>
    </row>
    <row r="892" spans="3:55" ht="13" hidden="1" customHeight="1">
      <c r="C892" s="1408" t="s">
        <v>2232</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3" customHeight="1">
      <c r="C894" s="1666" t="s">
        <v>956</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8"/>
      <c r="AD894" s="1638"/>
      <c r="AE894" s="1638"/>
      <c r="AF894" s="1638"/>
      <c r="AG894" s="1638"/>
      <c r="AH894" s="1638"/>
      <c r="AZ894" s="34"/>
      <c r="BA894" s="34"/>
      <c r="BB894" s="34"/>
      <c r="BC894" s="34"/>
    </row>
    <row r="895" spans="3:55" ht="13" customHeight="1">
      <c r="C895" s="1666" t="s">
        <v>956</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8"/>
      <c r="AD895" s="1638"/>
      <c r="AE895" s="1638"/>
      <c r="AF895" s="1638"/>
      <c r="AG895" s="1638"/>
      <c r="AH895" s="1638"/>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5"/>
      <c r="BE899" s="1635"/>
      <c r="BF899" s="14"/>
    </row>
    <row r="900" spans="1:58" ht="13"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5"/>
      <c r="BE900" s="1635"/>
      <c r="BF900" s="14"/>
    </row>
    <row r="901" spans="1:58" ht="13"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4"/>
      <c r="BE901" s="1634"/>
      <c r="BF901" s="14"/>
    </row>
    <row r="902" spans="1:58" ht="13"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4"/>
      <c r="BE902" s="1634"/>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4"/>
      <c r="BE903" s="1634"/>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5"/>
      <c r="BE904" s="1634"/>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4"/>
      <c r="BE905" s="1664"/>
      <c r="BF905" s="1664"/>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4"/>
      <c r="BE907" s="1634"/>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5"/>
      <c r="BE908" s="1634"/>
      <c r="BF908" s="14"/>
    </row>
    <row r="909" spans="1:58" ht="13" customHeight="1">
      <c r="AZ909" s="34"/>
      <c r="BB909" s="30"/>
      <c r="BC909" s="816"/>
    </row>
    <row r="910" spans="1:58" ht="13"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5"/>
      <c r="BE910" s="1634"/>
      <c r="BF910" s="911"/>
    </row>
    <row r="911" spans="1:58" ht="13"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1" t="s">
        <v>792</v>
      </c>
      <c r="G915" s="1712"/>
      <c r="H915" s="1712"/>
      <c r="I915" s="1712"/>
      <c r="J915" s="1712"/>
      <c r="K915" s="1712"/>
      <c r="L915" s="1712"/>
      <c r="M915" s="1712"/>
      <c r="N915" s="1712"/>
      <c r="O915" s="1712"/>
      <c r="P915" s="1712"/>
      <c r="Q915" s="1712"/>
      <c r="R915" s="1712"/>
      <c r="S915" s="1712"/>
      <c r="T915" s="1713"/>
      <c r="U915" s="1754" t="s">
        <v>31</v>
      </c>
      <c r="V915" s="1686"/>
      <c r="W915" s="1686"/>
      <c r="X915" s="1686"/>
      <c r="Y915" s="1686"/>
      <c r="Z915" s="1686"/>
      <c r="AA915" s="43"/>
      <c r="AB915" s="105"/>
      <c r="AC915" s="105"/>
      <c r="AD915" s="105"/>
      <c r="AE915" s="105"/>
      <c r="AF915" s="106"/>
      <c r="AZ915" s="34"/>
      <c r="BA915" s="34"/>
      <c r="BB915" s="34"/>
      <c r="BC915" s="34"/>
    </row>
    <row r="916" spans="1:58" ht="13" customHeight="1">
      <c r="B916" s="2"/>
      <c r="F916" s="1755" t="s">
        <v>818</v>
      </c>
      <c r="G916" s="1756"/>
      <c r="H916" s="1756"/>
      <c r="I916" s="1756"/>
      <c r="J916" s="1756"/>
      <c r="K916" s="1756"/>
      <c r="L916" s="1756"/>
      <c r="M916" s="1756"/>
      <c r="N916" s="1756"/>
      <c r="O916" s="1756"/>
      <c r="P916" s="1756"/>
      <c r="Q916" s="1756"/>
      <c r="R916" s="1756"/>
      <c r="S916" s="1756"/>
      <c r="T916" s="1778"/>
      <c r="U916" s="1755"/>
      <c r="V916" s="1756"/>
      <c r="W916" s="1756"/>
      <c r="X916" s="1756"/>
      <c r="Y916" s="1756"/>
      <c r="Z916" s="1756"/>
      <c r="AA916" s="44"/>
      <c r="AB916" s="4"/>
      <c r="AC916" s="4"/>
      <c r="AD916" s="4"/>
      <c r="AE916" s="4"/>
      <c r="AF916" s="107"/>
      <c r="AZ916" s="34"/>
      <c r="BA916" s="34"/>
      <c r="BB916" s="34"/>
      <c r="BC916" s="34"/>
    </row>
    <row r="917" spans="1:58" ht="13" customHeight="1">
      <c r="B917" s="2"/>
      <c r="F917" s="1757"/>
      <c r="G917" s="1688"/>
      <c r="H917" s="1688"/>
      <c r="I917" s="1688"/>
      <c r="J917" s="1688"/>
      <c r="K917" s="1688"/>
      <c r="L917" s="1688"/>
      <c r="M917" s="1688"/>
      <c r="N917" s="1688"/>
      <c r="O917" s="1688"/>
      <c r="P917" s="1688"/>
      <c r="Q917" s="1688"/>
      <c r="R917" s="1688"/>
      <c r="S917" s="1688"/>
      <c r="T917" s="1689"/>
      <c r="U917" s="1757"/>
      <c r="V917" s="1688"/>
      <c r="W917" s="1688"/>
      <c r="X917" s="1688"/>
      <c r="Y917" s="1688"/>
      <c r="Z917" s="1688"/>
      <c r="AA917" s="108"/>
      <c r="AB917" s="1431" t="s">
        <v>391</v>
      </c>
      <c r="AC917" s="1431"/>
      <c r="AD917" s="1431"/>
      <c r="AE917" s="1431"/>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28" t="s">
        <v>545</v>
      </c>
      <c r="V918" s="1427"/>
      <c r="W918" s="1427"/>
      <c r="X918" s="1427"/>
      <c r="Y918" s="1427"/>
      <c r="Z918" s="1428"/>
      <c r="AA918" s="1632">
        <f>AM554</f>
        <v>15448918.328221949</v>
      </c>
      <c r="AB918" s="1524"/>
      <c r="AC918" s="1524"/>
      <c r="AD918" s="1524"/>
      <c r="AE918" s="1524"/>
      <c r="AF918" s="1633"/>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28" t="s">
        <v>545</v>
      </c>
      <c r="V919" s="1427"/>
      <c r="W919" s="1427"/>
      <c r="X919" s="1427"/>
      <c r="Y919" s="1427"/>
      <c r="Z919" s="1428"/>
      <c r="AA919" s="1632">
        <f>AM555</f>
        <v>18605705.78095983</v>
      </c>
      <c r="AB919" s="1524"/>
      <c r="AC919" s="1524"/>
      <c r="AD919" s="1524"/>
      <c r="AE919" s="1524"/>
      <c r="AF919" s="1633"/>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28" t="s">
        <v>591</v>
      </c>
      <c r="V920" s="1427"/>
      <c r="W920" s="1427"/>
      <c r="X920" s="1427"/>
      <c r="Y920" s="1427"/>
      <c r="Z920" s="1428"/>
      <c r="AA920" s="1632"/>
      <c r="AB920" s="1524"/>
      <c r="AC920" s="1524"/>
      <c r="AD920" s="1524"/>
      <c r="AE920" s="1524"/>
      <c r="AF920" s="1633"/>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28" t="s">
        <v>591</v>
      </c>
      <c r="V921" s="1427"/>
      <c r="W921" s="1427"/>
      <c r="X921" s="1427"/>
      <c r="Y921" s="1427"/>
      <c r="Z921" s="1428"/>
      <c r="AA921" s="1632"/>
      <c r="AB921" s="1524"/>
      <c r="AC921" s="1524"/>
      <c r="AD921" s="1524"/>
      <c r="AE921" s="1524"/>
      <c r="AF921" s="1633"/>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28" t="s">
        <v>545</v>
      </c>
      <c r="V922" s="1427"/>
      <c r="W922" s="1427"/>
      <c r="X922" s="1427"/>
      <c r="Y922" s="1427"/>
      <c r="Z922" s="1428"/>
      <c r="AA922" s="1632">
        <f>AO628</f>
        <v>5000000</v>
      </c>
      <c r="AB922" s="1524"/>
      <c r="AC922" s="1524"/>
      <c r="AD922" s="1524"/>
      <c r="AE922" s="1524"/>
      <c r="AF922" s="1633"/>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28" t="s">
        <v>591</v>
      </c>
      <c r="V923" s="1427"/>
      <c r="W923" s="1427"/>
      <c r="X923" s="1427"/>
      <c r="Y923" s="1427"/>
      <c r="Z923" s="1428"/>
      <c r="AA923" s="1632"/>
      <c r="AB923" s="1524"/>
      <c r="AC923" s="1524"/>
      <c r="AD923" s="1524"/>
      <c r="AE923" s="1524"/>
      <c r="AF923" s="1633"/>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28" t="s">
        <v>591</v>
      </c>
      <c r="V924" s="1427"/>
      <c r="W924" s="1427"/>
      <c r="X924" s="1427"/>
      <c r="Y924" s="1427"/>
      <c r="Z924" s="1428"/>
      <c r="AA924" s="1632"/>
      <c r="AB924" s="1524"/>
      <c r="AC924" s="1524"/>
      <c r="AD924" s="1524"/>
      <c r="AE924" s="1524"/>
      <c r="AF924" s="1633"/>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28" t="s">
        <v>591</v>
      </c>
      <c r="V925" s="1427"/>
      <c r="W925" s="1427"/>
      <c r="X925" s="1427"/>
      <c r="Y925" s="1427"/>
      <c r="Z925" s="1428"/>
      <c r="AA925" s="1632"/>
      <c r="AB925" s="1524"/>
      <c r="AC925" s="1524"/>
      <c r="AD925" s="1524"/>
      <c r="AE925" s="1524"/>
      <c r="AF925" s="1633"/>
      <c r="AZ925" s="34"/>
      <c r="BA925" s="34"/>
      <c r="BB925" s="34"/>
      <c r="BC925" s="34"/>
    </row>
    <row r="926" spans="1:58" ht="13" customHeight="1">
      <c r="F926" s="1625" t="s">
        <v>2192</v>
      </c>
      <c r="G926" s="1626"/>
      <c r="H926" s="1626"/>
      <c r="I926" s="1626"/>
      <c r="J926" s="1626"/>
      <c r="K926" s="1626"/>
      <c r="L926" s="1626"/>
      <c r="M926" s="1626"/>
      <c r="N926" s="1626"/>
      <c r="O926" s="1626"/>
      <c r="P926" s="1626"/>
      <c r="Q926" s="1626"/>
      <c r="R926" s="1626"/>
      <c r="S926" s="1626"/>
      <c r="T926" s="1627"/>
      <c r="U926" s="1628" t="s">
        <v>591</v>
      </c>
      <c r="V926" s="1427"/>
      <c r="W926" s="1427"/>
      <c r="X926" s="1427"/>
      <c r="Y926" s="1427"/>
      <c r="Z926" s="1428"/>
      <c r="AA926" s="1632"/>
      <c r="AB926" s="1524"/>
      <c r="AC926" s="1524"/>
      <c r="AD926" s="1524"/>
      <c r="AE926" s="1524"/>
      <c r="AF926" s="1633"/>
      <c r="AZ926" s="34"/>
      <c r="BA926" s="34"/>
      <c r="BB926" s="34"/>
      <c r="BC926" s="34"/>
    </row>
    <row r="927" spans="1:58" ht="13" customHeight="1">
      <c r="F927" s="1625" t="s">
        <v>679</v>
      </c>
      <c r="G927" s="1626"/>
      <c r="H927" s="1626"/>
      <c r="I927" s="1626"/>
      <c r="J927" s="1626"/>
      <c r="K927" s="1626"/>
      <c r="L927" s="1626"/>
      <c r="M927" s="1626"/>
      <c r="N927" s="1626"/>
      <c r="O927" s="1626"/>
      <c r="P927" s="1626"/>
      <c r="Q927" s="1626"/>
      <c r="R927" s="1626"/>
      <c r="S927" s="1626"/>
      <c r="T927" s="1627"/>
      <c r="U927" s="1628" t="s">
        <v>591</v>
      </c>
      <c r="V927" s="1427"/>
      <c r="W927" s="1427"/>
      <c r="X927" s="1427"/>
      <c r="Y927" s="1427"/>
      <c r="Z927" s="1428"/>
      <c r="AA927" s="1632"/>
      <c r="AB927" s="1524"/>
      <c r="AC927" s="1524"/>
      <c r="AD927" s="1524"/>
      <c r="AE927" s="1524"/>
      <c r="AF927" s="1633"/>
      <c r="AU927" s="2"/>
      <c r="AZ927" s="34"/>
      <c r="BA927" s="34"/>
      <c r="BB927" s="34"/>
      <c r="BC927" s="34"/>
    </row>
    <row r="928" spans="1:58" ht="13" customHeight="1">
      <c r="F928" s="1625" t="s">
        <v>2193</v>
      </c>
      <c r="G928" s="1626"/>
      <c r="H928" s="1626"/>
      <c r="I928" s="1626"/>
      <c r="J928" s="1626"/>
      <c r="K928" s="1626"/>
      <c r="L928" s="1626"/>
      <c r="M928" s="1626"/>
      <c r="N928" s="1626"/>
      <c r="O928" s="1626"/>
      <c r="P928" s="1626"/>
      <c r="Q928" s="1626"/>
      <c r="R928" s="1626"/>
      <c r="S928" s="1626"/>
      <c r="T928" s="1627"/>
      <c r="U928" s="1628" t="s">
        <v>591</v>
      </c>
      <c r="V928" s="1427"/>
      <c r="W928" s="1427"/>
      <c r="X928" s="1427"/>
      <c r="Y928" s="1427"/>
      <c r="Z928" s="1428"/>
      <c r="AA928" s="1632"/>
      <c r="AB928" s="1524"/>
      <c r="AC928" s="1524"/>
      <c r="AD928" s="1524"/>
      <c r="AE928" s="1524"/>
      <c r="AF928" s="1633"/>
      <c r="AU928" s="2"/>
      <c r="AZ928" s="34"/>
      <c r="BA928" s="34"/>
      <c r="BB928" s="34"/>
      <c r="BC928" s="34"/>
    </row>
    <row r="929" spans="6:55" ht="13" customHeight="1">
      <c r="F929" s="1625" t="s">
        <v>2194</v>
      </c>
      <c r="G929" s="1626"/>
      <c r="H929" s="1626"/>
      <c r="I929" s="1626"/>
      <c r="J929" s="1626"/>
      <c r="K929" s="1626"/>
      <c r="L929" s="1626"/>
      <c r="M929" s="1626"/>
      <c r="N929" s="1626"/>
      <c r="O929" s="1626"/>
      <c r="P929" s="1626"/>
      <c r="Q929" s="1626"/>
      <c r="R929" s="1626"/>
      <c r="S929" s="1626"/>
      <c r="T929" s="1627"/>
      <c r="U929" s="1628" t="s">
        <v>591</v>
      </c>
      <c r="V929" s="1427"/>
      <c r="W929" s="1427"/>
      <c r="X929" s="1427"/>
      <c r="Y929" s="1427"/>
      <c r="Z929" s="1428"/>
      <c r="AA929" s="1632"/>
      <c r="AB929" s="1524"/>
      <c r="AC929" s="1524"/>
      <c r="AD929" s="1524"/>
      <c r="AE929" s="1524"/>
      <c r="AF929" s="1633"/>
      <c r="AU929" s="2"/>
      <c r="AZ929" s="34"/>
      <c r="BA929" s="34"/>
      <c r="BB929" s="34"/>
      <c r="BC929" s="34"/>
    </row>
    <row r="930" spans="6:55" ht="13" customHeight="1">
      <c r="F930" s="1625" t="s">
        <v>2195</v>
      </c>
      <c r="G930" s="1626"/>
      <c r="H930" s="1626"/>
      <c r="I930" s="1626"/>
      <c r="J930" s="1626"/>
      <c r="K930" s="1626"/>
      <c r="L930" s="1626"/>
      <c r="M930" s="1626"/>
      <c r="N930" s="1626"/>
      <c r="O930" s="1626"/>
      <c r="P930" s="1626"/>
      <c r="Q930" s="1626"/>
      <c r="R930" s="1626"/>
      <c r="S930" s="1626"/>
      <c r="T930" s="1627"/>
      <c r="U930" s="1628" t="s">
        <v>591</v>
      </c>
      <c r="V930" s="1427"/>
      <c r="W930" s="1427"/>
      <c r="X930" s="1427"/>
      <c r="Y930" s="1427"/>
      <c r="Z930" s="1428"/>
      <c r="AA930" s="1632"/>
      <c r="AB930" s="1524"/>
      <c r="AC930" s="1524"/>
      <c r="AD930" s="1524"/>
      <c r="AE930" s="1524"/>
      <c r="AF930" s="1633"/>
      <c r="AU930" s="2"/>
      <c r="AZ930" s="34"/>
      <c r="BA930" s="34"/>
      <c r="BB930" s="34"/>
      <c r="BC930" s="34"/>
    </row>
    <row r="931" spans="6:55" ht="13" customHeight="1">
      <c r="F931" s="1625" t="s">
        <v>2196</v>
      </c>
      <c r="G931" s="1626"/>
      <c r="H931" s="1626"/>
      <c r="I931" s="1626"/>
      <c r="J931" s="1626"/>
      <c r="K931" s="1626"/>
      <c r="L931" s="1626"/>
      <c r="M931" s="1626"/>
      <c r="N931" s="1626"/>
      <c r="O931" s="1626"/>
      <c r="P931" s="1626"/>
      <c r="Q931" s="1626"/>
      <c r="R931" s="1626"/>
      <c r="S931" s="1626"/>
      <c r="T931" s="1627"/>
      <c r="U931" s="1628" t="s">
        <v>591</v>
      </c>
      <c r="V931" s="1427"/>
      <c r="W931" s="1427"/>
      <c r="X931" s="1427"/>
      <c r="Y931" s="1427"/>
      <c r="Z931" s="1428"/>
      <c r="AA931" s="1632"/>
      <c r="AB931" s="1524"/>
      <c r="AC931" s="1524"/>
      <c r="AD931" s="1524"/>
      <c r="AE931" s="1524"/>
      <c r="AF931" s="1633"/>
      <c r="AU931" s="2"/>
      <c r="AZ931" s="34"/>
      <c r="BA931" s="34"/>
      <c r="BB931" s="34"/>
      <c r="BC931" s="34"/>
    </row>
    <row r="932" spans="6:55" ht="13" customHeight="1">
      <c r="F932" s="1625" t="s">
        <v>2197</v>
      </c>
      <c r="G932" s="1626"/>
      <c r="H932" s="1626"/>
      <c r="I932" s="1626"/>
      <c r="J932" s="1626"/>
      <c r="K932" s="1626"/>
      <c r="L932" s="1626"/>
      <c r="M932" s="1626"/>
      <c r="N932" s="1626"/>
      <c r="O932" s="1626"/>
      <c r="P932" s="1626"/>
      <c r="Q932" s="1626"/>
      <c r="R932" s="1626"/>
      <c r="S932" s="1626"/>
      <c r="T932" s="1627"/>
      <c r="U932" s="1628" t="s">
        <v>591</v>
      </c>
      <c r="V932" s="1427"/>
      <c r="W932" s="1427"/>
      <c r="X932" s="1427"/>
      <c r="Y932" s="1427"/>
      <c r="Z932" s="1428"/>
      <c r="AA932" s="1632"/>
      <c r="AB932" s="1524"/>
      <c r="AC932" s="1524"/>
      <c r="AD932" s="1524"/>
      <c r="AE932" s="1524"/>
      <c r="AF932" s="1633"/>
      <c r="AZ932" s="30"/>
      <c r="BA932" s="30"/>
    </row>
    <row r="933" spans="6:55" ht="13" customHeight="1">
      <c r="F933" s="178" t="s">
        <v>676</v>
      </c>
      <c r="G933" s="5"/>
      <c r="H933" s="5"/>
      <c r="I933" s="5"/>
      <c r="J933" s="5"/>
      <c r="K933" s="5"/>
      <c r="L933" s="5"/>
      <c r="M933" s="5"/>
      <c r="N933" s="5"/>
      <c r="O933" s="5"/>
      <c r="P933" s="5"/>
      <c r="Q933" s="5"/>
      <c r="R933" s="5"/>
      <c r="S933" s="5"/>
      <c r="T933" s="46"/>
      <c r="U933" s="1628" t="s">
        <v>591</v>
      </c>
      <c r="V933" s="1427"/>
      <c r="W933" s="1427"/>
      <c r="X933" s="1427"/>
      <c r="Y933" s="1427"/>
      <c r="Z933" s="1428"/>
      <c r="AA933" s="1632"/>
      <c r="AB933" s="1524"/>
      <c r="AC933" s="1524"/>
      <c r="AD933" s="1524"/>
      <c r="AE933" s="1524"/>
      <c r="AF933" s="1633"/>
    </row>
    <row r="934" spans="6:55" ht="13" customHeight="1">
      <c r="F934" s="121" t="s">
        <v>1277</v>
      </c>
      <c r="G934" s="5"/>
      <c r="H934" s="5"/>
      <c r="I934" s="5"/>
      <c r="J934" s="5"/>
      <c r="K934" s="5"/>
      <c r="L934" s="5"/>
      <c r="M934" s="5"/>
      <c r="N934" s="5"/>
      <c r="O934" s="5"/>
      <c r="P934" s="5"/>
      <c r="Q934" s="5"/>
      <c r="R934" s="5"/>
      <c r="S934" s="5"/>
      <c r="T934" s="46"/>
      <c r="U934" s="1628" t="s">
        <v>591</v>
      </c>
      <c r="V934" s="1427"/>
      <c r="W934" s="1427"/>
      <c r="X934" s="1427"/>
      <c r="Y934" s="1427"/>
      <c r="Z934" s="1428"/>
      <c r="AA934" s="1632"/>
      <c r="AB934" s="1524"/>
      <c r="AC934" s="1524"/>
      <c r="AD934" s="1524"/>
      <c r="AE934" s="1524"/>
      <c r="AF934" s="1633"/>
      <c r="AZ934" s="30"/>
      <c r="BA934" s="14"/>
    </row>
    <row r="935" spans="6:55" ht="13" customHeight="1">
      <c r="F935" s="66" t="s">
        <v>802</v>
      </c>
      <c r="G935" s="5"/>
      <c r="H935" s="5"/>
      <c r="I935" s="5"/>
      <c r="J935" s="5"/>
      <c r="K935" s="5"/>
      <c r="L935" s="5"/>
      <c r="M935" s="5"/>
      <c r="N935" s="5"/>
      <c r="O935" s="5"/>
      <c r="P935" s="5"/>
      <c r="Q935" s="5"/>
      <c r="R935" s="5"/>
      <c r="S935" s="5"/>
      <c r="T935" s="46"/>
      <c r="U935" s="1628" t="s">
        <v>591</v>
      </c>
      <c r="V935" s="1427"/>
      <c r="W935" s="1427"/>
      <c r="X935" s="1427"/>
      <c r="Y935" s="1427"/>
      <c r="Z935" s="1428"/>
      <c r="AA935" s="1632"/>
      <c r="AB935" s="1524"/>
      <c r="AC935" s="1524"/>
      <c r="AD935" s="1524"/>
      <c r="AE935" s="1524"/>
      <c r="AF935" s="1633"/>
      <c r="AZ935" s="30"/>
      <c r="BA935" s="14"/>
    </row>
    <row r="936" spans="6:55" ht="13" customHeight="1">
      <c r="F936" s="1629" t="s">
        <v>2201</v>
      </c>
      <c r="G936" s="1630"/>
      <c r="H936" s="1630"/>
      <c r="I936" s="1630"/>
      <c r="J936" s="1630"/>
      <c r="K936" s="1630"/>
      <c r="L936" s="1630"/>
      <c r="M936" s="1630"/>
      <c r="N936" s="1630"/>
      <c r="O936" s="1630"/>
      <c r="P936" s="1630"/>
      <c r="Q936" s="1630"/>
      <c r="R936" s="1630"/>
      <c r="S936" s="1630"/>
      <c r="T936" s="1631"/>
      <c r="U936" s="1628" t="s">
        <v>591</v>
      </c>
      <c r="V936" s="1427"/>
      <c r="W936" s="1427"/>
      <c r="X936" s="1427"/>
      <c r="Y936" s="1427"/>
      <c r="Z936" s="1428"/>
      <c r="AA936" s="1632"/>
      <c r="AB936" s="1524"/>
      <c r="AC936" s="1524"/>
      <c r="AD936" s="1524"/>
      <c r="AE936" s="1524"/>
      <c r="AF936" s="1633"/>
      <c r="AZ936" s="30"/>
      <c r="BA936" s="14"/>
    </row>
    <row r="937" spans="6:55" ht="13" customHeight="1">
      <c r="F937" s="1629" t="s">
        <v>2202</v>
      </c>
      <c r="G937" s="1630"/>
      <c r="H937" s="1630"/>
      <c r="I937" s="1630"/>
      <c r="J937" s="1630"/>
      <c r="K937" s="1630"/>
      <c r="L937" s="1630"/>
      <c r="M937" s="1630"/>
      <c r="N937" s="1630"/>
      <c r="O937" s="1630"/>
      <c r="P937" s="1630"/>
      <c r="Q937" s="1630"/>
      <c r="R937" s="1630"/>
      <c r="S937" s="1630"/>
      <c r="T937" s="1631"/>
      <c r="U937" s="1628" t="s">
        <v>591</v>
      </c>
      <c r="V937" s="1427"/>
      <c r="W937" s="1427"/>
      <c r="X937" s="1427"/>
      <c r="Y937" s="1427"/>
      <c r="Z937" s="1428"/>
      <c r="AA937" s="1632"/>
      <c r="AB937" s="1524"/>
      <c r="AC937" s="1524"/>
      <c r="AD937" s="1524"/>
      <c r="AE937" s="1524"/>
      <c r="AF937" s="1633"/>
      <c r="AZ937" s="30"/>
      <c r="BA937" s="30"/>
    </row>
    <row r="938" spans="6:55" ht="13" customHeight="1">
      <c r="F938" s="1625" t="s">
        <v>2198</v>
      </c>
      <c r="G938" s="1626"/>
      <c r="H938" s="1626"/>
      <c r="I938" s="1626"/>
      <c r="J938" s="1626"/>
      <c r="K938" s="1626"/>
      <c r="L938" s="1626"/>
      <c r="M938" s="1626"/>
      <c r="N938" s="1626"/>
      <c r="O938" s="1626"/>
      <c r="P938" s="1626"/>
      <c r="Q938" s="1626"/>
      <c r="R938" s="1626"/>
      <c r="S938" s="1626"/>
      <c r="T938" s="1627"/>
      <c r="U938" s="1628" t="s">
        <v>591</v>
      </c>
      <c r="V938" s="1427"/>
      <c r="W938" s="1427"/>
      <c r="X938" s="1427"/>
      <c r="Y938" s="1427"/>
      <c r="Z938" s="1428"/>
      <c r="AA938" s="1632"/>
      <c r="AB938" s="1524"/>
      <c r="AC938" s="1524"/>
      <c r="AD938" s="1524"/>
      <c r="AE938" s="1524"/>
      <c r="AF938" s="1633"/>
      <c r="AZ938" s="30"/>
      <c r="BA938" s="30"/>
    </row>
    <row r="939" spans="6:55" ht="13" customHeight="1">
      <c r="F939" s="1625" t="s">
        <v>2199</v>
      </c>
      <c r="G939" s="1626"/>
      <c r="H939" s="1626"/>
      <c r="I939" s="1626"/>
      <c r="J939" s="1626"/>
      <c r="K939" s="1626"/>
      <c r="L939" s="1626"/>
      <c r="M939" s="1626"/>
      <c r="N939" s="1626"/>
      <c r="O939" s="1626"/>
      <c r="P939" s="1626"/>
      <c r="Q939" s="1626"/>
      <c r="R939" s="1626"/>
      <c r="S939" s="1626"/>
      <c r="T939" s="1627"/>
      <c r="U939" s="1628" t="s">
        <v>591</v>
      </c>
      <c r="V939" s="1427"/>
      <c r="W939" s="1427"/>
      <c r="X939" s="1427"/>
      <c r="Y939" s="1427"/>
      <c r="Z939" s="1428"/>
      <c r="AA939" s="1632"/>
      <c r="AB939" s="1524"/>
      <c r="AC939" s="1524"/>
      <c r="AD939" s="1524"/>
      <c r="AE939" s="1524"/>
      <c r="AF939" s="1633"/>
      <c r="AZ939" s="30"/>
      <c r="BA939" s="30"/>
    </row>
    <row r="940" spans="6:55" ht="13" customHeight="1">
      <c r="F940" s="1625" t="s">
        <v>2200</v>
      </c>
      <c r="G940" s="1626"/>
      <c r="H940" s="1626"/>
      <c r="I940" s="1626"/>
      <c r="J940" s="1626"/>
      <c r="K940" s="1626"/>
      <c r="L940" s="1626"/>
      <c r="M940" s="1626"/>
      <c r="N940" s="1626"/>
      <c r="O940" s="1626"/>
      <c r="P940" s="1626"/>
      <c r="Q940" s="1626"/>
      <c r="R940" s="1626"/>
      <c r="S940" s="1626"/>
      <c r="T940" s="1627"/>
      <c r="U940" s="1628" t="s">
        <v>591</v>
      </c>
      <c r="V940" s="1427"/>
      <c r="W940" s="1427"/>
      <c r="X940" s="1427"/>
      <c r="Y940" s="1427"/>
      <c r="Z940" s="1428"/>
      <c r="AA940" s="1632"/>
      <c r="AB940" s="1524"/>
      <c r="AC940" s="1524"/>
      <c r="AD940" s="1524"/>
      <c r="AE940" s="1524"/>
      <c r="AF940" s="1633"/>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28" t="s">
        <v>591</v>
      </c>
      <c r="V941" s="1427"/>
      <c r="W941" s="1427"/>
      <c r="X941" s="1427"/>
      <c r="Y941" s="1427"/>
      <c r="Z941" s="1428"/>
      <c r="AA941" s="1632"/>
      <c r="AB941" s="1524"/>
      <c r="AC941" s="1524"/>
      <c r="AD941" s="1524"/>
      <c r="AE941" s="1524"/>
      <c r="AF941" s="1633"/>
      <c r="AZ941" s="34"/>
      <c r="BA941" s="34"/>
      <c r="BB941" s="14"/>
      <c r="BC941" s="14"/>
    </row>
    <row r="942" spans="6:55" ht="13" customHeight="1">
      <c r="F942" s="1629" t="s">
        <v>2203</v>
      </c>
      <c r="G942" s="1630"/>
      <c r="H942" s="1630"/>
      <c r="I942" s="1630"/>
      <c r="J942" s="1630"/>
      <c r="K942" s="1630"/>
      <c r="L942" s="1630"/>
      <c r="M942" s="1630"/>
      <c r="N942" s="1630"/>
      <c r="O942" s="1630"/>
      <c r="P942" s="1630"/>
      <c r="Q942" s="1630"/>
      <c r="R942" s="1630"/>
      <c r="S942" s="1630"/>
      <c r="T942" s="1631"/>
      <c r="U942" s="1628" t="s">
        <v>591</v>
      </c>
      <c r="V942" s="1427"/>
      <c r="W942" s="1427"/>
      <c r="X942" s="1427"/>
      <c r="Y942" s="1427"/>
      <c r="Z942" s="1428"/>
      <c r="AA942" s="1632"/>
      <c r="AB942" s="1524"/>
      <c r="AC942" s="1524"/>
      <c r="AD942" s="1524"/>
      <c r="AE942" s="1524"/>
      <c r="AF942" s="1633"/>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28" t="s">
        <v>591</v>
      </c>
      <c r="V943" s="1427"/>
      <c r="W943" s="1427"/>
      <c r="X943" s="1427"/>
      <c r="Y943" s="1427"/>
      <c r="Z943" s="1428"/>
      <c r="AA943" s="1632"/>
      <c r="AB943" s="1524"/>
      <c r="AC943" s="1524"/>
      <c r="AD943" s="1524"/>
      <c r="AE943" s="1524"/>
      <c r="AF943" s="1633"/>
      <c r="AZ943" s="34"/>
      <c r="BA943" s="34"/>
      <c r="BB943" s="34"/>
      <c r="BC943" s="34"/>
    </row>
    <row r="944" spans="6:55" ht="13" customHeight="1">
      <c r="F944" s="1629" t="s">
        <v>2204</v>
      </c>
      <c r="G944" s="1630"/>
      <c r="H944" s="1630"/>
      <c r="I944" s="1630"/>
      <c r="J944" s="1630"/>
      <c r="K944" s="1630"/>
      <c r="L944" s="1630"/>
      <c r="M944" s="1630"/>
      <c r="N944" s="1630"/>
      <c r="O944" s="1630"/>
      <c r="P944" s="1630"/>
      <c r="Q944" s="1630"/>
      <c r="R944" s="1630"/>
      <c r="S944" s="1630"/>
      <c r="T944" s="1631"/>
      <c r="U944" s="1628" t="s">
        <v>591</v>
      </c>
      <c r="V944" s="1427"/>
      <c r="W944" s="1427"/>
      <c r="X944" s="1427"/>
      <c r="Y944" s="1427"/>
      <c r="Z944" s="1428"/>
      <c r="AA944" s="1632"/>
      <c r="AB944" s="1524"/>
      <c r="AC944" s="1524"/>
      <c r="AD944" s="1524"/>
      <c r="AE944" s="1524"/>
      <c r="AF944" s="1633"/>
      <c r="AZ944" s="34"/>
      <c r="BA944" s="34"/>
      <c r="BB944" s="34"/>
      <c r="BC944" s="34"/>
    </row>
    <row r="945" spans="1:55" ht="13" customHeight="1">
      <c r="F945" s="45" t="s">
        <v>806</v>
      </c>
      <c r="G945" s="5"/>
      <c r="H945" s="5"/>
      <c r="I945" s="5"/>
      <c r="J945" s="5"/>
      <c r="K945" s="5"/>
      <c r="L945" s="5"/>
      <c r="M945" s="5"/>
      <c r="N945" s="5"/>
      <c r="O945" s="5"/>
      <c r="P945" s="1628" t="s">
        <v>669</v>
      </c>
      <c r="Q945" s="1427"/>
      <c r="R945" s="1427"/>
      <c r="S945" s="1427"/>
      <c r="T945" s="1428"/>
      <c r="U945" s="1628" t="s">
        <v>591</v>
      </c>
      <c r="V945" s="1427"/>
      <c r="W945" s="1427"/>
      <c r="X945" s="1427"/>
      <c r="Y945" s="1427"/>
      <c r="Z945" s="1428"/>
      <c r="AA945" s="1632"/>
      <c r="AB945" s="1524"/>
      <c r="AC945" s="1524"/>
      <c r="AD945" s="1524"/>
      <c r="AE945" s="1524"/>
      <c r="AF945" s="1633"/>
      <c r="AZ945" s="34"/>
      <c r="BA945" s="34"/>
      <c r="BB945" s="34"/>
      <c r="BC945" s="34"/>
    </row>
    <row r="946" spans="1:55" ht="13" customHeight="1">
      <c r="F946" s="1625" t="s">
        <v>2191</v>
      </c>
      <c r="G946" s="1626"/>
      <c r="H946" s="1627"/>
      <c r="I946" s="1642" t="s">
        <v>334</v>
      </c>
      <c r="J946" s="1643"/>
      <c r="K946" s="1643"/>
      <c r="L946" s="1643"/>
      <c r="M946" s="1643"/>
      <c r="N946" s="1643"/>
      <c r="O946" s="1643"/>
      <c r="P946" s="1643"/>
      <c r="Q946" s="1643"/>
      <c r="R946" s="1643"/>
      <c r="S946" s="1643"/>
      <c r="T946" s="1644"/>
      <c r="U946" s="1628" t="s">
        <v>591</v>
      </c>
      <c r="V946" s="1427"/>
      <c r="W946" s="1427"/>
      <c r="X946" s="1427"/>
      <c r="Y946" s="1427"/>
      <c r="Z946" s="1428"/>
      <c r="AA946" s="1632"/>
      <c r="AB946" s="1524"/>
      <c r="AC946" s="1524"/>
      <c r="AD946" s="1524"/>
      <c r="AE946" s="1524"/>
      <c r="AF946" s="1633"/>
      <c r="AZ946" s="34"/>
      <c r="BA946" s="34"/>
      <c r="BB946" s="34"/>
      <c r="BC946" s="34"/>
    </row>
    <row r="947" spans="1:55" ht="13" customHeight="1">
      <c r="F947" s="45" t="s">
        <v>86</v>
      </c>
      <c r="G947" s="48"/>
      <c r="H947" s="48"/>
      <c r="I947" s="1642" t="s">
        <v>2721</v>
      </c>
      <c r="J947" s="1643"/>
      <c r="K947" s="1643"/>
      <c r="L947" s="1643"/>
      <c r="M947" s="1643"/>
      <c r="N947" s="1643"/>
      <c r="O947" s="1643"/>
      <c r="P947" s="1643"/>
      <c r="Q947" s="1643"/>
      <c r="R947" s="1643"/>
      <c r="S947" s="1643"/>
      <c r="T947" s="1644"/>
      <c r="U947" s="1628" t="s">
        <v>545</v>
      </c>
      <c r="V947" s="1427"/>
      <c r="W947" s="1427"/>
      <c r="X947" s="1427"/>
      <c r="Y947" s="1427"/>
      <c r="Z947" s="1428"/>
      <c r="AA947" s="1632">
        <v>10000000</v>
      </c>
      <c r="AB947" s="1524"/>
      <c r="AC947" s="1524"/>
      <c r="AD947" s="1524"/>
      <c r="AE947" s="1524"/>
      <c r="AF947" s="1633"/>
      <c r="AZ947" s="34"/>
      <c r="BA947" s="34"/>
      <c r="BB947" s="34"/>
      <c r="BC947" s="34"/>
    </row>
    <row r="948" spans="1:55" ht="13" customHeight="1">
      <c r="F948" s="45" t="s">
        <v>10</v>
      </c>
      <c r="G948" s="48"/>
      <c r="H948" s="48"/>
      <c r="I948" s="1642" t="s">
        <v>2697</v>
      </c>
      <c r="J948" s="1698"/>
      <c r="K948" s="1698"/>
      <c r="L948" s="1698"/>
      <c r="M948" s="1698"/>
      <c r="N948" s="1698"/>
      <c r="O948" s="1698"/>
      <c r="P948" s="1698"/>
      <c r="Q948" s="1698"/>
      <c r="R948" s="1698"/>
      <c r="S948" s="1698"/>
      <c r="T948" s="1699"/>
      <c r="U948" s="1628" t="s">
        <v>545</v>
      </c>
      <c r="V948" s="1427"/>
      <c r="W948" s="1427"/>
      <c r="X948" s="1427"/>
      <c r="Y948" s="1427"/>
      <c r="Z948" s="1428"/>
      <c r="AA948" s="1632">
        <v>7000000</v>
      </c>
      <c r="AB948" s="1524"/>
      <c r="AC948" s="1524"/>
      <c r="AD948" s="1524"/>
      <c r="AE948" s="1524"/>
      <c r="AF948" s="1633"/>
      <c r="AV948" s="2"/>
      <c r="AW948" s="2"/>
      <c r="AX948" s="2"/>
      <c r="AY948" s="2"/>
      <c r="AZ948" s="34"/>
      <c r="BA948" s="34"/>
      <c r="BB948" s="34"/>
      <c r="BC948" s="34"/>
    </row>
    <row r="949" spans="1:55" ht="13" customHeight="1">
      <c r="F949" s="47" t="s">
        <v>170</v>
      </c>
      <c r="G949" s="48"/>
      <c r="H949" s="48"/>
      <c r="I949" s="1701" t="s">
        <v>334</v>
      </c>
      <c r="J949" s="1698"/>
      <c r="K949" s="1698"/>
      <c r="L949" s="1698"/>
      <c r="M949" s="1698"/>
      <c r="N949" s="1698"/>
      <c r="O949" s="1698"/>
      <c r="P949" s="1698"/>
      <c r="Q949" s="1698"/>
      <c r="R949" s="1698"/>
      <c r="S949" s="1698"/>
      <c r="T949" s="1699"/>
      <c r="U949" s="1628" t="s">
        <v>591</v>
      </c>
      <c r="V949" s="1427"/>
      <c r="W949" s="1427"/>
      <c r="X949" s="1427"/>
      <c r="Y949" s="1427"/>
      <c r="Z949" s="1428"/>
      <c r="AA949" s="1632"/>
      <c r="AB949" s="1524"/>
      <c r="AC949" s="1524"/>
      <c r="AD949" s="1524"/>
      <c r="AE949" s="1524"/>
      <c r="AF949" s="1633"/>
      <c r="AU949" s="2"/>
      <c r="AZ949" s="34"/>
      <c r="BA949" s="34"/>
      <c r="BB949" s="34"/>
      <c r="BC949" s="34"/>
    </row>
    <row r="950" spans="1:55" ht="13" customHeight="1">
      <c r="F950" s="47" t="s">
        <v>170</v>
      </c>
      <c r="G950" s="48"/>
      <c r="H950" s="48"/>
      <c r="I950" s="1701" t="s">
        <v>334</v>
      </c>
      <c r="J950" s="1698"/>
      <c r="K950" s="1698"/>
      <c r="L950" s="1698"/>
      <c r="M950" s="1698"/>
      <c r="N950" s="1698"/>
      <c r="O950" s="1698"/>
      <c r="P950" s="1698"/>
      <c r="Q950" s="1698"/>
      <c r="R950" s="1698"/>
      <c r="S950" s="1698"/>
      <c r="T950" s="1699"/>
      <c r="U950" s="1628" t="s">
        <v>591</v>
      </c>
      <c r="V950" s="1427"/>
      <c r="W950" s="1427"/>
      <c r="X950" s="1427"/>
      <c r="Y950" s="1427"/>
      <c r="Z950" s="1428"/>
      <c r="AA950" s="1632"/>
      <c r="AB950" s="1524"/>
      <c r="AC950" s="1524"/>
      <c r="AD950" s="1524"/>
      <c r="AE950" s="1524"/>
      <c r="AF950" s="1633"/>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2"/>
      <c r="N955" s="1520"/>
      <c r="O955" s="1520"/>
      <c r="P955" s="1520"/>
      <c r="Q955" s="1520"/>
      <c r="R955" s="1520"/>
      <c r="S955" s="1623"/>
      <c r="U955" s="66" t="s">
        <v>11</v>
      </c>
      <c r="V955" s="5"/>
      <c r="W955" s="5"/>
      <c r="X955" s="5"/>
      <c r="Y955" s="5"/>
      <c r="Z955" s="5"/>
      <c r="AA955" s="5"/>
      <c r="AB955" s="5"/>
      <c r="AC955" s="5"/>
      <c r="AD955" s="46"/>
      <c r="AE955" s="1702"/>
      <c r="AF955" s="1520"/>
      <c r="AG955" s="1520"/>
      <c r="AH955" s="1520"/>
      <c r="AI955" s="1520"/>
      <c r="AJ955" s="1520"/>
      <c r="AK955" s="1623"/>
      <c r="AZ955" s="34"/>
      <c r="BA955" s="34"/>
      <c r="BB955" s="34"/>
      <c r="BC955" s="34"/>
    </row>
    <row r="956" spans="1:55" ht="13" customHeight="1">
      <c r="C956" s="66" t="s">
        <v>12</v>
      </c>
      <c r="D956" s="5"/>
      <c r="E956" s="5"/>
      <c r="F956" s="5"/>
      <c r="G956" s="5"/>
      <c r="H956" s="5"/>
      <c r="I956" s="5"/>
      <c r="J956" s="5"/>
      <c r="K956" s="5"/>
      <c r="L956" s="46"/>
      <c r="M956" s="1661" t="s">
        <v>2737</v>
      </c>
      <c r="N956" s="1559"/>
      <c r="O956" s="1559"/>
      <c r="P956" s="1559"/>
      <c r="Q956" s="1559"/>
      <c r="R956" s="1559"/>
      <c r="S956" s="1662"/>
      <c r="U956" s="66" t="s">
        <v>12</v>
      </c>
      <c r="V956" s="5"/>
      <c r="W956" s="5"/>
      <c r="X956" s="5"/>
      <c r="Y956" s="5"/>
      <c r="Z956" s="5"/>
      <c r="AA956" s="5"/>
      <c r="AB956" s="5"/>
      <c r="AC956" s="5"/>
      <c r="AD956" s="46"/>
      <c r="AE956" s="1661"/>
      <c r="AF956" s="1559"/>
      <c r="AG956" s="1559"/>
      <c r="AH956" s="1559"/>
      <c r="AI956" s="1559"/>
      <c r="AJ956" s="1559"/>
      <c r="AK956" s="1662"/>
      <c r="AZ956" s="34"/>
      <c r="BA956" s="34"/>
      <c r="BB956" s="34"/>
      <c r="BC956" s="34"/>
    </row>
    <row r="957" spans="1:55" ht="13" customHeight="1">
      <c r="C957" s="66" t="s">
        <v>880</v>
      </c>
      <c r="D957" s="5"/>
      <c r="E957" s="5"/>
      <c r="J957" s="1806" t="s">
        <v>307</v>
      </c>
      <c r="K957" s="1807"/>
      <c r="L957" s="1807"/>
      <c r="M957" s="1807"/>
      <c r="N957" s="1807"/>
      <c r="O957" s="1807"/>
      <c r="P957" s="1807"/>
      <c r="Q957" s="1807"/>
      <c r="R957" s="1807"/>
      <c r="S957" s="1808"/>
      <c r="U957" s="66" t="s">
        <v>880</v>
      </c>
      <c r="V957" s="5"/>
      <c r="W957" s="5"/>
      <c r="AB957" s="1806" t="s">
        <v>307</v>
      </c>
      <c r="AC957" s="1807"/>
      <c r="AD957" s="1807"/>
      <c r="AE957" s="1807"/>
      <c r="AF957" s="1807"/>
      <c r="AG957" s="1807"/>
      <c r="AH957" s="1807"/>
      <c r="AI957" s="1807"/>
      <c r="AJ957" s="1807"/>
      <c r="AK957" s="1808"/>
      <c r="AZ957" s="34"/>
      <c r="BA957" s="34"/>
      <c r="BB957" s="34"/>
      <c r="BC957" s="34"/>
    </row>
    <row r="958" spans="1:55" ht="13" customHeight="1">
      <c r="C958" s="66" t="s">
        <v>13</v>
      </c>
      <c r="D958" s="5"/>
      <c r="E958" s="5"/>
      <c r="F958" s="5"/>
      <c r="G958" s="5"/>
      <c r="H958" s="5"/>
      <c r="I958" s="5"/>
      <c r="J958" s="5"/>
      <c r="K958" s="5"/>
      <c r="L958" s="46"/>
      <c r="M958" s="1703">
        <v>1</v>
      </c>
      <c r="N958" s="1704"/>
      <c r="O958" s="1704"/>
      <c r="P958" s="1704"/>
      <c r="Q958" s="1704"/>
      <c r="R958" s="1704"/>
      <c r="S958" s="1705"/>
      <c r="U958" s="66" t="s">
        <v>13</v>
      </c>
      <c r="V958" s="5"/>
      <c r="W958" s="5"/>
      <c r="X958" s="5"/>
      <c r="Y958" s="5"/>
      <c r="Z958" s="5"/>
      <c r="AA958" s="5"/>
      <c r="AB958" s="5"/>
      <c r="AC958" s="5"/>
      <c r="AD958" s="46"/>
      <c r="AE958" s="1777"/>
      <c r="AF958" s="1704"/>
      <c r="AG958" s="1704"/>
      <c r="AH958" s="1704"/>
      <c r="AI958" s="1704"/>
      <c r="AJ958" s="1704"/>
      <c r="AK958" s="1705"/>
      <c r="AZ958" s="34"/>
      <c r="BA958" s="34"/>
      <c r="BB958" s="34"/>
      <c r="BC958" s="34"/>
    </row>
    <row r="959" spans="1:55" ht="13" customHeight="1">
      <c r="C959" s="66" t="s">
        <v>14</v>
      </c>
      <c r="D959" s="5"/>
      <c r="E959" s="5"/>
      <c r="F959" s="5"/>
      <c r="G959" s="5"/>
      <c r="H959" s="5"/>
      <c r="I959" s="5"/>
      <c r="J959" s="5"/>
      <c r="K959" s="5"/>
      <c r="L959" s="46"/>
      <c r="M959" s="1723">
        <v>79</v>
      </c>
      <c r="N959" s="1608"/>
      <c r="O959" s="1608"/>
      <c r="P959" s="1608"/>
      <c r="Q959" s="1608"/>
      <c r="R959" s="1608"/>
      <c r="S959" s="1609"/>
      <c r="U959" s="66" t="s">
        <v>14</v>
      </c>
      <c r="V959" s="5"/>
      <c r="W959" s="5"/>
      <c r="X959" s="5"/>
      <c r="Y959" s="5"/>
      <c r="Z959" s="5"/>
      <c r="AA959" s="5"/>
      <c r="AB959" s="5"/>
      <c r="AC959" s="5"/>
      <c r="AD959" s="46"/>
      <c r="AE959" s="1723"/>
      <c r="AF959" s="1608"/>
      <c r="AG959" s="1608"/>
      <c r="AH959" s="1608"/>
      <c r="AI959" s="1608"/>
      <c r="AJ959" s="1608"/>
      <c r="AK959" s="1609"/>
      <c r="AV959" s="2"/>
      <c r="AW959" s="2"/>
      <c r="AX959" s="2"/>
      <c r="AY959" s="2"/>
      <c r="AZ959" s="34"/>
      <c r="BA959" s="34"/>
      <c r="BB959" s="34"/>
      <c r="BC959" s="34"/>
    </row>
    <row r="960" spans="1:55" ht="13" customHeight="1">
      <c r="C960" s="66" t="s">
        <v>15</v>
      </c>
      <c r="D960" s="5"/>
      <c r="E960" s="5"/>
      <c r="F960" s="5"/>
      <c r="G960" s="5"/>
      <c r="H960" s="5"/>
      <c r="I960" s="5"/>
      <c r="J960" s="5"/>
      <c r="K960" s="5"/>
      <c r="L960" s="46"/>
      <c r="M960" s="1632">
        <f>Z809</f>
        <v>240261.12</v>
      </c>
      <c r="N960" s="1524"/>
      <c r="O960" s="1524"/>
      <c r="P960" s="1524"/>
      <c r="Q960" s="1524"/>
      <c r="R960" s="1524"/>
      <c r="S960" s="1633"/>
      <c r="U960" s="66" t="s">
        <v>15</v>
      </c>
      <c r="V960" s="5"/>
      <c r="W960" s="5"/>
      <c r="X960" s="5"/>
      <c r="Y960" s="5"/>
      <c r="Z960" s="5"/>
      <c r="AA960" s="5"/>
      <c r="AB960" s="5"/>
      <c r="AC960" s="5"/>
      <c r="AD960" s="46"/>
      <c r="AE960" s="1632"/>
      <c r="AF960" s="1524"/>
      <c r="AG960" s="1524"/>
      <c r="AH960" s="1524"/>
      <c r="AI960" s="1524"/>
      <c r="AJ960" s="1524"/>
      <c r="AK960" s="1633"/>
      <c r="AV960" s="2"/>
      <c r="AW960" s="2"/>
      <c r="AX960" s="2"/>
      <c r="AY960" s="2"/>
      <c r="AZ960" s="34"/>
      <c r="BA960" s="34"/>
      <c r="BB960" s="34"/>
      <c r="BC960" s="34"/>
    </row>
    <row r="961" spans="1:64" ht="13" customHeight="1">
      <c r="C961" s="66" t="s">
        <v>16</v>
      </c>
      <c r="D961" s="5"/>
      <c r="E961" s="5"/>
      <c r="F961" s="5"/>
      <c r="G961" s="5"/>
      <c r="H961" s="5"/>
      <c r="I961" s="5"/>
      <c r="J961" s="5"/>
      <c r="K961" s="5"/>
      <c r="L961" s="46"/>
      <c r="M961" s="1632">
        <f>M960*M962</f>
        <v>7928616.96</v>
      </c>
      <c r="N961" s="1524"/>
      <c r="O961" s="1524"/>
      <c r="P961" s="1524"/>
      <c r="Q961" s="1524"/>
      <c r="R961" s="1524"/>
      <c r="S961" s="1633"/>
      <c r="U961" s="66" t="s">
        <v>16</v>
      </c>
      <c r="V961" s="5"/>
      <c r="W961" s="5"/>
      <c r="X961" s="5"/>
      <c r="Y961" s="5"/>
      <c r="Z961" s="5"/>
      <c r="AA961" s="5"/>
      <c r="AB961" s="5"/>
      <c r="AC961" s="5"/>
      <c r="AD961" s="46"/>
      <c r="AE961" s="1632"/>
      <c r="AF961" s="1524"/>
      <c r="AG961" s="1524"/>
      <c r="AH961" s="1524"/>
      <c r="AI961" s="1524"/>
      <c r="AJ961" s="1524"/>
      <c r="AK961" s="1633"/>
      <c r="AV961" s="2"/>
      <c r="AW961" s="2"/>
      <c r="AX961" s="2"/>
      <c r="AY961" s="2"/>
      <c r="AZ961" s="34"/>
      <c r="BB961" s="34"/>
      <c r="BC961" s="34"/>
    </row>
    <row r="962" spans="1:64" ht="13" customHeight="1">
      <c r="C962" s="121" t="s">
        <v>1661</v>
      </c>
      <c r="D962" s="5"/>
      <c r="E962" s="5"/>
      <c r="F962" s="5"/>
      <c r="G962" s="5"/>
      <c r="H962" s="5"/>
      <c r="I962" s="5"/>
      <c r="J962" s="5"/>
      <c r="K962" s="5"/>
      <c r="L962" s="46"/>
      <c r="M962" s="1774">
        <v>33</v>
      </c>
      <c r="N962" s="1775"/>
      <c r="O962" s="1775"/>
      <c r="P962" s="1775"/>
      <c r="Q962" s="1775"/>
      <c r="R962" s="1775"/>
      <c r="S962" s="1776"/>
      <c r="U962" s="121" t="s">
        <v>1661</v>
      </c>
      <c r="V962" s="5"/>
      <c r="W962" s="5"/>
      <c r="X962" s="5"/>
      <c r="Y962" s="5"/>
      <c r="Z962" s="5"/>
      <c r="AA962" s="5"/>
      <c r="AB962" s="5"/>
      <c r="AC962" s="5"/>
      <c r="AD962" s="46"/>
      <c r="AE962" s="1774"/>
      <c r="AF962" s="1775"/>
      <c r="AG962" s="1775"/>
      <c r="AH962" s="1775"/>
      <c r="AI962" s="1775"/>
      <c r="AJ962" s="1775"/>
      <c r="AK962" s="177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58"/>
      <c r="N967" s="1659"/>
      <c r="O967" s="1659"/>
      <c r="P967" s="1659"/>
      <c r="Q967" s="1659"/>
      <c r="R967" s="1659"/>
      <c r="S967" s="1660"/>
      <c r="T967" s="66" t="s">
        <v>790</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58"/>
      <c r="N968" s="1659"/>
      <c r="O968" s="1659"/>
      <c r="P968" s="1659"/>
      <c r="Q968" s="1659"/>
      <c r="R968" s="1659"/>
      <c r="S968" s="1660"/>
      <c r="T968" s="66" t="s">
        <v>789</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6" t="s">
        <v>591</v>
      </c>
      <c r="N969" s="1707"/>
      <c r="O969" s="1707"/>
      <c r="P969" s="1707"/>
      <c r="Q969" s="1707"/>
      <c r="R969" s="1707"/>
      <c r="S969" s="1708"/>
      <c r="T969" s="45" t="s">
        <v>337</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58"/>
      <c r="N970" s="1659"/>
      <c r="O970" s="1659"/>
      <c r="P970" s="1659"/>
      <c r="Q970" s="1659"/>
      <c r="R970" s="1659"/>
      <c r="S970" s="1660"/>
      <c r="T970" s="45" t="s">
        <v>338</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58"/>
      <c r="N971" s="1659"/>
      <c r="O971" s="1659"/>
      <c r="P971" s="1659"/>
      <c r="Q971" s="1659"/>
      <c r="R971" s="1659"/>
      <c r="S971" s="1660"/>
      <c r="T971" s="45" t="s">
        <v>376</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06" t="s">
        <v>307</v>
      </c>
      <c r="N972" s="1807"/>
      <c r="O972" s="1807"/>
      <c r="P972" s="1807"/>
      <c r="Q972" s="1807"/>
      <c r="R972" s="1807"/>
      <c r="S972" s="1808"/>
      <c r="T972" s="1761"/>
      <c r="U972" s="1762"/>
      <c r="V972" s="1762"/>
      <c r="W972" s="1762"/>
      <c r="X972" s="1762"/>
      <c r="Y972" s="1762"/>
      <c r="Z972" s="1763"/>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58"/>
      <c r="N973" s="1659"/>
      <c r="O973" s="1659"/>
      <c r="P973" s="1659"/>
      <c r="Q973" s="1659"/>
      <c r="R973" s="1659"/>
      <c r="S973" s="1660"/>
      <c r="T973" s="1761"/>
      <c r="U973" s="1762"/>
      <c r="V973" s="1762"/>
      <c r="W973" s="1762"/>
      <c r="X973" s="1762"/>
      <c r="Y973" s="1762"/>
      <c r="Z973" s="1763"/>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669</v>
      </c>
      <c r="P974" s="1372"/>
      <c r="Q974" s="92"/>
      <c r="R974" s="92"/>
      <c r="S974" s="93"/>
      <c r="T974" s="41" t="s">
        <v>170</v>
      </c>
      <c r="U974" s="42"/>
      <c r="V974" s="42"/>
      <c r="W974" s="1809" t="s">
        <v>334</v>
      </c>
      <c r="X974" s="1810"/>
      <c r="Y974" s="1810"/>
      <c r="Z974" s="1810"/>
      <c r="AA974" s="1810"/>
      <c r="AB974" s="1810"/>
      <c r="AC974" s="1810"/>
      <c r="AD974" s="1810"/>
      <c r="AE974" s="1810"/>
      <c r="AF974" s="1810"/>
      <c r="AG974" s="1811"/>
      <c r="AU974" s="68"/>
      <c r="AV974" s="95"/>
      <c r="AW974" s="95"/>
      <c r="AX974" s="95"/>
      <c r="AY974" s="95"/>
      <c r="AZ974" s="34"/>
      <c r="BB974" s="34"/>
      <c r="BC974" s="34"/>
      <c r="BD974" s="34"/>
      <c r="BE974" s="34"/>
      <c r="BF974" s="34"/>
      <c r="BG974" s="34"/>
      <c r="BH974" s="34"/>
      <c r="BI974" s="34"/>
      <c r="BJ974" s="34"/>
      <c r="BK974" s="34"/>
      <c r="BL974" s="34"/>
    </row>
    <row r="975" spans="1:64" ht="13" customHeight="1">
      <c r="F975" s="1603" t="s">
        <v>33</v>
      </c>
      <c r="G975" s="1483"/>
      <c r="H975" s="1483"/>
      <c r="I975" s="1483"/>
      <c r="J975" s="1483"/>
      <c r="K975" s="1483"/>
      <c r="L975" s="1483"/>
      <c r="M975" s="1658"/>
      <c r="N975" s="1659"/>
      <c r="O975" s="1659"/>
      <c r="P975" s="1659"/>
      <c r="Q975" s="1659"/>
      <c r="R975" s="1659"/>
      <c r="S975" s="1660"/>
      <c r="T975" s="47"/>
      <c r="U975" s="48"/>
      <c r="V975" s="48"/>
      <c r="W975" s="48"/>
      <c r="X975" s="48"/>
      <c r="Y975" s="48"/>
      <c r="Z975" s="124" t="s">
        <v>134</v>
      </c>
      <c r="AA975" s="1758"/>
      <c r="AB975" s="1759"/>
      <c r="AC975" s="1759"/>
      <c r="AD975" s="1759"/>
      <c r="AE975" s="1759"/>
      <c r="AF975" s="1759"/>
      <c r="AG975" s="1760"/>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3"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3"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89" t="s">
        <v>638</v>
      </c>
      <c r="E985" s="1790"/>
      <c r="F985" s="1790"/>
      <c r="G985" s="1790"/>
      <c r="H985" s="1790"/>
      <c r="I985" s="1790"/>
      <c r="J985" s="1790"/>
      <c r="K985" s="1790"/>
      <c r="L985" s="1790"/>
      <c r="M985" s="1790"/>
      <c r="N985" s="1790"/>
      <c r="O985" s="1790"/>
      <c r="P985" s="1790"/>
      <c r="Q985" s="1791"/>
      <c r="R985" s="1789" t="s">
        <v>639</v>
      </c>
      <c r="S985" s="1790"/>
      <c r="T985" s="1790"/>
      <c r="U985" s="1790"/>
      <c r="V985" s="1790"/>
      <c r="W985" s="1790"/>
      <c r="X985" s="1790"/>
      <c r="Y985" s="1790"/>
      <c r="Z985" s="1790"/>
      <c r="AA985" s="1791"/>
      <c r="AB985" s="1789" t="s">
        <v>640</v>
      </c>
      <c r="AC985" s="1790"/>
      <c r="AD985" s="1790"/>
      <c r="AE985" s="1790"/>
      <c r="AF985" s="1790"/>
      <c r="AG985" s="1790"/>
      <c r="AH985" s="1790"/>
      <c r="AI985" s="1791"/>
      <c r="AJ985" s="1789" t="s">
        <v>641</v>
      </c>
      <c r="AK985" s="1790"/>
      <c r="AL985" s="1790"/>
      <c r="AM985" s="1790"/>
      <c r="AN985" s="1790"/>
      <c r="AO985" s="1790"/>
      <c r="AP985" s="1790"/>
      <c r="AQ985" s="1791"/>
      <c r="AR985" s="68"/>
      <c r="AS985" s="68"/>
      <c r="AT985" s="68"/>
      <c r="AU985" s="68"/>
      <c r="AV985" s="68"/>
      <c r="AW985" s="68"/>
      <c r="AX985" s="68"/>
      <c r="AY985" s="68"/>
      <c r="AZ985" s="30"/>
      <c r="BB985" s="14"/>
      <c r="BC985" s="14"/>
    </row>
    <row r="986" spans="1:64" ht="13" customHeight="1">
      <c r="A986" s="14"/>
      <c r="B986" s="73"/>
      <c r="C986" s="929"/>
      <c r="D986" s="1795" t="s">
        <v>633</v>
      </c>
      <c r="E986" s="1796"/>
      <c r="F986" s="1796"/>
      <c r="G986" s="1796"/>
      <c r="H986" s="1796"/>
      <c r="I986" s="1796"/>
      <c r="J986" s="1796"/>
      <c r="K986" s="1796"/>
      <c r="L986" s="1796"/>
      <c r="M986" s="1796"/>
      <c r="N986" s="1796"/>
      <c r="O986" s="1796"/>
      <c r="P986" s="1796"/>
      <c r="Q986" s="1797"/>
      <c r="R986" s="1782">
        <f>IF(ISNA(IF($CU$122="4%",(INDEX($CS$160:$CW$217,MATCH($DG$122,$CR$160:$CR$217,0),MATCH(D986,$CS$159:$CW$159,0))),(INDEX($CZ$160:$DD$217,MATCH($DG$122,$CY$160:$CY$217,0),MATCH(D986,$CZ$159:$DD$159,0))))),0,IF($CU$122="4%",(INDEX($CS$160:$CW$217,MATCH($DG$122,$CR$160:$CR$217,0),MATCH(D986,$CS$159:$CW$159,0))),(INDEX($CZ$160:$DD$217,MATCH($DG$122,$CY$160:$CY$217,0),MATCH(D986,$CZ$159:$DD$159,0)))))</f>
        <v>324988</v>
      </c>
      <c r="S986" s="1782"/>
      <c r="T986" s="1782"/>
      <c r="U986" s="1782"/>
      <c r="V986" s="1782"/>
      <c r="W986" s="1782"/>
      <c r="X986" s="1782"/>
      <c r="Y986" s="1782"/>
      <c r="Z986" s="1782"/>
      <c r="AA986" s="1782"/>
      <c r="AB986" s="1779">
        <f>CP802</f>
        <v>0</v>
      </c>
      <c r="AC986" s="1780"/>
      <c r="AD986" s="1780"/>
      <c r="AE986" s="1780"/>
      <c r="AF986" s="1780"/>
      <c r="AG986" s="1780"/>
      <c r="AH986" s="1780"/>
      <c r="AI986" s="1781"/>
      <c r="AJ986" s="1715">
        <f>IF(ISERROR((R986*AB986)),0,(R986*AB986))</f>
        <v>0</v>
      </c>
      <c r="AK986" s="1716"/>
      <c r="AL986" s="1716"/>
      <c r="AM986" s="1716"/>
      <c r="AN986" s="1716"/>
      <c r="AO986" s="1716"/>
      <c r="AP986" s="1716"/>
      <c r="AQ986" s="1717"/>
      <c r="AR986" s="68"/>
      <c r="AS986" s="68"/>
      <c r="AT986" s="68"/>
      <c r="AU986" s="68"/>
      <c r="AV986" s="68"/>
      <c r="AW986" s="68"/>
      <c r="AX986" s="68"/>
      <c r="AY986" s="68"/>
      <c r="AZ986" s="30"/>
      <c r="BB986" s="14"/>
      <c r="BC986" s="14"/>
    </row>
    <row r="987" spans="1:64" ht="13" customHeight="1">
      <c r="A987" s="14"/>
      <c r="B987" s="73"/>
      <c r="C987" s="83"/>
      <c r="D987" s="1795" t="s">
        <v>325</v>
      </c>
      <c r="E987" s="1796"/>
      <c r="F987" s="1796"/>
      <c r="G987" s="1796"/>
      <c r="H987" s="1796"/>
      <c r="I987" s="1796"/>
      <c r="J987" s="1796"/>
      <c r="K987" s="1796"/>
      <c r="L987" s="1796"/>
      <c r="M987" s="1796"/>
      <c r="N987" s="1796"/>
      <c r="O987" s="1796"/>
      <c r="P987" s="1796"/>
      <c r="Q987" s="1797"/>
      <c r="R987" s="1782">
        <f>IF(ISNA(IF($CU$122="4%",(INDEX($CS$160:$CW$217,MATCH($DG$122,$CR$160:$CR$217,0),MATCH(D987,$CS$159:$CW$159,0))),(INDEX($CZ$160:$DD$217,MATCH($DG$122,$CY$160:$CY$217,0),MATCH(D987,$CZ$159:$DD$159,0))))),0,IF($CU$122="4%",(INDEX($CS$160:$CW$217,MATCH($DG$122,$CR$160:$CR$217,0),MATCH(D987,$CS$159:$CW$159,0))),(INDEX($CZ$160:$DD$217,MATCH($DG$122,$CY$160:$CY$217,0),MATCH(D987,$CZ$159:$DD$159,0)))))</f>
        <v>374708</v>
      </c>
      <c r="S987" s="1782"/>
      <c r="T987" s="1782"/>
      <c r="U987" s="1782"/>
      <c r="V987" s="1782"/>
      <c r="W987" s="1782"/>
      <c r="X987" s="1782"/>
      <c r="Y987" s="1782"/>
      <c r="Z987" s="1782"/>
      <c r="AA987" s="1782"/>
      <c r="AB987" s="1779">
        <f>CU802</f>
        <v>32</v>
      </c>
      <c r="AC987" s="1780"/>
      <c r="AD987" s="1780"/>
      <c r="AE987" s="1780"/>
      <c r="AF987" s="1780"/>
      <c r="AG987" s="1780"/>
      <c r="AH987" s="1780"/>
      <c r="AI987" s="1781"/>
      <c r="AJ987" s="1715">
        <f>IF(ISERROR((R987*AB987)),0,(R987*AB987))</f>
        <v>11990656</v>
      </c>
      <c r="AK987" s="1716"/>
      <c r="AL987" s="1716"/>
      <c r="AM987" s="1716"/>
      <c r="AN987" s="1716"/>
      <c r="AO987" s="1716"/>
      <c r="AP987" s="1716"/>
      <c r="AQ987" s="1717"/>
      <c r="AR987" s="68"/>
      <c r="AS987" s="68"/>
      <c r="AT987" s="68"/>
      <c r="AU987" s="68"/>
      <c r="AV987" s="68"/>
      <c r="AW987" s="68"/>
      <c r="AX987" s="68"/>
      <c r="AY987" s="68"/>
      <c r="AZ987" s="30"/>
      <c r="BB987" s="14"/>
      <c r="BC987" s="14"/>
    </row>
    <row r="988" spans="1:64" ht="13" customHeight="1">
      <c r="A988" s="14"/>
      <c r="B988" s="73"/>
      <c r="C988" s="83"/>
      <c r="D988" s="1795" t="s">
        <v>163</v>
      </c>
      <c r="E988" s="1796"/>
      <c r="F988" s="1796"/>
      <c r="G988" s="1796"/>
      <c r="H988" s="1796"/>
      <c r="I988" s="1796"/>
      <c r="J988" s="1796"/>
      <c r="K988" s="1796"/>
      <c r="L988" s="1796"/>
      <c r="M988" s="1796"/>
      <c r="N988" s="1796"/>
      <c r="O988" s="1796"/>
      <c r="P988" s="1796"/>
      <c r="Q988" s="1797"/>
      <c r="R988" s="1782">
        <f>IF(ISNA(IF($CU$122="4%",(INDEX($CS$160:$CW$217,MATCH($DG$122,$CR$160:$CR$217,0),MATCH(D988,$CS$159:$CW$159,0))),(INDEX($CZ$160:$DD$217,MATCH($DG$122,$CY$160:$CY$217,0),MATCH(D988,$CZ$159:$DD$159,0))))),0,IF($CU$122="4%",(INDEX($CS$160:$CW$217,MATCH($DG$122,$CR$160:$CR$217,0),MATCH(D988,$CS$159:$CW$159,0))),(INDEX($CZ$160:$DD$217,MATCH($DG$122,$CY$160:$CY$217,0),MATCH(D988,$CZ$159:$DD$159,0)))))</f>
        <v>452000</v>
      </c>
      <c r="S988" s="1782"/>
      <c r="T988" s="1782"/>
      <c r="U988" s="1782"/>
      <c r="V988" s="1782"/>
      <c r="W988" s="1782"/>
      <c r="X988" s="1782"/>
      <c r="Y988" s="1782"/>
      <c r="Z988" s="1782"/>
      <c r="AA988" s="1782"/>
      <c r="AB988" s="1779">
        <f>CZ802</f>
        <v>24</v>
      </c>
      <c r="AC988" s="1780"/>
      <c r="AD988" s="1780"/>
      <c r="AE988" s="1780"/>
      <c r="AF988" s="1780"/>
      <c r="AG988" s="1780"/>
      <c r="AH988" s="1780"/>
      <c r="AI988" s="1781"/>
      <c r="AJ988" s="1715">
        <f>IF(ISERROR((R988*AB988)),0,(R988*AB988))</f>
        <v>10848000</v>
      </c>
      <c r="AK988" s="1716"/>
      <c r="AL988" s="1716"/>
      <c r="AM988" s="1716"/>
      <c r="AN988" s="1716"/>
      <c r="AO988" s="1716"/>
      <c r="AP988" s="1716"/>
      <c r="AQ988" s="1717"/>
      <c r="AR988" s="68"/>
      <c r="AS988" s="68"/>
      <c r="AT988" s="68"/>
      <c r="AU988" s="68"/>
      <c r="AV988" s="68"/>
      <c r="AW988" s="68"/>
      <c r="AX988" s="68"/>
      <c r="AY988" s="68"/>
      <c r="AZ988" s="30"/>
      <c r="BB988" s="14"/>
      <c r="BC988" s="14"/>
    </row>
    <row r="989" spans="1:64" ht="13" customHeight="1">
      <c r="A989" s="14"/>
      <c r="B989" s="73"/>
      <c r="C989" s="83"/>
      <c r="D989" s="1795" t="s">
        <v>164</v>
      </c>
      <c r="E989" s="1796"/>
      <c r="F989" s="1796"/>
      <c r="G989" s="1796"/>
      <c r="H989" s="1796"/>
      <c r="I989" s="1796"/>
      <c r="J989" s="1796"/>
      <c r="K989" s="1796"/>
      <c r="L989" s="1796"/>
      <c r="M989" s="1796"/>
      <c r="N989" s="1796"/>
      <c r="O989" s="1796"/>
      <c r="P989" s="1796"/>
      <c r="Q989" s="1797"/>
      <c r="R989" s="1782">
        <f>IF(ISNA(IF($CU$122="4%",(INDEX($CS$160:$CW$217,MATCH($DG$122,$CR$160:$CR$217,0),MATCH(D989,$CS$159:$CW$159,0))),(INDEX($CZ$160:$DD$217,MATCH($DG$122,$CY$160:$CY$217,0),MATCH(D989,$CZ$159:$DD$159,0))))),0,IF($CU$122="4%",(INDEX($CS$160:$CW$217,MATCH($DG$122,$CR$160:$CR$217,0),MATCH(D989,$CS$159:$CW$159,0))),(INDEX($CZ$160:$DD$217,MATCH($DG$122,$CY$160:$CY$217,0),MATCH(D989,$CZ$159:$DD$159,0)))))</f>
        <v>578560</v>
      </c>
      <c r="S989" s="1782"/>
      <c r="T989" s="1782"/>
      <c r="U989" s="1782"/>
      <c r="V989" s="1782"/>
      <c r="W989" s="1782"/>
      <c r="X989" s="1782"/>
      <c r="Y989" s="1782"/>
      <c r="Z989" s="1782"/>
      <c r="AA989" s="1782"/>
      <c r="AB989" s="1779">
        <f>DE802</f>
        <v>16</v>
      </c>
      <c r="AC989" s="1780"/>
      <c r="AD989" s="1780"/>
      <c r="AE989" s="1780"/>
      <c r="AF989" s="1780"/>
      <c r="AG989" s="1780"/>
      <c r="AH989" s="1780"/>
      <c r="AI989" s="1781"/>
      <c r="AJ989" s="1715">
        <f>IF(ISERROR((R989*AB989)),0,(R989*AB989))</f>
        <v>9256960</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3" customHeight="1">
      <c r="A990" s="14"/>
      <c r="B990" s="47"/>
      <c r="C990" s="78"/>
      <c r="D990" s="1795" t="s">
        <v>460</v>
      </c>
      <c r="E990" s="1796"/>
      <c r="F990" s="1796"/>
      <c r="G990" s="1796"/>
      <c r="H990" s="1796"/>
      <c r="I990" s="1796"/>
      <c r="J990" s="1796"/>
      <c r="K990" s="1796"/>
      <c r="L990" s="1796"/>
      <c r="M990" s="1796"/>
      <c r="N990" s="1796"/>
      <c r="O990" s="1796"/>
      <c r="P990" s="1796"/>
      <c r="Q990" s="1797"/>
      <c r="R990" s="1782">
        <f>IF(ISNA(IF($CU$122="4%",(INDEX($CS$160:$CW$217,MATCH($DG$122,$CR$160:$CR$217,0),MATCH(D990,$CS$159:$CW$159,0))),(INDEX($CZ$160:$DD$217,MATCH($DG$122,$CY$160:$CY$217,0),MATCH(D990,$CZ$159:$DD$159,0))))),0,IF($CU$122="4%",(INDEX($CS$160:$CW$217,MATCH($DG$122,$CR$160:$CR$217,0),MATCH(D990,$CS$159:$CW$159,0))),(INDEX($CZ$160:$DD$217,MATCH($DG$122,$CY$160:$CY$217,0),MATCH(D990,$CZ$159:$DD$159,0)))))</f>
        <v>644552</v>
      </c>
      <c r="S990" s="1782"/>
      <c r="T990" s="1782"/>
      <c r="U990" s="1782"/>
      <c r="V990" s="1782"/>
      <c r="W990" s="1782"/>
      <c r="X990" s="1782"/>
      <c r="Y990" s="1782"/>
      <c r="Z990" s="1782"/>
      <c r="AA990" s="1782"/>
      <c r="AB990" s="1779">
        <f>DO802+DJ802</f>
        <v>8</v>
      </c>
      <c r="AC990" s="1780"/>
      <c r="AD990" s="1780"/>
      <c r="AE990" s="1780"/>
      <c r="AF990" s="1780"/>
      <c r="AG990" s="1780"/>
      <c r="AH990" s="1780"/>
      <c r="AI990" s="1781"/>
      <c r="AJ990" s="1715">
        <f>IF(ISERROR((R990*AB990)),0,(R990*AB990))</f>
        <v>5156416</v>
      </c>
      <c r="AK990" s="1716"/>
      <c r="AL990" s="1716"/>
      <c r="AM990" s="1716"/>
      <c r="AN990" s="1716"/>
      <c r="AO990" s="1716"/>
      <c r="AP990" s="1716"/>
      <c r="AQ990" s="1717"/>
      <c r="AR990" s="68"/>
      <c r="AS990" s="68"/>
      <c r="AT990" s="68"/>
      <c r="AU990" s="68"/>
      <c r="AV990" s="68"/>
      <c r="AW990" s="68"/>
      <c r="AX990" s="68"/>
      <c r="AY990" s="68"/>
      <c r="AZ990" s="30"/>
      <c r="BB990" s="14"/>
      <c r="BC990" s="14"/>
    </row>
    <row r="991" spans="1:64" ht="13" customHeight="1">
      <c r="A991" s="14"/>
      <c r="B991" s="1736" t="s">
        <v>791</v>
      </c>
      <c r="C991" s="1737"/>
      <c r="D991" s="1737"/>
      <c r="E991" s="1737"/>
      <c r="F991" s="1737"/>
      <c r="G991" s="1737"/>
      <c r="H991" s="1737"/>
      <c r="I991" s="1737"/>
      <c r="J991" s="1737"/>
      <c r="K991" s="1737"/>
      <c r="L991" s="1737"/>
      <c r="M991" s="1737"/>
      <c r="N991" s="1737"/>
      <c r="O991" s="1737"/>
      <c r="P991" s="1737"/>
      <c r="Q991" s="1737"/>
      <c r="R991" s="1737"/>
      <c r="S991" s="1737"/>
      <c r="T991" s="1737"/>
      <c r="U991" s="1737"/>
      <c r="V991" s="1737"/>
      <c r="W991" s="1737"/>
      <c r="X991" s="1737"/>
      <c r="Y991" s="1737"/>
      <c r="Z991" s="1737"/>
      <c r="AA991" s="1738"/>
      <c r="AB991" s="1779">
        <f>SUM(AB986:AI990)</f>
        <v>80</v>
      </c>
      <c r="AC991" s="1780"/>
      <c r="AD991" s="1780"/>
      <c r="AE991" s="1780"/>
      <c r="AF991" s="1780"/>
      <c r="AG991" s="1780"/>
      <c r="AH991" s="1780"/>
      <c r="AI991" s="1781"/>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3" customHeight="1">
      <c r="A992" s="14"/>
      <c r="B992" s="1792" t="s">
        <v>512</v>
      </c>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3"/>
      <c r="AF992" s="1793"/>
      <c r="AG992" s="1793"/>
      <c r="AH992" s="1793"/>
      <c r="AI992" s="1794"/>
      <c r="AJ992" s="1715">
        <f>SUM(AJ986:AQ990)</f>
        <v>37252032</v>
      </c>
      <c r="AK992" s="1716"/>
      <c r="AL992" s="1716"/>
      <c r="AM992" s="1716"/>
      <c r="AN992" s="1716"/>
      <c r="AO992" s="1716"/>
      <c r="AP992" s="1716"/>
      <c r="AQ992" s="1717"/>
      <c r="AR992" s="68"/>
      <c r="AS992" s="68"/>
      <c r="AT992" s="68"/>
      <c r="AU992" s="68"/>
      <c r="AV992" s="68"/>
      <c r="AW992" s="68"/>
      <c r="AX992" s="68"/>
      <c r="AY992" s="68"/>
      <c r="AZ992" s="34"/>
      <c r="BB992" s="34"/>
      <c r="BC992" s="34"/>
    </row>
    <row r="993" spans="1:55" ht="13" customHeight="1">
      <c r="A993" s="14"/>
      <c r="B993" s="1745"/>
      <c r="C993" s="1746"/>
      <c r="D993" s="1746"/>
      <c r="E993" s="1746"/>
      <c r="F993" s="1746"/>
      <c r="G993" s="1746"/>
      <c r="H993" s="1746"/>
      <c r="I993" s="1746"/>
      <c r="J993" s="1746"/>
      <c r="K993" s="1746"/>
      <c r="L993" s="1746"/>
      <c r="M993" s="1746"/>
      <c r="N993" s="1746"/>
      <c r="O993" s="1746"/>
      <c r="P993" s="1746"/>
      <c r="Q993" s="1746"/>
      <c r="R993" s="1746"/>
      <c r="S993" s="1746"/>
      <c r="T993" s="1746"/>
      <c r="U993" s="1746"/>
      <c r="V993" s="1746"/>
      <c r="W993" s="1746"/>
      <c r="X993" s="1746"/>
      <c r="Y993" s="1746"/>
      <c r="Z993" s="1746"/>
      <c r="AA993" s="1746"/>
      <c r="AB993" s="1746"/>
      <c r="AC993" s="1746"/>
      <c r="AD993" s="1746"/>
      <c r="AE993" s="1747"/>
      <c r="AF993" s="1824" t="s">
        <v>666</v>
      </c>
      <c r="AG993" s="1825"/>
      <c r="AH993" s="1825"/>
      <c r="AI993" s="1826"/>
      <c r="AJ993" s="1745"/>
      <c r="AK993" s="1746"/>
      <c r="AL993" s="1746"/>
      <c r="AM993" s="1746"/>
      <c r="AN993" s="1746"/>
      <c r="AO993" s="1746"/>
      <c r="AP993" s="1746"/>
      <c r="AQ993" s="1747"/>
      <c r="AR993" s="68"/>
      <c r="AS993" s="68"/>
      <c r="AT993" s="68"/>
      <c r="AU993" s="68"/>
      <c r="AV993" s="68"/>
      <c r="AW993" s="68"/>
      <c r="AX993" s="68"/>
      <c r="AY993" s="68"/>
      <c r="AZ993" s="34"/>
      <c r="BA993" s="34"/>
      <c r="BB993" s="34"/>
      <c r="BC993" s="34"/>
    </row>
    <row r="994" spans="1:55" ht="13" customHeight="1">
      <c r="A994" s="14"/>
      <c r="B994" s="73"/>
      <c r="C994" s="927" t="s">
        <v>668</v>
      </c>
      <c r="D994" s="1733" t="s">
        <v>1220</v>
      </c>
      <c r="E994" s="1734"/>
      <c r="F994" s="1734"/>
      <c r="G994" s="1734"/>
      <c r="H994" s="1734"/>
      <c r="I994" s="1734"/>
      <c r="J994" s="1734"/>
      <c r="K994" s="1734"/>
      <c r="L994" s="1734"/>
      <c r="M994" s="1734"/>
      <c r="N994" s="1734"/>
      <c r="O994" s="1734"/>
      <c r="P994" s="1734"/>
      <c r="Q994" s="1734"/>
      <c r="R994" s="1734"/>
      <c r="S994" s="1734"/>
      <c r="T994" s="1734"/>
      <c r="U994" s="1734"/>
      <c r="V994" s="1734"/>
      <c r="W994" s="1734"/>
      <c r="X994" s="1734"/>
      <c r="Y994" s="1734"/>
      <c r="Z994" s="1734"/>
      <c r="AA994" s="1734"/>
      <c r="AB994" s="1734"/>
      <c r="AC994" s="1734"/>
      <c r="AD994" s="1734"/>
      <c r="AE994" s="1735"/>
      <c r="AF994" s="79"/>
      <c r="AG994" s="1827" t="s">
        <v>545</v>
      </c>
      <c r="AH994" s="1828"/>
      <c r="AI994" s="87"/>
      <c r="AJ994" s="1724">
        <f>ROUND(IF(AND(AG994="yes",D1000&gt;0),AJ992*0.2,0),0)</f>
        <v>7450406</v>
      </c>
      <c r="AK994" s="1725"/>
      <c r="AL994" s="1725"/>
      <c r="AM994" s="1725"/>
      <c r="AN994" s="1725"/>
      <c r="AO994" s="1725"/>
      <c r="AP994" s="1725"/>
      <c r="AQ994" s="1726"/>
      <c r="AR994" s="68"/>
      <c r="AS994" s="68"/>
      <c r="AT994" s="68"/>
      <c r="AU994" s="68"/>
      <c r="AV994" s="68"/>
      <c r="AW994" s="68"/>
      <c r="AX994" s="68"/>
      <c r="AY994" s="68"/>
      <c r="AZ994" s="34"/>
      <c r="BA994" s="34"/>
      <c r="BB994" s="34"/>
      <c r="BC994" s="34"/>
    </row>
    <row r="995" spans="1:55" ht="13" customHeight="1">
      <c r="A995" s="14"/>
      <c r="B995" s="257"/>
      <c r="C995" s="256"/>
      <c r="D995" s="1767" t="s">
        <v>2234</v>
      </c>
      <c r="E995" s="1768"/>
      <c r="F995" s="1768"/>
      <c r="G995" s="1768"/>
      <c r="H995" s="1768"/>
      <c r="I995" s="1768"/>
      <c r="J995" s="1768"/>
      <c r="K995" s="1768"/>
      <c r="L995" s="1768"/>
      <c r="M995" s="1768"/>
      <c r="N995" s="1768"/>
      <c r="O995" s="1768"/>
      <c r="P995" s="1768"/>
      <c r="Q995" s="1768"/>
      <c r="R995" s="1768"/>
      <c r="S995" s="1768"/>
      <c r="T995" s="1768"/>
      <c r="U995" s="1768"/>
      <c r="V995" s="1768"/>
      <c r="W995" s="1768"/>
      <c r="X995" s="1768"/>
      <c r="Y995" s="1768"/>
      <c r="Z995" s="1768"/>
      <c r="AA995" s="1768"/>
      <c r="AB995" s="1768"/>
      <c r="AC995" s="1768"/>
      <c r="AD995" s="1768"/>
      <c r="AE995" s="1769"/>
      <c r="AF995" s="73"/>
      <c r="AG995" s="14"/>
      <c r="AH995" s="14"/>
      <c r="AI995" s="83"/>
      <c r="AJ995" s="1727"/>
      <c r="AK995" s="1728"/>
      <c r="AL995" s="1728"/>
      <c r="AM995" s="1728"/>
      <c r="AN995" s="1728"/>
      <c r="AO995" s="1728"/>
      <c r="AP995" s="1728"/>
      <c r="AQ995" s="1729"/>
      <c r="AR995" s="68"/>
      <c r="AS995" s="68"/>
      <c r="AT995" s="68"/>
      <c r="AU995" s="68"/>
      <c r="AV995" s="68"/>
      <c r="AW995" s="68"/>
      <c r="AX995" s="68"/>
      <c r="AY995" s="68"/>
      <c r="AZ995" s="34"/>
      <c r="BA995" s="34"/>
      <c r="BB995" s="34"/>
      <c r="BC995" s="34"/>
    </row>
    <row r="996" spans="1:55" ht="13" customHeight="1">
      <c r="A996" s="14"/>
      <c r="B996" s="257"/>
      <c r="C996" s="256"/>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27"/>
      <c r="AK996" s="1728"/>
      <c r="AL996" s="1728"/>
      <c r="AM996" s="1728"/>
      <c r="AN996" s="1728"/>
      <c r="AO996" s="1728"/>
      <c r="AP996" s="1728"/>
      <c r="AQ996" s="1729"/>
      <c r="AR996" s="68"/>
      <c r="AS996" s="68"/>
      <c r="AT996" s="68"/>
      <c r="AU996" s="68"/>
      <c r="AV996" s="68"/>
      <c r="AW996" s="68"/>
      <c r="AX996" s="68"/>
      <c r="AY996" s="68"/>
      <c r="AZ996" s="34"/>
      <c r="BA996" s="34"/>
      <c r="BB996" s="34"/>
      <c r="BC996" s="34"/>
    </row>
    <row r="997" spans="1:55" ht="13" customHeight="1">
      <c r="A997" s="14"/>
      <c r="B997" s="257"/>
      <c r="C997" s="256"/>
      <c r="D997" s="1767"/>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3"/>
      <c r="AG997" s="14"/>
      <c r="AH997" s="14"/>
      <c r="AI997" s="83"/>
      <c r="AJ997" s="1727"/>
      <c r="AK997" s="1728"/>
      <c r="AL997" s="1728"/>
      <c r="AM997" s="1728"/>
      <c r="AN997" s="1728"/>
      <c r="AO997" s="1728"/>
      <c r="AP997" s="1728"/>
      <c r="AQ997" s="1729"/>
      <c r="AR997" s="68"/>
      <c r="AS997" s="68"/>
      <c r="AT997" s="68"/>
      <c r="AU997" s="68"/>
      <c r="AV997" s="68"/>
      <c r="AW997" s="68"/>
      <c r="AX997" s="68"/>
      <c r="AY997" s="68"/>
      <c r="AZ997" s="34"/>
      <c r="BA997" s="34"/>
      <c r="BB997" s="34"/>
      <c r="BC997" s="34"/>
    </row>
    <row r="998" spans="1:55" ht="13" customHeight="1">
      <c r="A998" s="14"/>
      <c r="B998" s="257"/>
      <c r="C998" s="256"/>
      <c r="D998" s="1767"/>
      <c r="E998" s="1768"/>
      <c r="F998" s="1768"/>
      <c r="G998" s="1768"/>
      <c r="H998" s="1768"/>
      <c r="I998" s="1768"/>
      <c r="J998" s="1768"/>
      <c r="K998" s="1768"/>
      <c r="L998" s="1768"/>
      <c r="M998" s="1768"/>
      <c r="N998" s="1768"/>
      <c r="O998" s="1768"/>
      <c r="P998" s="1768"/>
      <c r="Q998" s="1768"/>
      <c r="R998" s="1768"/>
      <c r="S998" s="1768"/>
      <c r="T998" s="1768"/>
      <c r="U998" s="1768"/>
      <c r="V998" s="1768"/>
      <c r="W998" s="1768"/>
      <c r="X998" s="1768"/>
      <c r="Y998" s="1768"/>
      <c r="Z998" s="1768"/>
      <c r="AA998" s="1768"/>
      <c r="AB998" s="1768"/>
      <c r="AC998" s="1768"/>
      <c r="AD998" s="1768"/>
      <c r="AE998" s="1769"/>
      <c r="AF998" s="73"/>
      <c r="AG998" s="14"/>
      <c r="AH998" s="14"/>
      <c r="AI998" s="83"/>
      <c r="AJ998" s="1727"/>
      <c r="AK998" s="1728"/>
      <c r="AL998" s="1728"/>
      <c r="AM998" s="1728"/>
      <c r="AN998" s="1728"/>
      <c r="AO998" s="1728"/>
      <c r="AP998" s="1728"/>
      <c r="AQ998" s="1729"/>
      <c r="AR998" s="68"/>
      <c r="AS998" s="68"/>
      <c r="AT998" s="68"/>
      <c r="AU998" s="68"/>
      <c r="AV998" s="68"/>
      <c r="AW998" s="68"/>
      <c r="AX998" s="68"/>
      <c r="AY998" s="68"/>
      <c r="AZ998" s="34"/>
      <c r="BA998" s="34"/>
      <c r="BB998" s="34"/>
      <c r="BC998" s="34"/>
    </row>
    <row r="999" spans="1:55" ht="13" customHeight="1">
      <c r="A999" s="14"/>
      <c r="B999" s="257"/>
      <c r="C999" s="256"/>
      <c r="D999" s="1770" t="s">
        <v>2205</v>
      </c>
      <c r="E999" s="1771"/>
      <c r="F999" s="1771"/>
      <c r="G999" s="1771"/>
      <c r="H999" s="1771"/>
      <c r="I999" s="1771"/>
      <c r="J999" s="1771"/>
      <c r="K999" s="1771"/>
      <c r="L999" s="1771"/>
      <c r="M999" s="1771"/>
      <c r="N999" s="1771"/>
      <c r="O999" s="1771"/>
      <c r="P999" s="1771"/>
      <c r="Q999" s="1771"/>
      <c r="R999" s="1771"/>
      <c r="S999" s="1771"/>
      <c r="T999" s="1771"/>
      <c r="U999" s="1771"/>
      <c r="V999" s="1771"/>
      <c r="W999" s="1771"/>
      <c r="X999" s="1771"/>
      <c r="Y999" s="1771"/>
      <c r="Z999" s="1771"/>
      <c r="AA999" s="1771"/>
      <c r="AB999" s="1771"/>
      <c r="AC999" s="1771"/>
      <c r="AD999" s="1771"/>
      <c r="AE999" s="1772"/>
      <c r="AF999" s="73"/>
      <c r="AG999" s="14"/>
      <c r="AH999" s="14"/>
      <c r="AI999" s="83"/>
      <c r="AJ999" s="1727"/>
      <c r="AK999" s="1728"/>
      <c r="AL999" s="1728"/>
      <c r="AM999" s="1728"/>
      <c r="AN999" s="1728"/>
      <c r="AO999" s="1728"/>
      <c r="AP999" s="1728"/>
      <c r="AQ999" s="1729"/>
      <c r="AR999" s="68"/>
      <c r="AS999" s="68"/>
      <c r="AT999" s="68"/>
      <c r="AU999" s="68"/>
      <c r="AV999" s="68"/>
      <c r="AW999" s="68"/>
      <c r="AX999" s="68"/>
      <c r="AY999" s="68"/>
      <c r="AZ999" s="34"/>
      <c r="BA999" s="34"/>
      <c r="BB999" s="34"/>
      <c r="BC999" s="34"/>
    </row>
    <row r="1000" spans="1:55" ht="13" customHeight="1">
      <c r="A1000" s="14"/>
      <c r="B1000" s="257"/>
      <c r="C1000" s="256"/>
      <c r="D1000" s="1739" t="s">
        <v>2722</v>
      </c>
      <c r="E1000" s="1740"/>
      <c r="F1000" s="1740"/>
      <c r="G1000" s="1740"/>
      <c r="H1000" s="1740"/>
      <c r="I1000" s="1740"/>
      <c r="J1000" s="1740"/>
      <c r="K1000" s="1740"/>
      <c r="L1000" s="1740"/>
      <c r="M1000" s="1740"/>
      <c r="N1000" s="1740"/>
      <c r="O1000" s="1740"/>
      <c r="P1000" s="1740"/>
      <c r="Q1000" s="1740"/>
      <c r="R1000" s="1740"/>
      <c r="S1000" s="1740"/>
      <c r="T1000" s="1740"/>
      <c r="U1000" s="1740"/>
      <c r="V1000" s="1740"/>
      <c r="W1000" s="1740"/>
      <c r="X1000" s="1740"/>
      <c r="Y1000" s="1740"/>
      <c r="Z1000" s="1740"/>
      <c r="AA1000" s="1740"/>
      <c r="AB1000" s="1740"/>
      <c r="AC1000" s="1740"/>
      <c r="AD1000" s="1740"/>
      <c r="AE1000" s="1741"/>
      <c r="AF1000" s="77"/>
      <c r="AG1000" s="7"/>
      <c r="AH1000" s="7"/>
      <c r="AI1000" s="78"/>
      <c r="AJ1000" s="1730"/>
      <c r="AK1000" s="1731"/>
      <c r="AL1000" s="1731"/>
      <c r="AM1000" s="1731"/>
      <c r="AN1000" s="1731"/>
      <c r="AO1000" s="1731"/>
      <c r="AP1000" s="1731"/>
      <c r="AQ1000" s="1732"/>
      <c r="AR1000" s="68"/>
      <c r="AS1000" s="68"/>
      <c r="AT1000" s="68"/>
      <c r="AU1000" s="68"/>
      <c r="AV1000" s="68"/>
      <c r="AW1000" s="68"/>
      <c r="AX1000" s="68"/>
      <c r="AY1000" s="68"/>
      <c r="AZ1000" s="34"/>
      <c r="BA1000" s="34"/>
      <c r="BB1000" s="34"/>
      <c r="BC1000" s="34"/>
    </row>
    <row r="1001" spans="1:55" ht="13" customHeight="1">
      <c r="A1001" s="14"/>
      <c r="B1001" s="255"/>
      <c r="C1001" s="318"/>
      <c r="D1001" s="1764" t="s">
        <v>1286</v>
      </c>
      <c r="E1001" s="1765"/>
      <c r="F1001" s="1765"/>
      <c r="G1001" s="1765"/>
      <c r="H1001" s="1765"/>
      <c r="I1001" s="1765"/>
      <c r="J1001" s="1765"/>
      <c r="K1001" s="1765"/>
      <c r="L1001" s="1765"/>
      <c r="M1001" s="1765"/>
      <c r="N1001" s="1765"/>
      <c r="O1001" s="1765"/>
      <c r="P1001" s="1765"/>
      <c r="Q1001" s="1765"/>
      <c r="R1001" s="1765"/>
      <c r="S1001" s="1765"/>
      <c r="T1001" s="1765"/>
      <c r="U1001" s="1765"/>
      <c r="V1001" s="1765"/>
      <c r="W1001" s="1765"/>
      <c r="X1001" s="1765"/>
      <c r="Y1001" s="1765"/>
      <c r="Z1001" s="1765"/>
      <c r="AA1001" s="1765"/>
      <c r="AB1001" s="1765"/>
      <c r="AC1001" s="1765"/>
      <c r="AD1001" s="1765"/>
      <c r="AE1001" s="1766"/>
      <c r="AF1001" s="79"/>
      <c r="AG1001" s="1750" t="s">
        <v>669</v>
      </c>
      <c r="AH1001" s="1751"/>
      <c r="AI1001" s="87"/>
      <c r="AJ1001" s="1724">
        <f>ROUND(IF(AG1001="yes",AJ992*0.05,0),0)</f>
        <v>0</v>
      </c>
      <c r="AK1001" s="1725"/>
      <c r="AL1001" s="1725"/>
      <c r="AM1001" s="1725"/>
      <c r="AN1001" s="1725"/>
      <c r="AO1001" s="1725"/>
      <c r="AP1001" s="1725"/>
      <c r="AQ1001" s="1726"/>
      <c r="AR1001" s="68"/>
      <c r="AS1001" s="68"/>
      <c r="AT1001" s="68"/>
      <c r="AU1001" s="68"/>
      <c r="AV1001" s="68"/>
      <c r="AW1001" s="68"/>
      <c r="AX1001" s="68"/>
      <c r="AY1001" s="68"/>
      <c r="AZ1001" s="34"/>
      <c r="BA1001" s="34"/>
      <c r="BB1001" s="34"/>
      <c r="BC1001" s="34"/>
    </row>
    <row r="1002" spans="1:55" ht="13" customHeight="1">
      <c r="A1002" s="14"/>
      <c r="B1002" s="257"/>
      <c r="C1002" s="82"/>
      <c r="D1002" s="1767" t="s">
        <v>1284</v>
      </c>
      <c r="E1002" s="1768"/>
      <c r="F1002" s="1768"/>
      <c r="G1002" s="1768"/>
      <c r="H1002" s="1768"/>
      <c r="I1002" s="1768"/>
      <c r="J1002" s="1768"/>
      <c r="K1002" s="1768"/>
      <c r="L1002" s="1768"/>
      <c r="M1002" s="1768"/>
      <c r="N1002" s="1768"/>
      <c r="O1002" s="1768"/>
      <c r="P1002" s="1768"/>
      <c r="Q1002" s="1768"/>
      <c r="R1002" s="1768"/>
      <c r="S1002" s="1768"/>
      <c r="T1002" s="1768"/>
      <c r="U1002" s="1768"/>
      <c r="V1002" s="1768"/>
      <c r="W1002" s="1768"/>
      <c r="X1002" s="1768"/>
      <c r="Y1002" s="1768"/>
      <c r="Z1002" s="1768"/>
      <c r="AA1002" s="1768"/>
      <c r="AB1002" s="1768"/>
      <c r="AC1002" s="1768"/>
      <c r="AD1002" s="1768"/>
      <c r="AE1002" s="1769"/>
      <c r="AF1002" s="73"/>
      <c r="AG1002" s="14"/>
      <c r="AH1002" s="14"/>
      <c r="AI1002" s="83"/>
      <c r="AJ1002" s="1727"/>
      <c r="AK1002" s="1728"/>
      <c r="AL1002" s="1728"/>
      <c r="AM1002" s="1728"/>
      <c r="AN1002" s="1728"/>
      <c r="AO1002" s="1728"/>
      <c r="AP1002" s="1728"/>
      <c r="AQ1002" s="1729"/>
      <c r="AR1002" s="68"/>
      <c r="AS1002" s="68"/>
      <c r="AT1002" s="68"/>
      <c r="AU1002" s="68"/>
      <c r="AV1002" s="68"/>
      <c r="AW1002" s="68"/>
      <c r="AX1002" s="68"/>
      <c r="AY1002" s="34"/>
      <c r="AZ1002" s="34"/>
      <c r="BB1002" s="34"/>
    </row>
    <row r="1003" spans="1:55" ht="13" customHeight="1">
      <c r="A1003" s="14"/>
      <c r="B1003" s="257"/>
      <c r="C1003" s="82"/>
      <c r="D1003" s="1767"/>
      <c r="E1003" s="1768"/>
      <c r="F1003" s="1768"/>
      <c r="G1003" s="1768"/>
      <c r="H1003" s="1768"/>
      <c r="I1003" s="1768"/>
      <c r="J1003" s="1768"/>
      <c r="K1003" s="1768"/>
      <c r="L1003" s="1768"/>
      <c r="M1003" s="1768"/>
      <c r="N1003" s="1768"/>
      <c r="O1003" s="1768"/>
      <c r="P1003" s="1768"/>
      <c r="Q1003" s="1768"/>
      <c r="R1003" s="1768"/>
      <c r="S1003" s="1768"/>
      <c r="T1003" s="1768"/>
      <c r="U1003" s="1768"/>
      <c r="V1003" s="1768"/>
      <c r="W1003" s="1768"/>
      <c r="X1003" s="1768"/>
      <c r="Y1003" s="1768"/>
      <c r="Z1003" s="1768"/>
      <c r="AA1003" s="1768"/>
      <c r="AB1003" s="1768"/>
      <c r="AC1003" s="1768"/>
      <c r="AD1003" s="1768"/>
      <c r="AE1003" s="1769"/>
      <c r="AF1003" s="73"/>
      <c r="AG1003" s="14"/>
      <c r="AH1003" s="14"/>
      <c r="AI1003" s="83"/>
      <c r="AJ1003" s="1727"/>
      <c r="AK1003" s="1728"/>
      <c r="AL1003" s="1728"/>
      <c r="AM1003" s="1728"/>
      <c r="AN1003" s="1728"/>
      <c r="AO1003" s="1728"/>
      <c r="AP1003" s="1728"/>
      <c r="AQ1003" s="1729"/>
      <c r="AR1003" s="68"/>
      <c r="AS1003" s="68"/>
      <c r="AT1003" s="68"/>
      <c r="AU1003" s="68"/>
      <c r="AV1003" s="68"/>
      <c r="AW1003" s="68"/>
      <c r="AX1003" s="68"/>
      <c r="AY1003" s="914">
        <f>G753+O797</f>
        <v>79</v>
      </c>
      <c r="AZ1003" s="34"/>
      <c r="BB1003" s="34"/>
    </row>
    <row r="1004" spans="1:55" ht="13" customHeight="1">
      <c r="A1004" s="14"/>
      <c r="B1004" s="257"/>
      <c r="C1004" s="82"/>
      <c r="D1004" s="1767"/>
      <c r="E1004" s="1768"/>
      <c r="F1004" s="1768"/>
      <c r="G1004" s="1768"/>
      <c r="H1004" s="1768"/>
      <c r="I1004" s="1768"/>
      <c r="J1004" s="1768"/>
      <c r="K1004" s="1768"/>
      <c r="L1004" s="1768"/>
      <c r="M1004" s="1768"/>
      <c r="N1004" s="1768"/>
      <c r="O1004" s="1768"/>
      <c r="P1004" s="1768"/>
      <c r="Q1004" s="1768"/>
      <c r="R1004" s="1768"/>
      <c r="S1004" s="1768"/>
      <c r="T1004" s="1768"/>
      <c r="U1004" s="1768"/>
      <c r="V1004" s="1768"/>
      <c r="W1004" s="1768"/>
      <c r="X1004" s="1768"/>
      <c r="Y1004" s="1768"/>
      <c r="Z1004" s="1768"/>
      <c r="AA1004" s="1768"/>
      <c r="AB1004" s="1768"/>
      <c r="AC1004" s="1768"/>
      <c r="AD1004" s="1768"/>
      <c r="AE1004" s="1769"/>
      <c r="AF1004" s="73"/>
      <c r="AG1004" s="14"/>
      <c r="AH1004" s="14"/>
      <c r="AI1004" s="83"/>
      <c r="AJ1004" s="1727"/>
      <c r="AK1004" s="1728"/>
      <c r="AL1004" s="1728"/>
      <c r="AM1004" s="1728"/>
      <c r="AN1004" s="1728"/>
      <c r="AO1004" s="1728"/>
      <c r="AP1004" s="1728"/>
      <c r="AQ1004" s="1729"/>
      <c r="AR1004" s="68"/>
      <c r="AS1004" s="68"/>
      <c r="AT1004" s="68"/>
      <c r="AU1004" s="68"/>
      <c r="AV1004" s="68"/>
      <c r="AW1004" s="68"/>
      <c r="AX1004" s="68"/>
      <c r="AY1004" s="14"/>
      <c r="AZ1004" s="34"/>
      <c r="BB1004" s="34"/>
    </row>
    <row r="1005" spans="1:55" ht="13" customHeight="1">
      <c r="A1005" s="14"/>
      <c r="B1005" s="257"/>
      <c r="C1005" s="82"/>
      <c r="D1005" s="1767"/>
      <c r="E1005" s="1768"/>
      <c r="F1005" s="1768"/>
      <c r="G1005" s="1768"/>
      <c r="H1005" s="1768"/>
      <c r="I1005" s="1768"/>
      <c r="J1005" s="1768"/>
      <c r="K1005" s="1768"/>
      <c r="L1005" s="1768"/>
      <c r="M1005" s="1768"/>
      <c r="N1005" s="1768"/>
      <c r="O1005" s="1768"/>
      <c r="P1005" s="1768"/>
      <c r="Q1005" s="1768"/>
      <c r="R1005" s="1768"/>
      <c r="S1005" s="1768"/>
      <c r="T1005" s="1768"/>
      <c r="U1005" s="1768"/>
      <c r="V1005" s="1768"/>
      <c r="W1005" s="1768"/>
      <c r="X1005" s="1768"/>
      <c r="Y1005" s="1768"/>
      <c r="Z1005" s="1768"/>
      <c r="AA1005" s="1768"/>
      <c r="AB1005" s="1768"/>
      <c r="AC1005" s="1768"/>
      <c r="AD1005" s="1768"/>
      <c r="AE1005" s="1769"/>
      <c r="AF1005" s="73"/>
      <c r="AG1005" s="14"/>
      <c r="AH1005" s="14"/>
      <c r="AI1005" s="83"/>
      <c r="AJ1005" s="1727"/>
      <c r="AK1005" s="1728"/>
      <c r="AL1005" s="1728"/>
      <c r="AM1005" s="1728"/>
      <c r="AN1005" s="1728"/>
      <c r="AO1005" s="1728"/>
      <c r="AP1005" s="1728"/>
      <c r="AQ1005" s="1729"/>
      <c r="AR1005" s="68"/>
      <c r="AS1005" s="68"/>
      <c r="AT1005" s="68"/>
      <c r="AU1005" s="68"/>
      <c r="AV1005" s="68"/>
      <c r="AW1005" s="68"/>
      <c r="AX1005" s="68"/>
      <c r="AY1005" s="913">
        <f>ROUNDDOWN(X1048/I1048,2)</f>
        <v>0.73</v>
      </c>
      <c r="AZ1005" s="34"/>
      <c r="BB1005" s="34"/>
    </row>
    <row r="1006" spans="1:55" ht="13" customHeight="1">
      <c r="A1006" s="14"/>
      <c r="B1006" s="75"/>
      <c r="C1006" s="76"/>
      <c r="D1006" s="1770"/>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77"/>
      <c r="AG1006" s="7"/>
      <c r="AH1006" s="7"/>
      <c r="AI1006" s="78"/>
      <c r="AJ1006" s="1730"/>
      <c r="AK1006" s="1731"/>
      <c r="AL1006" s="1731"/>
      <c r="AM1006" s="1731"/>
      <c r="AN1006" s="1731"/>
      <c r="AO1006" s="1731"/>
      <c r="AP1006" s="1731"/>
      <c r="AQ1006" s="1732"/>
      <c r="AR1006" s="68"/>
      <c r="AS1006" s="68"/>
      <c r="AT1006" s="68"/>
      <c r="AU1006" s="68"/>
      <c r="AV1006" s="68"/>
      <c r="AW1006" s="68"/>
      <c r="AX1006" s="68"/>
      <c r="AY1006" s="913">
        <f>ROUNDDOWN(X1052/I1052,2)</f>
        <v>0.26</v>
      </c>
      <c r="AZ1006" s="34"/>
      <c r="BB1006" s="34"/>
    </row>
    <row r="1007" spans="1:55" ht="13" customHeight="1">
      <c r="A1007" s="14"/>
      <c r="B1007" s="255"/>
      <c r="C1007" s="80" t="s">
        <v>672</v>
      </c>
      <c r="D1007" s="1764" t="s">
        <v>1683</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86"/>
      <c r="AG1007" s="1750" t="s">
        <v>669</v>
      </c>
      <c r="AH1007" s="1751"/>
      <c r="AI1007" s="87"/>
      <c r="AJ1007" s="1724">
        <f>ROUND(IF(AG1007="yes",AJ992*0.1,0),0)</f>
        <v>0</v>
      </c>
      <c r="AK1007" s="1725"/>
      <c r="AL1007" s="1725"/>
      <c r="AM1007" s="1725"/>
      <c r="AN1007" s="1725"/>
      <c r="AO1007" s="1725"/>
      <c r="AP1007" s="1725"/>
      <c r="AQ1007" s="1726"/>
      <c r="AR1007" s="68"/>
      <c r="AS1007" s="68"/>
      <c r="AT1007" s="68"/>
      <c r="AU1007" s="68"/>
      <c r="AV1007" s="68"/>
      <c r="AW1007" s="68"/>
      <c r="AX1007" s="68"/>
      <c r="BB1007" s="34"/>
    </row>
    <row r="1008" spans="1:55" ht="13" customHeight="1">
      <c r="A1008" s="14"/>
      <c r="B1008" s="73"/>
      <c r="C1008" s="74"/>
      <c r="D1008" s="1695" t="s">
        <v>1285</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7"/>
      <c r="AF1008" s="73"/>
      <c r="AI1008" s="83"/>
      <c r="AJ1008" s="1727"/>
      <c r="AK1008" s="1728"/>
      <c r="AL1008" s="1728"/>
      <c r="AM1008" s="1728"/>
      <c r="AN1008" s="1728"/>
      <c r="AO1008" s="1728"/>
      <c r="AP1008" s="1728"/>
      <c r="AQ1008" s="1729"/>
      <c r="AR1008" s="68"/>
      <c r="AS1008" s="68"/>
      <c r="AT1008" s="68"/>
      <c r="AU1008" s="68"/>
      <c r="AV1008" s="68"/>
      <c r="AW1008" s="68"/>
      <c r="AX1008" s="68"/>
    </row>
    <row r="1009" spans="1:52" ht="13" customHeight="1">
      <c r="A1009" s="14"/>
      <c r="B1009" s="73"/>
      <c r="C1009" s="74"/>
      <c r="D1009" s="1695"/>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7"/>
      <c r="AF1009" s="73"/>
      <c r="AG1009" s="14"/>
      <c r="AH1009" s="14"/>
      <c r="AI1009" s="83"/>
      <c r="AJ1009" s="1727"/>
      <c r="AK1009" s="1728"/>
      <c r="AL1009" s="1728"/>
      <c r="AM1009" s="1728"/>
      <c r="AN1009" s="1728"/>
      <c r="AO1009" s="1728"/>
      <c r="AP1009" s="1728"/>
      <c r="AQ1009" s="1729"/>
      <c r="AR1009" s="68"/>
      <c r="AS1009" s="68"/>
      <c r="AT1009" s="68"/>
      <c r="AU1009" s="68"/>
      <c r="AV1009" s="68"/>
      <c r="AW1009" s="68"/>
      <c r="AX1009" s="68"/>
    </row>
    <row r="1010" spans="1:52" ht="13" customHeight="1">
      <c r="A1010" s="14"/>
      <c r="B1010" s="85"/>
      <c r="C1010" s="76"/>
      <c r="D1010" s="1742"/>
      <c r="E1010" s="1743"/>
      <c r="F1010" s="1743"/>
      <c r="G1010" s="1743"/>
      <c r="H1010" s="1743"/>
      <c r="I1010" s="1743"/>
      <c r="J1010" s="1743"/>
      <c r="K1010" s="1743"/>
      <c r="L1010" s="1743"/>
      <c r="M1010" s="1743"/>
      <c r="N1010" s="1743"/>
      <c r="O1010" s="1743"/>
      <c r="P1010" s="1743"/>
      <c r="Q1010" s="1743"/>
      <c r="R1010" s="1743"/>
      <c r="S1010" s="1743"/>
      <c r="T1010" s="1743"/>
      <c r="U1010" s="1743"/>
      <c r="V1010" s="1743"/>
      <c r="W1010" s="1743"/>
      <c r="X1010" s="1743"/>
      <c r="Y1010" s="1743"/>
      <c r="Z1010" s="1743"/>
      <c r="AA1010" s="1743"/>
      <c r="AB1010" s="1743"/>
      <c r="AC1010" s="1743"/>
      <c r="AD1010" s="1743"/>
      <c r="AE1010" s="1744"/>
      <c r="AF1010" s="77"/>
      <c r="AG1010" s="7"/>
      <c r="AH1010" s="7"/>
      <c r="AI1010" s="78"/>
      <c r="AJ1010" s="1730"/>
      <c r="AK1010" s="1731"/>
      <c r="AL1010" s="1731"/>
      <c r="AM1010" s="1731"/>
      <c r="AN1010" s="1731"/>
      <c r="AO1010" s="1731"/>
      <c r="AP1010" s="1731"/>
      <c r="AQ1010" s="1732"/>
      <c r="AR1010" s="68"/>
      <c r="AS1010" s="68"/>
      <c r="AT1010" s="68"/>
      <c r="AU1010" s="68"/>
      <c r="AV1010" s="68"/>
      <c r="AW1010" s="68"/>
      <c r="AX1010" s="68"/>
    </row>
    <row r="1011" spans="1:52" ht="13" customHeight="1">
      <c r="A1011" s="14"/>
      <c r="B1011" s="79"/>
      <c r="C1011" s="80" t="s">
        <v>212</v>
      </c>
      <c r="D1011" s="1764" t="s">
        <v>1287</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9"/>
      <c r="AG1011" s="1750" t="s">
        <v>669</v>
      </c>
      <c r="AH1011" s="1751"/>
      <c r="AI1011" s="87"/>
      <c r="AJ1011" s="1724">
        <f>ROUND(IF(AG1011="yes",AJ992*0.02,0),0)</f>
        <v>0</v>
      </c>
      <c r="AK1011" s="1725"/>
      <c r="AL1011" s="1725"/>
      <c r="AM1011" s="1725"/>
      <c r="AN1011" s="1725"/>
      <c r="AO1011" s="1725"/>
      <c r="AP1011" s="1725"/>
      <c r="AQ1011" s="1726"/>
      <c r="AR1011" s="68"/>
      <c r="AS1011" s="68"/>
      <c r="AT1011" s="68"/>
      <c r="AU1011" s="68"/>
      <c r="AV1011" s="68"/>
      <c r="AW1011" s="68"/>
      <c r="AX1011" s="68"/>
    </row>
    <row r="1012" spans="1:52" ht="14.25" customHeight="1">
      <c r="A1012" s="14"/>
      <c r="B1012" s="73"/>
      <c r="C1012" s="74"/>
      <c r="D1012" s="1742" t="s">
        <v>1288</v>
      </c>
      <c r="E1012" s="1743"/>
      <c r="F1012" s="1743"/>
      <c r="G1012" s="1743"/>
      <c r="H1012" s="1743"/>
      <c r="I1012" s="1743"/>
      <c r="J1012" s="1743"/>
      <c r="K1012" s="1743"/>
      <c r="L1012" s="1743"/>
      <c r="M1012" s="1743"/>
      <c r="N1012" s="1743"/>
      <c r="O1012" s="1743"/>
      <c r="P1012" s="1743"/>
      <c r="Q1012" s="1743"/>
      <c r="R1012" s="1743"/>
      <c r="S1012" s="1743"/>
      <c r="T1012" s="1743"/>
      <c r="U1012" s="1743"/>
      <c r="V1012" s="1743"/>
      <c r="W1012" s="1743"/>
      <c r="X1012" s="1743"/>
      <c r="Y1012" s="1743"/>
      <c r="Z1012" s="1743"/>
      <c r="AA1012" s="1743"/>
      <c r="AB1012" s="1743"/>
      <c r="AC1012" s="1743"/>
      <c r="AD1012" s="1743"/>
      <c r="AE1012" s="1744"/>
      <c r="AF1012" s="77"/>
      <c r="AG1012" s="7"/>
      <c r="AH1012" s="7"/>
      <c r="AI1012" s="78"/>
      <c r="AJ1012" s="1730"/>
      <c r="AK1012" s="1731"/>
      <c r="AL1012" s="1731"/>
      <c r="AM1012" s="1731"/>
      <c r="AN1012" s="1731"/>
      <c r="AO1012" s="1731"/>
      <c r="AP1012" s="1731"/>
      <c r="AQ1012" s="1732"/>
      <c r="AR1012" s="68"/>
      <c r="AS1012" s="68"/>
      <c r="AT1012" s="68"/>
      <c r="AU1012" s="68"/>
      <c r="AV1012" s="68"/>
      <c r="AW1012" s="68"/>
      <c r="AX1012" s="3" t="s">
        <v>1841</v>
      </c>
      <c r="AZ1012" s="3" t="s">
        <v>2606</v>
      </c>
    </row>
    <row r="1013" spans="1:52" ht="13" customHeight="1">
      <c r="A1013" s="14"/>
      <c r="B1013" s="79"/>
      <c r="C1013" s="80" t="s">
        <v>215</v>
      </c>
      <c r="D1013" s="1764" t="s">
        <v>1289</v>
      </c>
      <c r="E1013" s="1765"/>
      <c r="F1013" s="1765"/>
      <c r="G1013" s="1765"/>
      <c r="H1013" s="1765"/>
      <c r="I1013" s="1765"/>
      <c r="J1013" s="1765"/>
      <c r="K1013" s="1765"/>
      <c r="L1013" s="1765"/>
      <c r="M1013" s="1765"/>
      <c r="N1013" s="1765"/>
      <c r="O1013" s="1765"/>
      <c r="P1013" s="1765"/>
      <c r="Q1013" s="1765"/>
      <c r="R1013" s="1765"/>
      <c r="S1013" s="1765"/>
      <c r="T1013" s="1765"/>
      <c r="U1013" s="1765"/>
      <c r="V1013" s="1765"/>
      <c r="W1013" s="1765"/>
      <c r="X1013" s="1765"/>
      <c r="Y1013" s="1765"/>
      <c r="Z1013" s="1765"/>
      <c r="AA1013" s="1765"/>
      <c r="AB1013" s="1765"/>
      <c r="AC1013" s="1765"/>
      <c r="AD1013" s="1765"/>
      <c r="AE1013" s="1766"/>
      <c r="AF1013" s="79"/>
      <c r="AG1013" s="1750" t="s">
        <v>669</v>
      </c>
      <c r="AH1013" s="1751"/>
      <c r="AI1013" s="79"/>
      <c r="AJ1013" s="1724">
        <f>ROUND(IF(AG1013="yes",AJ992*0.02,0),0)</f>
        <v>0</v>
      </c>
      <c r="AK1013" s="1725"/>
      <c r="AL1013" s="1725"/>
      <c r="AM1013" s="1725"/>
      <c r="AN1013" s="1725"/>
      <c r="AO1013" s="1725"/>
      <c r="AP1013" s="1725"/>
      <c r="AQ1013" s="1726"/>
      <c r="AR1013" s="68"/>
      <c r="AS1013" s="68"/>
      <c r="AT1013" s="68"/>
      <c r="AU1013" s="68"/>
      <c r="AV1013" s="68"/>
      <c r="AW1013" s="68"/>
      <c r="AX1013" s="3">
        <v>1</v>
      </c>
      <c r="AY1013" s="200">
        <f>IF((_xlfn.XLOOKUP(AX1013,$C$1065:$C$1103,$A$1065:$A$1103,"",0,1))="Yes",AZ1013,0)</f>
        <v>0.2</v>
      </c>
      <c r="AZ1013" s="1255">
        <v>0.2</v>
      </c>
    </row>
    <row r="1014" spans="1:52" ht="13" customHeight="1">
      <c r="A1014" s="14"/>
      <c r="B1014" s="73"/>
      <c r="C1014" s="74"/>
      <c r="D1014" s="1695" t="s">
        <v>1290</v>
      </c>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7"/>
      <c r="AF1014" s="1848" t="str">
        <f>IF(AND(AG1013="yes",T212&lt;&gt;1),"The project may not be eligible for this boost","")</f>
        <v/>
      </c>
      <c r="AG1014" s="1849"/>
      <c r="AH1014" s="1849"/>
      <c r="AI1014" s="1850"/>
      <c r="AJ1014" s="1727"/>
      <c r="AK1014" s="1728"/>
      <c r="AL1014" s="1728"/>
      <c r="AM1014" s="1728"/>
      <c r="AN1014" s="1728"/>
      <c r="AO1014" s="1728"/>
      <c r="AP1014" s="1728"/>
      <c r="AQ1014" s="1729"/>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2"/>
      <c r="E1015" s="1743"/>
      <c r="F1015" s="1743"/>
      <c r="G1015" s="1743"/>
      <c r="H1015" s="1743"/>
      <c r="I1015" s="1743"/>
      <c r="J1015" s="1743"/>
      <c r="K1015" s="1743"/>
      <c r="L1015" s="1743"/>
      <c r="M1015" s="1743"/>
      <c r="N1015" s="1743"/>
      <c r="O1015" s="1743"/>
      <c r="P1015" s="1743"/>
      <c r="Q1015" s="1743"/>
      <c r="R1015" s="1743"/>
      <c r="S1015" s="1743"/>
      <c r="T1015" s="1743"/>
      <c r="U1015" s="1743"/>
      <c r="V1015" s="1743"/>
      <c r="W1015" s="1743"/>
      <c r="X1015" s="1743"/>
      <c r="Y1015" s="1743"/>
      <c r="Z1015" s="1743"/>
      <c r="AA1015" s="1743"/>
      <c r="AB1015" s="1743"/>
      <c r="AC1015" s="1743"/>
      <c r="AD1015" s="1743"/>
      <c r="AE1015" s="1744"/>
      <c r="AF1015" s="1851"/>
      <c r="AG1015" s="1852"/>
      <c r="AH1015" s="1852"/>
      <c r="AI1015" s="1853"/>
      <c r="AJ1015" s="1730"/>
      <c r="AK1015" s="1731"/>
      <c r="AL1015" s="1731"/>
      <c r="AM1015" s="1731"/>
      <c r="AN1015" s="1731"/>
      <c r="AO1015" s="1731"/>
      <c r="AP1015" s="1731"/>
      <c r="AQ1015" s="1732"/>
      <c r="AR1015" s="68"/>
      <c r="AS1015" s="68"/>
      <c r="AT1015" s="68"/>
      <c r="AU1015" s="68"/>
      <c r="AV1015" s="68"/>
      <c r="AW1015" s="68"/>
      <c r="AX1015" s="3">
        <v>3</v>
      </c>
      <c r="AY1015" s="200">
        <f t="shared" si="53"/>
        <v>0</v>
      </c>
      <c r="AZ1015" s="1255">
        <v>0.05</v>
      </c>
    </row>
    <row r="1016" spans="1:52" ht="13" customHeight="1">
      <c r="A1016" s="14"/>
      <c r="B1016" s="79"/>
      <c r="C1016" s="80" t="s">
        <v>218</v>
      </c>
      <c r="D1016" s="1733" t="s">
        <v>2235</v>
      </c>
      <c r="E1016" s="1734"/>
      <c r="F1016" s="1734"/>
      <c r="G1016" s="1734"/>
      <c r="H1016" s="1734"/>
      <c r="I1016" s="1734"/>
      <c r="J1016" s="1734"/>
      <c r="K1016" s="1734"/>
      <c r="L1016" s="1734"/>
      <c r="M1016" s="1734"/>
      <c r="N1016" s="1734"/>
      <c r="O1016" s="1734"/>
      <c r="P1016" s="1734"/>
      <c r="Q1016" s="1734"/>
      <c r="R1016" s="1734"/>
      <c r="S1016" s="1734"/>
      <c r="T1016" s="1734"/>
      <c r="U1016" s="1734"/>
      <c r="V1016" s="1734"/>
      <c r="W1016" s="1734"/>
      <c r="X1016" s="1734"/>
      <c r="Y1016" s="1734"/>
      <c r="Z1016" s="1734"/>
      <c r="AA1016" s="1734"/>
      <c r="AB1016" s="1734"/>
      <c r="AC1016" s="1734"/>
      <c r="AD1016" s="1734"/>
      <c r="AE1016" s="1735"/>
      <c r="AF1016" s="79"/>
      <c r="AG1016" s="1750" t="s">
        <v>545</v>
      </c>
      <c r="AH1016" s="1751"/>
      <c r="AI1016" s="87"/>
      <c r="AJ1016" s="1724">
        <f>IF(AG1016="yes",AJ992*AY1024,0)</f>
        <v>7450406.4000000004</v>
      </c>
      <c r="AK1016" s="1725"/>
      <c r="AL1016" s="1725"/>
      <c r="AM1016" s="1725"/>
      <c r="AN1016" s="1725"/>
      <c r="AO1016" s="1725"/>
      <c r="AP1016" s="1725"/>
      <c r="AQ1016" s="1726"/>
      <c r="AR1016" s="68"/>
      <c r="AS1016" s="68"/>
      <c r="AT1016" s="68"/>
      <c r="AU1016" s="68"/>
      <c r="AV1016" s="68"/>
      <c r="AW1016" s="68"/>
      <c r="AX1016" s="3">
        <v>4</v>
      </c>
      <c r="AY1016" s="200">
        <f t="shared" si="53"/>
        <v>0</v>
      </c>
      <c r="AZ1016" s="1255">
        <v>0.02</v>
      </c>
    </row>
    <row r="1017" spans="1:52" ht="13" customHeight="1">
      <c r="A1017" s="14"/>
      <c r="B1017" s="73"/>
      <c r="C1017" s="74"/>
      <c r="D1017" s="1695" t="s">
        <v>1291</v>
      </c>
      <c r="E1017" s="1696"/>
      <c r="F1017" s="1696"/>
      <c r="G1017" s="1696"/>
      <c r="H1017" s="1696"/>
      <c r="I1017" s="1696"/>
      <c r="J1017" s="1696"/>
      <c r="K1017" s="1696"/>
      <c r="L1017" s="1696"/>
      <c r="M1017" s="1696"/>
      <c r="N1017" s="1696"/>
      <c r="O1017" s="1696"/>
      <c r="P1017" s="1696"/>
      <c r="Q1017" s="1696"/>
      <c r="R1017" s="1696"/>
      <c r="S1017" s="1696"/>
      <c r="T1017" s="1696"/>
      <c r="U1017" s="1696"/>
      <c r="V1017" s="1696"/>
      <c r="W1017" s="1696"/>
      <c r="X1017" s="1696"/>
      <c r="Y1017" s="1696"/>
      <c r="Z1017" s="1696"/>
      <c r="AA1017" s="1696"/>
      <c r="AB1017" s="1696"/>
      <c r="AC1017" s="1696"/>
      <c r="AD1017" s="1696"/>
      <c r="AE1017" s="1697"/>
      <c r="AF1017" s="1842" t="str">
        <f>IF(AND(AG1016="Yes",AY1024=0),AY1027,"")</f>
        <v/>
      </c>
      <c r="AG1017" s="1843"/>
      <c r="AH1017" s="1843"/>
      <c r="AI1017" s="1844"/>
      <c r="AJ1017" s="1727"/>
      <c r="AK1017" s="1728"/>
      <c r="AL1017" s="1728"/>
      <c r="AM1017" s="1728"/>
      <c r="AN1017" s="1728"/>
      <c r="AO1017" s="1728"/>
      <c r="AP1017" s="1728"/>
      <c r="AQ1017" s="1729"/>
      <c r="AR1017" s="68"/>
      <c r="AS1017" s="68"/>
      <c r="AT1017" s="68"/>
      <c r="AU1017" s="68"/>
      <c r="AV1017" s="68"/>
      <c r="AW1017" s="68"/>
      <c r="AX1017" s="3">
        <v>5</v>
      </c>
      <c r="AY1017" s="200">
        <f t="shared" si="53"/>
        <v>0</v>
      </c>
      <c r="AZ1017" s="1255">
        <v>0.04</v>
      </c>
    </row>
    <row r="1018" spans="1:52" ht="13" customHeight="1">
      <c r="A1018" s="14"/>
      <c r="B1018" s="73"/>
      <c r="C1018" s="74"/>
      <c r="D1018" s="1695"/>
      <c r="E1018" s="1696"/>
      <c r="F1018" s="1696"/>
      <c r="G1018" s="1696"/>
      <c r="H1018" s="1696"/>
      <c r="I1018" s="1696"/>
      <c r="J1018" s="1696"/>
      <c r="K1018" s="1696"/>
      <c r="L1018" s="1696"/>
      <c r="M1018" s="1696"/>
      <c r="N1018" s="1696"/>
      <c r="O1018" s="1696"/>
      <c r="P1018" s="1696"/>
      <c r="Q1018" s="1696"/>
      <c r="R1018" s="1696"/>
      <c r="S1018" s="1696"/>
      <c r="T1018" s="1696"/>
      <c r="U1018" s="1696"/>
      <c r="V1018" s="1696"/>
      <c r="W1018" s="1696"/>
      <c r="X1018" s="1696"/>
      <c r="Y1018" s="1696"/>
      <c r="Z1018" s="1696"/>
      <c r="AA1018" s="1696"/>
      <c r="AB1018" s="1696"/>
      <c r="AC1018" s="1696"/>
      <c r="AD1018" s="1696"/>
      <c r="AE1018" s="1697"/>
      <c r="AF1018" s="1842"/>
      <c r="AG1018" s="1843"/>
      <c r="AH1018" s="1843"/>
      <c r="AI1018" s="1844"/>
      <c r="AJ1018" s="1727"/>
      <c r="AK1018" s="1728"/>
      <c r="AL1018" s="1728"/>
      <c r="AM1018" s="1728"/>
      <c r="AN1018" s="1728"/>
      <c r="AO1018" s="1728"/>
      <c r="AP1018" s="1728"/>
      <c r="AQ1018" s="1729"/>
      <c r="AR1018" s="68"/>
      <c r="AS1018" s="68"/>
      <c r="AT1018" s="68"/>
      <c r="AU1018" s="68"/>
      <c r="AV1018" s="68"/>
      <c r="AW1018" s="68"/>
      <c r="AX1018" s="3">
        <v>6</v>
      </c>
      <c r="AY1018" s="200">
        <f t="shared" si="53"/>
        <v>0</v>
      </c>
      <c r="AZ1018" s="1255">
        <v>0.04</v>
      </c>
    </row>
    <row r="1019" spans="1:52" ht="13" customHeight="1">
      <c r="A1019" s="14"/>
      <c r="B1019" s="81"/>
      <c r="C1019" s="82"/>
      <c r="D1019" s="1742"/>
      <c r="E1019" s="1743"/>
      <c r="F1019" s="1743"/>
      <c r="G1019" s="1743"/>
      <c r="H1019" s="1743"/>
      <c r="I1019" s="1743"/>
      <c r="J1019" s="1743"/>
      <c r="K1019" s="1743"/>
      <c r="L1019" s="1743"/>
      <c r="M1019" s="1743"/>
      <c r="N1019" s="1743"/>
      <c r="O1019" s="1743"/>
      <c r="P1019" s="1743"/>
      <c r="Q1019" s="1743"/>
      <c r="R1019" s="1743"/>
      <c r="S1019" s="1743"/>
      <c r="T1019" s="1743"/>
      <c r="U1019" s="1743"/>
      <c r="V1019" s="1743"/>
      <c r="W1019" s="1743"/>
      <c r="X1019" s="1743"/>
      <c r="Y1019" s="1743"/>
      <c r="Z1019" s="1743"/>
      <c r="AA1019" s="1743"/>
      <c r="AB1019" s="1743"/>
      <c r="AC1019" s="1743"/>
      <c r="AD1019" s="1743"/>
      <c r="AE1019" s="1744"/>
      <c r="AF1019" s="1845"/>
      <c r="AG1019" s="1846"/>
      <c r="AH1019" s="1846"/>
      <c r="AI1019" s="1847"/>
      <c r="AJ1019" s="1730"/>
      <c r="AK1019" s="1731"/>
      <c r="AL1019" s="1731"/>
      <c r="AM1019" s="1731"/>
      <c r="AN1019" s="1731"/>
      <c r="AO1019" s="1731"/>
      <c r="AP1019" s="1731"/>
      <c r="AQ1019" s="1732"/>
      <c r="AR1019" s="68"/>
      <c r="AS1019" s="68"/>
      <c r="AT1019" s="68"/>
      <c r="AU1019" s="68"/>
      <c r="AV1019" s="68"/>
      <c r="AW1019" s="68"/>
      <c r="AX1019" s="3">
        <v>7</v>
      </c>
      <c r="AY1019" s="200">
        <f t="shared" si="53"/>
        <v>0</v>
      </c>
      <c r="AZ1019" s="1255">
        <v>0.01</v>
      </c>
    </row>
    <row r="1020" spans="1:52" ht="13" customHeight="1">
      <c r="A1020" s="14"/>
      <c r="B1020" s="79"/>
      <c r="C1020" s="80" t="s">
        <v>223</v>
      </c>
      <c r="D1020" s="1812" t="s">
        <v>1292</v>
      </c>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79"/>
      <c r="AG1020" s="1750" t="s">
        <v>669</v>
      </c>
      <c r="AH1020" s="1751"/>
      <c r="AI1020" s="87"/>
      <c r="AJ1020" s="1724">
        <f>ROUND(IF(AND(AG1020="Yes",J1024&lt;&gt;"N/A",AF1023&lt;&gt;""),MIN(AF1023,(0.15*AJ992)),0),0)</f>
        <v>0</v>
      </c>
      <c r="AK1020" s="1725"/>
      <c r="AL1020" s="1725"/>
      <c r="AM1020" s="1725"/>
      <c r="AN1020" s="1725"/>
      <c r="AO1020" s="1725"/>
      <c r="AP1020" s="1725"/>
      <c r="AQ1020" s="1726"/>
      <c r="AR1020" s="68"/>
      <c r="AS1020" s="68"/>
      <c r="AT1020" s="68"/>
      <c r="AU1020" s="68"/>
      <c r="AV1020" s="68"/>
      <c r="AW1020" s="68"/>
      <c r="AX1020" s="3">
        <v>8</v>
      </c>
      <c r="AY1020" s="200">
        <f t="shared" si="53"/>
        <v>0</v>
      </c>
      <c r="AZ1020" s="1255">
        <v>0.01</v>
      </c>
    </row>
    <row r="1021" spans="1:52" ht="13" customHeight="1">
      <c r="A1021" s="14"/>
      <c r="B1021" s="81"/>
      <c r="C1021" s="84"/>
      <c r="D1021" s="1815"/>
      <c r="E1021" s="1816"/>
      <c r="F1021" s="1816"/>
      <c r="G1021" s="1816"/>
      <c r="H1021" s="1816"/>
      <c r="I1021" s="1816"/>
      <c r="J1021" s="1816"/>
      <c r="K1021" s="1816"/>
      <c r="L1021" s="1816"/>
      <c r="M1021" s="1816"/>
      <c r="N1021" s="1816"/>
      <c r="O1021" s="1816"/>
      <c r="P1021" s="1816"/>
      <c r="Q1021" s="1816"/>
      <c r="R1021" s="1816"/>
      <c r="S1021" s="1816"/>
      <c r="T1021" s="1816"/>
      <c r="U1021" s="1816"/>
      <c r="V1021" s="1816"/>
      <c r="W1021" s="1816"/>
      <c r="X1021" s="1816"/>
      <c r="Y1021" s="1816"/>
      <c r="Z1021" s="1816"/>
      <c r="AA1021" s="1816"/>
      <c r="AB1021" s="1816"/>
      <c r="AC1021" s="1816"/>
      <c r="AD1021" s="1816"/>
      <c r="AE1021" s="1817"/>
      <c r="AF1021" s="1829" t="str">
        <f>IF(AG1020="yes","Please Select Type and Enter Amount:","")</f>
        <v/>
      </c>
      <c r="AG1021" s="1830"/>
      <c r="AH1021" s="1830"/>
      <c r="AI1021" s="1831"/>
      <c r="AJ1021" s="1727"/>
      <c r="AK1021" s="1728"/>
      <c r="AL1021" s="1728"/>
      <c r="AM1021" s="1728"/>
      <c r="AN1021" s="1728"/>
      <c r="AO1021" s="1728"/>
      <c r="AP1021" s="1728"/>
      <c r="AQ1021" s="1729"/>
      <c r="AR1021" s="68"/>
      <c r="AS1021" s="68"/>
      <c r="AT1021" s="68"/>
      <c r="AU1021" s="68"/>
      <c r="AV1021" s="68"/>
      <c r="AW1021" s="68"/>
      <c r="AX1021" s="3">
        <v>9</v>
      </c>
      <c r="AY1021" s="200">
        <f t="shared" si="53"/>
        <v>0.01</v>
      </c>
      <c r="AZ1021" s="1255">
        <v>0.01</v>
      </c>
    </row>
    <row r="1022" spans="1:52" ht="13" customHeight="1">
      <c r="A1022" s="14"/>
      <c r="B1022" s="81"/>
      <c r="C1022" s="84"/>
      <c r="D1022" s="1695" t="s">
        <v>1293</v>
      </c>
      <c r="E1022" s="1696"/>
      <c r="F1022" s="1696"/>
      <c r="G1022" s="1696"/>
      <c r="H1022" s="1696"/>
      <c r="I1022" s="1696"/>
      <c r="J1022" s="1696"/>
      <c r="K1022" s="1696"/>
      <c r="L1022" s="1696"/>
      <c r="M1022" s="1696"/>
      <c r="N1022" s="1696"/>
      <c r="O1022" s="1696"/>
      <c r="P1022" s="1696"/>
      <c r="Q1022" s="1696"/>
      <c r="R1022" s="1696"/>
      <c r="S1022" s="1696"/>
      <c r="T1022" s="1696"/>
      <c r="U1022" s="1696"/>
      <c r="V1022" s="1696"/>
      <c r="W1022" s="1696"/>
      <c r="X1022" s="1696"/>
      <c r="Y1022" s="1696"/>
      <c r="Z1022" s="1696"/>
      <c r="AA1022" s="1696"/>
      <c r="AB1022" s="1696"/>
      <c r="AC1022" s="1696"/>
      <c r="AD1022" s="1696"/>
      <c r="AE1022" s="1697"/>
      <c r="AF1022" s="1829"/>
      <c r="AG1022" s="1830"/>
      <c r="AH1022" s="1830"/>
      <c r="AI1022" s="1831"/>
      <c r="AJ1022" s="1727"/>
      <c r="AK1022" s="1728"/>
      <c r="AL1022" s="1728"/>
      <c r="AM1022" s="1728"/>
      <c r="AN1022" s="1728"/>
      <c r="AO1022" s="1728"/>
      <c r="AP1022" s="1728"/>
      <c r="AQ1022" s="1729"/>
      <c r="AR1022" s="68"/>
      <c r="AS1022" s="68"/>
      <c r="AT1022" s="68"/>
      <c r="AU1022" s="68"/>
      <c r="AV1022" s="68"/>
      <c r="AW1022" s="68"/>
      <c r="AX1022" s="3">
        <v>10</v>
      </c>
      <c r="AY1022" s="200">
        <f t="shared" si="53"/>
        <v>0.02</v>
      </c>
      <c r="AZ1022" s="1255">
        <v>0.02</v>
      </c>
    </row>
    <row r="1023" spans="1:52" ht="13" customHeight="1">
      <c r="A1023" s="14"/>
      <c r="B1023" s="81"/>
      <c r="C1023" s="84"/>
      <c r="D1023" s="1695"/>
      <c r="E1023" s="1696"/>
      <c r="F1023" s="1696"/>
      <c r="G1023" s="1696"/>
      <c r="H1023" s="1696"/>
      <c r="I1023" s="1696"/>
      <c r="J1023" s="1696"/>
      <c r="K1023" s="1696"/>
      <c r="L1023" s="1696"/>
      <c r="M1023" s="1696"/>
      <c r="N1023" s="1696"/>
      <c r="O1023" s="1696"/>
      <c r="P1023" s="1696"/>
      <c r="Q1023" s="1696"/>
      <c r="R1023" s="1696"/>
      <c r="S1023" s="1696"/>
      <c r="T1023" s="1696"/>
      <c r="U1023" s="1696"/>
      <c r="V1023" s="1696"/>
      <c r="W1023" s="1696"/>
      <c r="X1023" s="1696"/>
      <c r="Y1023" s="1696"/>
      <c r="Z1023" s="1696"/>
      <c r="AA1023" s="1696"/>
      <c r="AB1023" s="1696"/>
      <c r="AC1023" s="1696"/>
      <c r="AD1023" s="1696"/>
      <c r="AE1023" s="1697"/>
      <c r="AF1023" s="1773"/>
      <c r="AG1023" s="1773"/>
      <c r="AH1023" s="1773"/>
      <c r="AI1023" s="1773"/>
      <c r="AJ1023" s="1727"/>
      <c r="AK1023" s="1728"/>
      <c r="AL1023" s="1728"/>
      <c r="AM1023" s="1728"/>
      <c r="AN1023" s="1728"/>
      <c r="AO1023" s="1728"/>
      <c r="AP1023" s="1728"/>
      <c r="AQ1023" s="1729"/>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821" t="s">
        <v>591</v>
      </c>
      <c r="K1024" s="1822"/>
      <c r="L1024" s="1822"/>
      <c r="M1024" s="1822"/>
      <c r="N1024" s="1822"/>
      <c r="O1024" s="1822"/>
      <c r="P1024" s="1822"/>
      <c r="Q1024" s="1822"/>
      <c r="R1024" s="1822"/>
      <c r="S1024" s="1822"/>
      <c r="T1024" s="1822"/>
      <c r="U1024" s="1822"/>
      <c r="V1024" s="1822"/>
      <c r="W1024" s="1822"/>
      <c r="X1024" s="1822"/>
      <c r="Y1024" s="1822"/>
      <c r="Z1024" s="1822"/>
      <c r="AA1024" s="1822"/>
      <c r="AB1024" s="1822"/>
      <c r="AC1024" s="1822"/>
      <c r="AD1024" s="1822"/>
      <c r="AE1024" s="1823"/>
      <c r="AF1024" s="1773"/>
      <c r="AG1024" s="1773"/>
      <c r="AH1024" s="1773"/>
      <c r="AI1024" s="1773"/>
      <c r="AJ1024" s="1730"/>
      <c r="AK1024" s="1731"/>
      <c r="AL1024" s="1731"/>
      <c r="AM1024" s="1731"/>
      <c r="AN1024" s="1731"/>
      <c r="AO1024" s="1731"/>
      <c r="AP1024" s="1731"/>
      <c r="AQ1024" s="1732"/>
      <c r="AR1024" s="68"/>
      <c r="AS1024" s="68"/>
      <c r="AT1024" s="68"/>
      <c r="AU1024" s="68"/>
      <c r="AV1024" s="68"/>
      <c r="AW1024" s="68"/>
      <c r="AX1024" s="1032" t="s">
        <v>2605</v>
      </c>
      <c r="AY1024" s="201">
        <f>IF(SUM(AY1013:AY1023)&lt;=0.2,SUM(AY1013:AY1023),0.2)</f>
        <v>0.2</v>
      </c>
    </row>
    <row r="1025" spans="1:57" ht="13" customHeight="1">
      <c r="A1025" s="14"/>
      <c r="B1025" s="79"/>
      <c r="C1025" s="80" t="s">
        <v>229</v>
      </c>
      <c r="D1025" s="1764" t="s">
        <v>1294</v>
      </c>
      <c r="E1025" s="1765"/>
      <c r="F1025" s="1765"/>
      <c r="G1025" s="1765"/>
      <c r="H1025" s="1765"/>
      <c r="I1025" s="1765"/>
      <c r="J1025" s="1765"/>
      <c r="K1025" s="1765"/>
      <c r="L1025" s="1765"/>
      <c r="M1025" s="1765"/>
      <c r="N1025" s="1765"/>
      <c r="O1025" s="1765"/>
      <c r="P1025" s="1765"/>
      <c r="Q1025" s="1765"/>
      <c r="R1025" s="1765"/>
      <c r="S1025" s="1765"/>
      <c r="T1025" s="1765"/>
      <c r="U1025" s="1765"/>
      <c r="V1025" s="1765"/>
      <c r="W1025" s="1765"/>
      <c r="X1025" s="1765"/>
      <c r="Y1025" s="1765"/>
      <c r="Z1025" s="1765"/>
      <c r="AA1025" s="1765"/>
      <c r="AB1025" s="1765"/>
      <c r="AC1025" s="1765"/>
      <c r="AD1025" s="1765"/>
      <c r="AE1025" s="1766"/>
      <c r="AF1025" s="79"/>
      <c r="AG1025" s="1750" t="s">
        <v>545</v>
      </c>
      <c r="AH1025" s="1751"/>
      <c r="AI1025" s="87"/>
      <c r="AJ1025" s="1724">
        <f>ROUND(IF(AG1025="Yes",AF1027,0),0)</f>
        <v>2025681</v>
      </c>
      <c r="AK1025" s="1725"/>
      <c r="AL1025" s="1725"/>
      <c r="AM1025" s="1725"/>
      <c r="AN1025" s="1725"/>
      <c r="AO1025" s="1725"/>
      <c r="AP1025" s="1725"/>
      <c r="AQ1025" s="1726"/>
      <c r="AR1025" s="68"/>
      <c r="AS1025" s="68"/>
      <c r="AT1025" s="68"/>
      <c r="AU1025" s="68"/>
      <c r="AV1025" s="68"/>
      <c r="AW1025" s="68"/>
      <c r="AX1025" s="68"/>
      <c r="AY1025" s="68"/>
    </row>
    <row r="1026" spans="1:57" ht="13" customHeight="1">
      <c r="A1026" s="14"/>
      <c r="B1026" s="73"/>
      <c r="C1026" s="74"/>
      <c r="D1026" s="1695" t="s">
        <v>1690</v>
      </c>
      <c r="E1026" s="1696"/>
      <c r="F1026" s="1696"/>
      <c r="G1026" s="1696"/>
      <c r="H1026" s="1696"/>
      <c r="I1026" s="1696"/>
      <c r="J1026" s="1696"/>
      <c r="K1026" s="1696"/>
      <c r="L1026" s="1696"/>
      <c r="M1026" s="1696"/>
      <c r="N1026" s="1696"/>
      <c r="O1026" s="1696"/>
      <c r="P1026" s="1696"/>
      <c r="Q1026" s="1696"/>
      <c r="R1026" s="1696"/>
      <c r="S1026" s="1696"/>
      <c r="T1026" s="1696"/>
      <c r="U1026" s="1696"/>
      <c r="V1026" s="1696"/>
      <c r="W1026" s="1696"/>
      <c r="X1026" s="1696"/>
      <c r="Y1026" s="1696"/>
      <c r="Z1026" s="1696"/>
      <c r="AA1026" s="1696"/>
      <c r="AB1026" s="1696"/>
      <c r="AC1026" s="1696"/>
      <c r="AD1026" s="1696"/>
      <c r="AE1026" s="1697"/>
      <c r="AF1026" s="1818" t="str">
        <f>IF(AG1025="yes","Enter Amount:","")</f>
        <v>Enter Amount:</v>
      </c>
      <c r="AG1026" s="1819"/>
      <c r="AH1026" s="1819"/>
      <c r="AI1026" s="1820"/>
      <c r="AJ1026" s="1727"/>
      <c r="AK1026" s="1728"/>
      <c r="AL1026" s="1728"/>
      <c r="AM1026" s="1728"/>
      <c r="AN1026" s="1728"/>
      <c r="AO1026" s="1728"/>
      <c r="AP1026" s="1728"/>
      <c r="AQ1026" s="1729"/>
      <c r="AR1026" s="68"/>
      <c r="AS1026" s="68"/>
      <c r="AT1026" s="68"/>
      <c r="AU1026" s="68"/>
      <c r="AV1026" s="68"/>
      <c r="AW1026" s="68"/>
      <c r="AX1026" s="68"/>
      <c r="AY1026" s="68"/>
    </row>
    <row r="1027" spans="1:57" ht="13" customHeight="1">
      <c r="A1027" s="14"/>
      <c r="B1027" s="73"/>
      <c r="C1027" s="74"/>
      <c r="D1027" s="1695"/>
      <c r="E1027" s="1696"/>
      <c r="F1027" s="1696"/>
      <c r="G1027" s="1696"/>
      <c r="H1027" s="1696"/>
      <c r="I1027" s="1696"/>
      <c r="J1027" s="1696"/>
      <c r="K1027" s="1696"/>
      <c r="L1027" s="1696"/>
      <c r="M1027" s="1696"/>
      <c r="N1027" s="1696"/>
      <c r="O1027" s="1696"/>
      <c r="P1027" s="1696"/>
      <c r="Q1027" s="1696"/>
      <c r="R1027" s="1696"/>
      <c r="S1027" s="1696"/>
      <c r="T1027" s="1696"/>
      <c r="U1027" s="1696"/>
      <c r="V1027" s="1696"/>
      <c r="W1027" s="1696"/>
      <c r="X1027" s="1696"/>
      <c r="Y1027" s="1696"/>
      <c r="Z1027" s="1696"/>
      <c r="AA1027" s="1696"/>
      <c r="AB1027" s="1696"/>
      <c r="AC1027" s="1696"/>
      <c r="AD1027" s="1696"/>
      <c r="AE1027" s="1697"/>
      <c r="AF1027" s="1773">
        <v>2025681</v>
      </c>
      <c r="AG1027" s="1773"/>
      <c r="AH1027" s="1773"/>
      <c r="AI1027" s="1773"/>
      <c r="AJ1027" s="1727"/>
      <c r="AK1027" s="1728"/>
      <c r="AL1027" s="1728"/>
      <c r="AM1027" s="1728"/>
      <c r="AN1027" s="1728"/>
      <c r="AO1027" s="1728"/>
      <c r="AP1027" s="1728"/>
      <c r="AQ1027" s="172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2"/>
      <c r="E1028" s="1743"/>
      <c r="F1028" s="1743"/>
      <c r="G1028" s="1743"/>
      <c r="H1028" s="1743"/>
      <c r="I1028" s="1743"/>
      <c r="J1028" s="1743"/>
      <c r="K1028" s="1743"/>
      <c r="L1028" s="1743"/>
      <c r="M1028" s="1743"/>
      <c r="N1028" s="1743"/>
      <c r="O1028" s="1743"/>
      <c r="P1028" s="1743"/>
      <c r="Q1028" s="1743"/>
      <c r="R1028" s="1743"/>
      <c r="S1028" s="1743"/>
      <c r="T1028" s="1743"/>
      <c r="U1028" s="1743"/>
      <c r="V1028" s="1743"/>
      <c r="W1028" s="1743"/>
      <c r="X1028" s="1743"/>
      <c r="Y1028" s="1743"/>
      <c r="Z1028" s="1743"/>
      <c r="AA1028" s="1743"/>
      <c r="AB1028" s="1743"/>
      <c r="AC1028" s="1743"/>
      <c r="AD1028" s="1743"/>
      <c r="AE1028" s="1744"/>
      <c r="AF1028" s="1773"/>
      <c r="AG1028" s="1773"/>
      <c r="AH1028" s="1773"/>
      <c r="AI1028" s="1773"/>
      <c r="AJ1028" s="1730"/>
      <c r="AK1028" s="1731"/>
      <c r="AL1028" s="1731"/>
      <c r="AM1028" s="1731"/>
      <c r="AN1028" s="1731"/>
      <c r="AO1028" s="1731"/>
      <c r="AP1028" s="1731"/>
      <c r="AQ1028" s="1732"/>
      <c r="AR1028" s="68"/>
      <c r="AS1028" s="68"/>
      <c r="AT1028" s="68"/>
      <c r="AU1028" s="68"/>
      <c r="AV1028" s="68"/>
      <c r="AW1028" s="68"/>
      <c r="AX1028" s="68"/>
      <c r="AY1028" s="68"/>
    </row>
    <row r="1029" spans="1:57" ht="13" customHeight="1">
      <c r="A1029" s="14"/>
      <c r="B1029" s="79"/>
      <c r="C1029" s="80" t="s">
        <v>234</v>
      </c>
      <c r="D1029" s="1733" t="s">
        <v>1295</v>
      </c>
      <c r="E1029" s="1734"/>
      <c r="F1029" s="1734"/>
      <c r="G1029" s="1734"/>
      <c r="H1029" s="1734"/>
      <c r="I1029" s="1734"/>
      <c r="J1029" s="1734"/>
      <c r="K1029" s="1734"/>
      <c r="L1029" s="1734"/>
      <c r="M1029" s="1734"/>
      <c r="N1029" s="1734"/>
      <c r="O1029" s="1734"/>
      <c r="P1029" s="1734"/>
      <c r="Q1029" s="1734"/>
      <c r="R1029" s="1734"/>
      <c r="S1029" s="1734"/>
      <c r="T1029" s="1734"/>
      <c r="U1029" s="1734"/>
      <c r="V1029" s="1734"/>
      <c r="W1029" s="1734"/>
      <c r="X1029" s="1734"/>
      <c r="Y1029" s="1734"/>
      <c r="Z1029" s="1734"/>
      <c r="AA1029" s="1734"/>
      <c r="AB1029" s="1734"/>
      <c r="AC1029" s="1734"/>
      <c r="AD1029" s="1734"/>
      <c r="AE1029" s="1735"/>
      <c r="AF1029" s="79"/>
      <c r="AG1029" s="1750" t="s">
        <v>669</v>
      </c>
      <c r="AH1029" s="1751"/>
      <c r="AI1029" s="87"/>
      <c r="AJ1029" s="1724">
        <f>ROUND(IF(AG1029="yes",(AJ992*0.1),0),0)</f>
        <v>0</v>
      </c>
      <c r="AK1029" s="1725"/>
      <c r="AL1029" s="1725"/>
      <c r="AM1029" s="1725"/>
      <c r="AN1029" s="1725"/>
      <c r="AO1029" s="1725"/>
      <c r="AP1029" s="1725"/>
      <c r="AQ1029" s="1726"/>
      <c r="AR1029" s="68"/>
      <c r="AS1029" s="68"/>
      <c r="AT1029" s="68"/>
      <c r="AU1029" s="68"/>
      <c r="AV1029" s="68"/>
      <c r="AW1029" s="68"/>
      <c r="AX1029" s="68"/>
      <c r="AY1029" s="68"/>
    </row>
    <row r="1030" spans="1:57" ht="13" customHeight="1">
      <c r="A1030" s="14"/>
      <c r="B1030" s="73"/>
      <c r="C1030" s="74"/>
      <c r="D1030" s="1695" t="s">
        <v>1296</v>
      </c>
      <c r="E1030" s="1696"/>
      <c r="F1030" s="1696"/>
      <c r="G1030" s="1696"/>
      <c r="H1030" s="1696"/>
      <c r="I1030" s="1696"/>
      <c r="J1030" s="1696"/>
      <c r="K1030" s="1696"/>
      <c r="L1030" s="1696"/>
      <c r="M1030" s="1696"/>
      <c r="N1030" s="1696"/>
      <c r="O1030" s="1696"/>
      <c r="P1030" s="1696"/>
      <c r="Q1030" s="1696"/>
      <c r="R1030" s="1696"/>
      <c r="S1030" s="1696"/>
      <c r="T1030" s="1696"/>
      <c r="U1030" s="1696"/>
      <c r="V1030" s="1696"/>
      <c r="W1030" s="1696"/>
      <c r="X1030" s="1696"/>
      <c r="Y1030" s="1696"/>
      <c r="Z1030" s="1696"/>
      <c r="AA1030" s="1696"/>
      <c r="AB1030" s="1696"/>
      <c r="AC1030" s="1696"/>
      <c r="AD1030" s="1696"/>
      <c r="AE1030" s="1697"/>
      <c r="AF1030" s="73"/>
      <c r="AG1030" s="14"/>
      <c r="AH1030" s="14"/>
      <c r="AI1030" s="83"/>
      <c r="AJ1030" s="1727"/>
      <c r="AK1030" s="1728"/>
      <c r="AL1030" s="1728"/>
      <c r="AM1030" s="1728"/>
      <c r="AN1030" s="1728"/>
      <c r="AO1030" s="1728"/>
      <c r="AP1030" s="1728"/>
      <c r="AQ1030" s="1729"/>
      <c r="AR1030" s="68"/>
      <c r="AS1030" s="68"/>
      <c r="AT1030" s="68"/>
      <c r="AU1030" s="68"/>
      <c r="AV1030" s="68"/>
      <c r="AW1030" s="68"/>
      <c r="AX1030" s="68"/>
      <c r="AY1030" s="68"/>
    </row>
    <row r="1031" spans="1:57" ht="13" customHeight="1">
      <c r="A1031" s="14"/>
      <c r="B1031" s="77"/>
      <c r="C1031" s="74"/>
      <c r="D1031" s="1742"/>
      <c r="E1031" s="1743"/>
      <c r="F1031" s="1743"/>
      <c r="G1031" s="1743"/>
      <c r="H1031" s="1743"/>
      <c r="I1031" s="1743"/>
      <c r="J1031" s="1743"/>
      <c r="K1031" s="1743"/>
      <c r="L1031" s="1743"/>
      <c r="M1031" s="1743"/>
      <c r="N1031" s="1743"/>
      <c r="O1031" s="1743"/>
      <c r="P1031" s="1743"/>
      <c r="Q1031" s="1743"/>
      <c r="R1031" s="1743"/>
      <c r="S1031" s="1743"/>
      <c r="T1031" s="1743"/>
      <c r="U1031" s="1743"/>
      <c r="V1031" s="1743"/>
      <c r="W1031" s="1743"/>
      <c r="X1031" s="1743"/>
      <c r="Y1031" s="1743"/>
      <c r="Z1031" s="1743"/>
      <c r="AA1031" s="1743"/>
      <c r="AB1031" s="1743"/>
      <c r="AC1031" s="1743"/>
      <c r="AD1031" s="1743"/>
      <c r="AE1031" s="1744"/>
      <c r="AF1031" s="73"/>
      <c r="AG1031" s="14"/>
      <c r="AH1031" s="14"/>
      <c r="AI1031" s="83"/>
      <c r="AJ1031" s="1730"/>
      <c r="AK1031" s="1731"/>
      <c r="AL1031" s="1731"/>
      <c r="AM1031" s="1731"/>
      <c r="AN1031" s="1731"/>
      <c r="AO1031" s="1731"/>
      <c r="AP1031" s="1731"/>
      <c r="AQ1031" s="1732"/>
      <c r="AR1031" s="68"/>
      <c r="AS1031" s="68"/>
      <c r="AT1031" s="68"/>
      <c r="AU1031" s="68"/>
      <c r="AV1031" s="68"/>
      <c r="AW1031" s="68"/>
      <c r="AX1031" s="68"/>
      <c r="AY1031" s="68"/>
    </row>
    <row r="1032" spans="1:57" ht="13" customHeight="1">
      <c r="A1032" s="14"/>
      <c r="B1032" s="73"/>
      <c r="C1032" s="339" t="s">
        <v>687</v>
      </c>
      <c r="D1032" s="1764" t="s">
        <v>1686</v>
      </c>
      <c r="E1032" s="1765"/>
      <c r="F1032" s="1765"/>
      <c r="G1032" s="1765"/>
      <c r="H1032" s="1765"/>
      <c r="I1032" s="1765"/>
      <c r="J1032" s="1765"/>
      <c r="K1032" s="1765"/>
      <c r="L1032" s="1765"/>
      <c r="M1032" s="1765"/>
      <c r="N1032" s="1765"/>
      <c r="O1032" s="1765"/>
      <c r="P1032" s="1765"/>
      <c r="Q1032" s="1765"/>
      <c r="R1032" s="1765"/>
      <c r="S1032" s="1765"/>
      <c r="T1032" s="1765"/>
      <c r="U1032" s="1765"/>
      <c r="V1032" s="1765"/>
      <c r="W1032" s="1765"/>
      <c r="X1032" s="1765"/>
      <c r="Y1032" s="1765"/>
      <c r="Z1032" s="1765"/>
      <c r="AA1032" s="1765"/>
      <c r="AB1032" s="1765"/>
      <c r="AC1032" s="1765"/>
      <c r="AD1032" s="1765"/>
      <c r="AE1032" s="1766"/>
      <c r="AF1032" s="79"/>
      <c r="AG1032" s="1750" t="s">
        <v>669</v>
      </c>
      <c r="AH1032" s="1751"/>
      <c r="AI1032" s="87"/>
      <c r="AJ1032" s="1724">
        <f>ROUND(IF(AG1032="yes",(AJ992*0.15),0),0)</f>
        <v>0</v>
      </c>
      <c r="AK1032" s="1725"/>
      <c r="AL1032" s="1725"/>
      <c r="AM1032" s="1725"/>
      <c r="AN1032" s="1725"/>
      <c r="AO1032" s="1725"/>
      <c r="AP1032" s="1725"/>
      <c r="AQ1032" s="1726"/>
      <c r="AR1032" s="68"/>
      <c r="AS1032" s="68"/>
      <c r="AT1032" s="68"/>
      <c r="AU1032" s="68"/>
      <c r="AV1032" s="68"/>
      <c r="AW1032" s="68"/>
      <c r="AX1032" s="68"/>
      <c r="AY1032" s="68"/>
    </row>
    <row r="1033" spans="1:57" ht="13" customHeight="1">
      <c r="A1033" s="14"/>
      <c r="B1033" s="73"/>
      <c r="C1033" s="74"/>
      <c r="D1033" s="1801"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2"/>
      <c r="AF1033" s="915"/>
      <c r="AG1033" s="916"/>
      <c r="AH1033" s="916"/>
      <c r="AI1033" s="917"/>
      <c r="AJ1033" s="1727"/>
      <c r="AK1033" s="1728"/>
      <c r="AL1033" s="1728"/>
      <c r="AM1033" s="1728"/>
      <c r="AN1033" s="1728"/>
      <c r="AO1033" s="1728"/>
      <c r="AP1033" s="1728"/>
      <c r="AQ1033" s="1729"/>
      <c r="AR1033" s="68"/>
      <c r="AS1033" s="68"/>
      <c r="AT1033" s="68"/>
      <c r="AU1033" s="68"/>
      <c r="AV1033" s="68"/>
      <c r="AW1033" s="68"/>
      <c r="AX1033" s="68"/>
      <c r="AY1033" s="68"/>
    </row>
    <row r="1034" spans="1:57" ht="13" customHeight="1">
      <c r="A1034" s="14"/>
      <c r="B1034" s="73"/>
      <c r="C1034" s="74"/>
      <c r="D1034" s="1801"/>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2"/>
      <c r="AF1034" s="915"/>
      <c r="AG1034" s="916"/>
      <c r="AH1034" s="916"/>
      <c r="AI1034" s="917"/>
      <c r="AJ1034" s="1727"/>
      <c r="AK1034" s="1728"/>
      <c r="AL1034" s="1728"/>
      <c r="AM1034" s="1728"/>
      <c r="AN1034" s="1728"/>
      <c r="AO1034" s="1728"/>
      <c r="AP1034" s="1728"/>
      <c r="AQ1034" s="1729"/>
      <c r="AR1034" s="68"/>
      <c r="AS1034" s="68"/>
      <c r="AT1034" s="68"/>
      <c r="AU1034" s="68"/>
      <c r="AV1034" s="68"/>
      <c r="AW1034" s="68"/>
      <c r="AX1034" s="68"/>
      <c r="AY1034" s="68"/>
    </row>
    <row r="1035" spans="1:57" ht="13" customHeight="1">
      <c r="A1035" s="14"/>
      <c r="B1035" s="73"/>
      <c r="C1035" s="74"/>
      <c r="D1035" s="1803"/>
      <c r="E1035" s="1804"/>
      <c r="F1035" s="1804"/>
      <c r="G1035" s="1804"/>
      <c r="H1035" s="1804"/>
      <c r="I1035" s="1804"/>
      <c r="J1035" s="1804"/>
      <c r="K1035" s="1804"/>
      <c r="L1035" s="1804"/>
      <c r="M1035" s="1804"/>
      <c r="N1035" s="1804"/>
      <c r="O1035" s="1804"/>
      <c r="P1035" s="1804"/>
      <c r="Q1035" s="1804"/>
      <c r="R1035" s="1804"/>
      <c r="S1035" s="1804"/>
      <c r="T1035" s="1804"/>
      <c r="U1035" s="1804"/>
      <c r="V1035" s="1804"/>
      <c r="W1035" s="1804"/>
      <c r="X1035" s="1804"/>
      <c r="Y1035" s="1804"/>
      <c r="Z1035" s="1804"/>
      <c r="AA1035" s="1804"/>
      <c r="AB1035" s="1804"/>
      <c r="AC1035" s="1804"/>
      <c r="AD1035" s="1804"/>
      <c r="AE1035" s="1805"/>
      <c r="AF1035" s="918"/>
      <c r="AG1035" s="919"/>
      <c r="AH1035" s="919"/>
      <c r="AI1035" s="920"/>
      <c r="AJ1035" s="1730"/>
      <c r="AK1035" s="1731"/>
      <c r="AL1035" s="1731"/>
      <c r="AM1035" s="1731"/>
      <c r="AN1035" s="1731"/>
      <c r="AO1035" s="1731"/>
      <c r="AP1035" s="1731"/>
      <c r="AQ1035" s="1732"/>
      <c r="AR1035" s="68"/>
      <c r="AS1035" s="68"/>
      <c r="AT1035" s="68"/>
      <c r="AU1035" s="68"/>
      <c r="AV1035" s="68"/>
      <c r="AW1035" s="68"/>
      <c r="AX1035" s="68"/>
      <c r="AY1035" s="68"/>
    </row>
    <row r="1036" spans="1:57" ht="13" customHeight="1">
      <c r="A1036" s="14"/>
      <c r="B1036" s="73"/>
      <c r="C1036" s="339" t="s">
        <v>687</v>
      </c>
      <c r="D1036" s="1733" t="s">
        <v>1688</v>
      </c>
      <c r="E1036" s="1734"/>
      <c r="F1036" s="1734"/>
      <c r="G1036" s="1734"/>
      <c r="H1036" s="1734"/>
      <c r="I1036" s="1734"/>
      <c r="J1036" s="1734"/>
      <c r="K1036" s="1734"/>
      <c r="L1036" s="1734"/>
      <c r="M1036" s="1734"/>
      <c r="N1036" s="1734"/>
      <c r="O1036" s="1734"/>
      <c r="P1036" s="1734"/>
      <c r="Q1036" s="1734"/>
      <c r="R1036" s="1734"/>
      <c r="S1036" s="1734"/>
      <c r="T1036" s="1734"/>
      <c r="U1036" s="1734"/>
      <c r="V1036" s="1734"/>
      <c r="W1036" s="1734"/>
      <c r="X1036" s="1734"/>
      <c r="Y1036" s="1734"/>
      <c r="Z1036" s="1734"/>
      <c r="AA1036" s="1734"/>
      <c r="AB1036" s="1734"/>
      <c r="AC1036" s="1734"/>
      <c r="AD1036" s="1734"/>
      <c r="AE1036" s="1735"/>
      <c r="AF1036" s="73"/>
      <c r="AG1036" s="1752" t="s">
        <v>669</v>
      </c>
      <c r="AH1036" s="1753"/>
      <c r="AI1036" s="83"/>
      <c r="AJ1036" s="1724">
        <f>ROUND(IF(AND(AG1036="yes",AJ1032=0),(AJ992*0.1),0),0)</f>
        <v>0</v>
      </c>
      <c r="AK1036" s="1725"/>
      <c r="AL1036" s="1725"/>
      <c r="AM1036" s="1725"/>
      <c r="AN1036" s="1725"/>
      <c r="AO1036" s="1725"/>
      <c r="AP1036" s="1725"/>
      <c r="AQ1036" s="1726"/>
      <c r="AR1036" s="68"/>
      <c r="AS1036" s="68"/>
      <c r="AT1036" s="68"/>
      <c r="AU1036" s="68"/>
      <c r="AV1036" s="68"/>
      <c r="AW1036" s="68"/>
      <c r="AX1036" s="68"/>
      <c r="AY1036" s="68"/>
    </row>
    <row r="1037" spans="1:57" ht="13" customHeight="1">
      <c r="A1037" s="14"/>
      <c r="B1037" s="73"/>
      <c r="C1037" s="74"/>
      <c r="D1037" s="1801"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2"/>
      <c r="AF1037" s="73"/>
      <c r="AG1037" s="14"/>
      <c r="AH1037" s="14"/>
      <c r="AI1037" s="83"/>
      <c r="AJ1037" s="1727"/>
      <c r="AK1037" s="1728"/>
      <c r="AL1037" s="1728"/>
      <c r="AM1037" s="1728"/>
      <c r="AN1037" s="1728"/>
      <c r="AO1037" s="1728"/>
      <c r="AP1037" s="1728"/>
      <c r="AQ1037" s="1729"/>
      <c r="AR1037" s="68"/>
      <c r="AS1037" s="68"/>
      <c r="AT1037" s="68"/>
      <c r="AU1037" s="68"/>
      <c r="AV1037" s="68"/>
      <c r="AW1037" s="68"/>
      <c r="AX1037" s="68"/>
      <c r="AY1037" s="68"/>
    </row>
    <row r="1038" spans="1:57" ht="13" customHeight="1">
      <c r="A1038" s="14"/>
      <c r="B1038" s="73"/>
      <c r="C1038" s="74"/>
      <c r="D1038" s="1801"/>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2"/>
      <c r="AF1038" s="73"/>
      <c r="AG1038" s="14"/>
      <c r="AH1038" s="14"/>
      <c r="AI1038" s="83"/>
      <c r="AJ1038" s="1727"/>
      <c r="AK1038" s="1728"/>
      <c r="AL1038" s="1728"/>
      <c r="AM1038" s="1728"/>
      <c r="AN1038" s="1728"/>
      <c r="AO1038" s="1728"/>
      <c r="AP1038" s="1728"/>
      <c r="AQ1038" s="1729"/>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801"/>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2"/>
      <c r="AF1039" s="73"/>
      <c r="AG1039" s="14"/>
      <c r="AH1039" s="14"/>
      <c r="AI1039" s="83"/>
      <c r="AJ1039" s="1727"/>
      <c r="AK1039" s="1728"/>
      <c r="AL1039" s="1728"/>
      <c r="AM1039" s="1728"/>
      <c r="AN1039" s="1728"/>
      <c r="AO1039" s="1728"/>
      <c r="AP1039" s="1728"/>
      <c r="AQ1039" s="1729"/>
      <c r="AR1039" s="68"/>
      <c r="AS1039" s="68"/>
      <c r="AT1039" s="68"/>
      <c r="AU1039" s="68"/>
      <c r="AV1039" s="68"/>
      <c r="AW1039" s="68"/>
      <c r="AX1039" s="68"/>
      <c r="AY1039" s="68"/>
      <c r="BA1039">
        <f>IFERROR((($CI$753+$CM$753)/$AG$440),0)</f>
        <v>1</v>
      </c>
      <c r="BB1039" s="3" t="s">
        <v>2492</v>
      </c>
    </row>
    <row r="1040" spans="1:57" ht="13" customHeight="1">
      <c r="A1040" s="14"/>
      <c r="B1040" s="73"/>
      <c r="C1040" s="74"/>
      <c r="D1040" s="1803"/>
      <c r="E1040" s="1804"/>
      <c r="F1040" s="1804"/>
      <c r="G1040" s="1804"/>
      <c r="H1040" s="1804"/>
      <c r="I1040" s="1804"/>
      <c r="J1040" s="1804"/>
      <c r="K1040" s="1804"/>
      <c r="L1040" s="1804"/>
      <c r="M1040" s="1804"/>
      <c r="N1040" s="1804"/>
      <c r="O1040" s="1804"/>
      <c r="P1040" s="1804"/>
      <c r="Q1040" s="1804"/>
      <c r="R1040" s="1804"/>
      <c r="S1040" s="1804"/>
      <c r="T1040" s="1804"/>
      <c r="U1040" s="1804"/>
      <c r="V1040" s="1804"/>
      <c r="W1040" s="1804"/>
      <c r="X1040" s="1804"/>
      <c r="Y1040" s="1804"/>
      <c r="Z1040" s="1804"/>
      <c r="AA1040" s="1804"/>
      <c r="AB1040" s="1804"/>
      <c r="AC1040" s="1804"/>
      <c r="AD1040" s="1804"/>
      <c r="AE1040" s="1805"/>
      <c r="AF1040" s="73"/>
      <c r="AG1040" s="14"/>
      <c r="AH1040" s="14"/>
      <c r="AI1040" s="83"/>
      <c r="AJ1040" s="1727"/>
      <c r="AK1040" s="1728"/>
      <c r="AL1040" s="1728"/>
      <c r="AM1040" s="1728"/>
      <c r="AN1040" s="1728"/>
      <c r="AO1040" s="1728"/>
      <c r="AP1040" s="1728"/>
      <c r="AQ1040" s="1729"/>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64" t="s">
        <v>1297</v>
      </c>
      <c r="E1041" s="1765"/>
      <c r="F1041" s="1765"/>
      <c r="G1041" s="1765"/>
      <c r="H1041" s="1765"/>
      <c r="I1041" s="1765"/>
      <c r="J1041" s="1765"/>
      <c r="K1041" s="1765"/>
      <c r="L1041" s="1765"/>
      <c r="M1041" s="1765"/>
      <c r="N1041" s="1765"/>
      <c r="O1041" s="1765"/>
      <c r="P1041" s="1765"/>
      <c r="Q1041" s="1765"/>
      <c r="R1041" s="1765"/>
      <c r="S1041" s="1765"/>
      <c r="T1041" s="1765"/>
      <c r="U1041" s="1765"/>
      <c r="V1041" s="1765"/>
      <c r="W1041" s="1765"/>
      <c r="X1041" s="1765"/>
      <c r="Y1041" s="1765"/>
      <c r="Z1041" s="1765"/>
      <c r="AA1041" s="1765"/>
      <c r="AB1041" s="1765"/>
      <c r="AC1041" s="1765"/>
      <c r="AD1041" s="1765"/>
      <c r="AE1041" s="1766"/>
      <c r="AF1041" s="79"/>
      <c r="AG1041" s="1750" t="s">
        <v>669</v>
      </c>
      <c r="AH1041" s="1751"/>
      <c r="AI1041" s="87"/>
      <c r="AJ1041" s="1724">
        <f>ROUND(IF(AG1041="yes",(AJ992*0.1),0),0)</f>
        <v>0</v>
      </c>
      <c r="AK1041" s="1725"/>
      <c r="AL1041" s="1725"/>
      <c r="AM1041" s="1725"/>
      <c r="AN1041" s="1725"/>
      <c r="AO1041" s="1725"/>
      <c r="AP1041" s="1725"/>
      <c r="AQ1041" s="1726"/>
      <c r="AR1041" s="68"/>
      <c r="AS1041" s="68"/>
      <c r="AT1041" s="68"/>
      <c r="AU1041" s="68"/>
      <c r="AV1041" s="68"/>
      <c r="AW1041" s="68"/>
      <c r="AX1041" s="68"/>
      <c r="AY1041" s="68"/>
      <c r="BA1041">
        <f>Q212</f>
        <v>0</v>
      </c>
      <c r="BB1041" s="3" t="s">
        <v>2490</v>
      </c>
    </row>
    <row r="1042" spans="1:56" ht="13" customHeight="1">
      <c r="A1042" s="14"/>
      <c r="B1042" s="73"/>
      <c r="C1042" s="74"/>
      <c r="D1042" s="1695" t="s">
        <v>2144</v>
      </c>
      <c r="E1042" s="1696"/>
      <c r="F1042" s="1696"/>
      <c r="G1042" s="1696"/>
      <c r="H1042" s="1696"/>
      <c r="I1042" s="1696"/>
      <c r="J1042" s="1696"/>
      <c r="K1042" s="1696"/>
      <c r="L1042" s="1696"/>
      <c r="M1042" s="1696"/>
      <c r="N1042" s="1696"/>
      <c r="O1042" s="1696"/>
      <c r="P1042" s="1696"/>
      <c r="Q1042" s="1696"/>
      <c r="R1042" s="1696"/>
      <c r="S1042" s="1696"/>
      <c r="T1042" s="1696"/>
      <c r="U1042" s="1696"/>
      <c r="V1042" s="1696"/>
      <c r="W1042" s="1696"/>
      <c r="X1042" s="1696"/>
      <c r="Y1042" s="1696"/>
      <c r="Z1042" s="1696"/>
      <c r="AA1042" s="1696"/>
      <c r="AB1042" s="1696"/>
      <c r="AC1042" s="1696"/>
      <c r="AD1042" s="1696"/>
      <c r="AE1042" s="1697"/>
      <c r="AF1042" s="73"/>
      <c r="AG1042" s="14"/>
      <c r="AH1042" s="14"/>
      <c r="AI1042" s="83"/>
      <c r="AJ1042" s="1727"/>
      <c r="AK1042" s="1728"/>
      <c r="AL1042" s="1728"/>
      <c r="AM1042" s="1728"/>
      <c r="AN1042" s="1728"/>
      <c r="AO1042" s="1728"/>
      <c r="AP1042" s="1728"/>
      <c r="AQ1042" s="1729"/>
      <c r="AR1042" s="68"/>
      <c r="AS1042" s="68"/>
      <c r="AT1042" s="68"/>
      <c r="AU1042" s="68"/>
      <c r="AV1042" s="68"/>
      <c r="AW1042" s="68"/>
      <c r="AX1042" s="68"/>
      <c r="AY1042" s="68"/>
      <c r="BA1042" s="1184">
        <f>T212</f>
        <v>0</v>
      </c>
      <c r="BB1042" s="3" t="s">
        <v>2491</v>
      </c>
    </row>
    <row r="1043" spans="1:56" ht="13" customHeight="1">
      <c r="A1043" s="14"/>
      <c r="B1043" s="73"/>
      <c r="C1043" s="74"/>
      <c r="D1043" s="1695"/>
      <c r="E1043" s="1696"/>
      <c r="F1043" s="1696"/>
      <c r="G1043" s="1696"/>
      <c r="H1043" s="1696"/>
      <c r="I1043" s="1696"/>
      <c r="J1043" s="1696"/>
      <c r="K1043" s="1696"/>
      <c r="L1043" s="1696"/>
      <c r="M1043" s="1696"/>
      <c r="N1043" s="1696"/>
      <c r="O1043" s="1696"/>
      <c r="P1043" s="1696"/>
      <c r="Q1043" s="1696"/>
      <c r="R1043" s="1696"/>
      <c r="S1043" s="1696"/>
      <c r="T1043" s="1696"/>
      <c r="U1043" s="1696"/>
      <c r="V1043" s="1696"/>
      <c r="W1043" s="1696"/>
      <c r="X1043" s="1696"/>
      <c r="Y1043" s="1696"/>
      <c r="Z1043" s="1696"/>
      <c r="AA1043" s="1696"/>
      <c r="AB1043" s="1696"/>
      <c r="AC1043" s="1696"/>
      <c r="AD1043" s="1696"/>
      <c r="AE1043" s="1697"/>
      <c r="AF1043" s="73"/>
      <c r="AG1043" s="14"/>
      <c r="AH1043" s="14"/>
      <c r="AI1043" s="83"/>
      <c r="AJ1043" s="1727"/>
      <c r="AK1043" s="1728"/>
      <c r="AL1043" s="1728"/>
      <c r="AM1043" s="1728"/>
      <c r="AN1043" s="1728"/>
      <c r="AO1043" s="1728"/>
      <c r="AP1043" s="1728"/>
      <c r="AQ1043" s="1729"/>
      <c r="AR1043" s="68"/>
      <c r="AS1043" s="68"/>
      <c r="AT1043" s="68"/>
      <c r="AU1043" s="68"/>
      <c r="AV1043" s="68"/>
      <c r="AW1043" s="68"/>
      <c r="AX1043" s="68"/>
      <c r="AY1043" s="68"/>
    </row>
    <row r="1044" spans="1:56" ht="13" customHeight="1">
      <c r="A1044" s="14"/>
      <c r="B1044" s="73"/>
      <c r="C1044" s="74"/>
      <c r="D1044" s="1742"/>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4"/>
      <c r="AF1044" s="73"/>
      <c r="AG1044" s="14"/>
      <c r="AH1044" s="14"/>
      <c r="AI1044" s="83"/>
      <c r="AJ1044" s="1730"/>
      <c r="AK1044" s="1731"/>
      <c r="AL1044" s="1731"/>
      <c r="AM1044" s="1731"/>
      <c r="AN1044" s="1731"/>
      <c r="AO1044" s="1731"/>
      <c r="AP1044" s="1731"/>
      <c r="AQ1044" s="1732"/>
      <c r="AR1044" s="68"/>
      <c r="AS1044" s="68"/>
      <c r="AT1044" s="68"/>
      <c r="AU1044" s="68"/>
      <c r="AV1044" s="68"/>
      <c r="AW1044" s="68"/>
      <c r="AX1044" s="68"/>
      <c r="AY1044" s="68"/>
    </row>
    <row r="1045" spans="1:56" ht="13" customHeight="1">
      <c r="A1045" s="14"/>
      <c r="B1045" s="79"/>
      <c r="C1045" s="131" t="s">
        <v>1684</v>
      </c>
      <c r="D1045" s="1733" t="s">
        <v>1864</v>
      </c>
      <c r="E1045" s="1734"/>
      <c r="F1045" s="1734"/>
      <c r="G1045" s="1734"/>
      <c r="H1045" s="1734"/>
      <c r="I1045" s="1734"/>
      <c r="J1045" s="1734"/>
      <c r="K1045" s="1734"/>
      <c r="L1045" s="1734"/>
      <c r="M1045" s="1734"/>
      <c r="N1045" s="1734"/>
      <c r="O1045" s="1734"/>
      <c r="P1045" s="1734"/>
      <c r="Q1045" s="1734"/>
      <c r="R1045" s="1734"/>
      <c r="S1045" s="1734"/>
      <c r="T1045" s="1734"/>
      <c r="U1045" s="1734"/>
      <c r="V1045" s="1734"/>
      <c r="W1045" s="1734"/>
      <c r="X1045" s="1734"/>
      <c r="Y1045" s="1734"/>
      <c r="Z1045" s="1734"/>
      <c r="AA1045" s="1734"/>
      <c r="AB1045" s="1734"/>
      <c r="AC1045" s="1734"/>
      <c r="AD1045" s="1734"/>
      <c r="AE1045" s="1735"/>
      <c r="AF1045" s="79"/>
      <c r="AG1045" s="1748" t="str">
        <f>IF(X1048&gt;0,"Yes","No")</f>
        <v>Yes</v>
      </c>
      <c r="AH1045" s="1749"/>
      <c r="AI1045" s="87"/>
      <c r="AJ1045" s="1724">
        <f>IF((X1048=0),0,AY1005*AJ992)</f>
        <v>27193983.359999999</v>
      </c>
      <c r="AK1045" s="1725"/>
      <c r="AL1045" s="1725"/>
      <c r="AM1045" s="1725"/>
      <c r="AN1045" s="1725"/>
      <c r="AO1045" s="1725"/>
      <c r="AP1045" s="1725"/>
      <c r="AQ1045" s="172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695" t="s">
        <v>1299</v>
      </c>
      <c r="E1046" s="1696"/>
      <c r="F1046" s="1696"/>
      <c r="G1046" s="1696"/>
      <c r="H1046" s="1696"/>
      <c r="I1046" s="1696"/>
      <c r="J1046" s="1696"/>
      <c r="K1046" s="1696"/>
      <c r="L1046" s="1696"/>
      <c r="M1046" s="1696"/>
      <c r="N1046" s="1696"/>
      <c r="O1046" s="1696"/>
      <c r="P1046" s="1696"/>
      <c r="Q1046" s="1696"/>
      <c r="R1046" s="1696"/>
      <c r="S1046" s="1696"/>
      <c r="T1046" s="1696"/>
      <c r="U1046" s="1696"/>
      <c r="V1046" s="1696"/>
      <c r="W1046" s="1696"/>
      <c r="X1046" s="1696"/>
      <c r="Y1046" s="1696"/>
      <c r="Z1046" s="1696"/>
      <c r="AA1046" s="1696"/>
      <c r="AB1046" s="1696"/>
      <c r="AC1046" s="1696"/>
      <c r="AD1046" s="1696"/>
      <c r="AE1046" s="1697"/>
      <c r="AF1046" s="73"/>
      <c r="AG1046" s="443"/>
      <c r="AH1046" s="443"/>
      <c r="AI1046" s="83"/>
      <c r="AJ1046" s="1727"/>
      <c r="AK1046" s="1728"/>
      <c r="AL1046" s="1728"/>
      <c r="AM1046" s="1728"/>
      <c r="AN1046" s="1728"/>
      <c r="AO1046" s="1728"/>
      <c r="AP1046" s="1728"/>
      <c r="AQ1046" s="1729"/>
      <c r="AR1046" s="68"/>
      <c r="AS1046" s="68"/>
      <c r="AT1046" s="68"/>
      <c r="AU1046" s="13"/>
      <c r="AV1046" s="68"/>
      <c r="AW1046" s="68"/>
      <c r="AX1046" s="68"/>
      <c r="AY1046" s="68"/>
      <c r="AZ1046" s="962">
        <f ca="1">'Sources and Uses Budget'!S97*BA1046</f>
        <v>7699009.6499999994</v>
      </c>
      <c r="BA1046" s="1182">
        <f>IF(BA1040,20%,15%)</f>
        <v>0.15</v>
      </c>
      <c r="BB1046" s="3" t="s">
        <v>2478</v>
      </c>
      <c r="BC1046" s="3" t="s">
        <v>2479</v>
      </c>
      <c r="BD1046" s="3"/>
    </row>
    <row r="1047" spans="1:56" ht="13" customHeight="1">
      <c r="A1047" s="14"/>
      <c r="B1047" s="73"/>
      <c r="C1047" s="442"/>
      <c r="D1047" s="1695"/>
      <c r="E1047" s="1696"/>
      <c r="F1047" s="1696"/>
      <c r="G1047" s="1696"/>
      <c r="H1047" s="1696"/>
      <c r="I1047" s="1696"/>
      <c r="J1047" s="1696"/>
      <c r="K1047" s="1696"/>
      <c r="L1047" s="1696"/>
      <c r="M1047" s="1696"/>
      <c r="N1047" s="1696"/>
      <c r="O1047" s="1696"/>
      <c r="P1047" s="1696"/>
      <c r="Q1047" s="1696"/>
      <c r="R1047" s="1696"/>
      <c r="S1047" s="1696"/>
      <c r="T1047" s="1696"/>
      <c r="U1047" s="1696"/>
      <c r="V1047" s="1696"/>
      <c r="W1047" s="1696"/>
      <c r="X1047" s="1696"/>
      <c r="Y1047" s="1696"/>
      <c r="Z1047" s="1696"/>
      <c r="AA1047" s="1696"/>
      <c r="AB1047" s="1696"/>
      <c r="AC1047" s="1696"/>
      <c r="AD1047" s="1696"/>
      <c r="AE1047" s="1697"/>
      <c r="AF1047" s="73"/>
      <c r="AG1047" s="443"/>
      <c r="AH1047" s="443"/>
      <c r="AI1047" s="83"/>
      <c r="AJ1047" s="1727"/>
      <c r="AK1047" s="1728"/>
      <c r="AL1047" s="1728"/>
      <c r="AM1047" s="1728"/>
      <c r="AN1047" s="1728"/>
      <c r="AO1047" s="1728"/>
      <c r="AP1047" s="1728"/>
      <c r="AQ1047" s="1729"/>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787">
        <f>AY1003</f>
        <v>79</v>
      </c>
      <c r="J1048" s="1788"/>
      <c r="K1048" s="7"/>
      <c r="L1048" s="133"/>
      <c r="M1048" s="133"/>
      <c r="N1048" s="133"/>
      <c r="O1048" s="133"/>
      <c r="P1048" s="133"/>
      <c r="Q1048" s="133"/>
      <c r="R1048" s="133"/>
      <c r="S1048" s="133"/>
      <c r="T1048" s="133"/>
      <c r="U1048" s="133"/>
      <c r="V1048" s="134" t="s">
        <v>973</v>
      </c>
      <c r="W1048" s="48"/>
      <c r="X1048" s="1785">
        <f>CI753</f>
        <v>58</v>
      </c>
      <c r="Y1048" s="1786"/>
      <c r="Z1048" s="48"/>
      <c r="AA1048" s="48"/>
      <c r="AB1048" s="48"/>
      <c r="AC1048" s="48"/>
      <c r="AD1048" s="48"/>
      <c r="AE1048" s="49"/>
      <c r="AF1048" s="924"/>
      <c r="AG1048" s="925"/>
      <c r="AH1048" s="925"/>
      <c r="AI1048" s="926"/>
      <c r="AJ1048" s="1730"/>
      <c r="AK1048" s="1731"/>
      <c r="AL1048" s="1731"/>
      <c r="AM1048" s="1731"/>
      <c r="AN1048" s="1731"/>
      <c r="AO1048" s="1731"/>
      <c r="AP1048" s="1731"/>
      <c r="AQ1048" s="173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3" customHeight="1">
      <c r="A1049" s="14"/>
      <c r="B1049" s="79"/>
      <c r="C1049" s="131" t="s">
        <v>1685</v>
      </c>
      <c r="D1049" s="1764" t="s">
        <v>2170</v>
      </c>
      <c r="E1049" s="1765"/>
      <c r="F1049" s="1765"/>
      <c r="G1049" s="1765"/>
      <c r="H1049" s="1765"/>
      <c r="I1049" s="1765"/>
      <c r="J1049" s="1765"/>
      <c r="K1049" s="1765"/>
      <c r="L1049" s="1765"/>
      <c r="M1049" s="1765"/>
      <c r="N1049" s="1765"/>
      <c r="O1049" s="1765"/>
      <c r="P1049" s="1765"/>
      <c r="Q1049" s="1765"/>
      <c r="R1049" s="1765"/>
      <c r="S1049" s="1765"/>
      <c r="T1049" s="1765"/>
      <c r="U1049" s="1765"/>
      <c r="V1049" s="1765"/>
      <c r="W1049" s="1765"/>
      <c r="X1049" s="1765"/>
      <c r="Y1049" s="1765"/>
      <c r="Z1049" s="1765"/>
      <c r="AA1049" s="1765"/>
      <c r="AB1049" s="1765"/>
      <c r="AC1049" s="1765"/>
      <c r="AD1049" s="1765"/>
      <c r="AE1049" s="1766"/>
      <c r="AF1049" s="73"/>
      <c r="AG1049" s="1748" t="str">
        <f>IF(X1052&gt;0,"Yes","No")</f>
        <v>Yes</v>
      </c>
      <c r="AH1049" s="1749"/>
      <c r="AI1049" s="83"/>
      <c r="AJ1049" s="1724">
        <f>IF((X1052=0),0,(2*AY1006)*AJ992)</f>
        <v>19371056.640000001</v>
      </c>
      <c r="AK1049" s="1725"/>
      <c r="AL1049" s="1725"/>
      <c r="AM1049" s="1725"/>
      <c r="AN1049" s="1725"/>
      <c r="AO1049" s="1725"/>
      <c r="AP1049" s="1725"/>
      <c r="AQ1049" s="1726"/>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695" t="s">
        <v>1298</v>
      </c>
      <c r="E1050" s="1696"/>
      <c r="F1050" s="1696"/>
      <c r="G1050" s="1696"/>
      <c r="H1050" s="1696"/>
      <c r="I1050" s="1696"/>
      <c r="J1050" s="1696"/>
      <c r="K1050" s="1696"/>
      <c r="L1050" s="1696"/>
      <c r="M1050" s="1696"/>
      <c r="N1050" s="1696"/>
      <c r="O1050" s="1696"/>
      <c r="P1050" s="1696"/>
      <c r="Q1050" s="1696"/>
      <c r="R1050" s="1696"/>
      <c r="S1050" s="1696"/>
      <c r="T1050" s="1696"/>
      <c r="U1050" s="1696"/>
      <c r="V1050" s="1696"/>
      <c r="W1050" s="1696"/>
      <c r="X1050" s="1696"/>
      <c r="Y1050" s="1696"/>
      <c r="Z1050" s="1696"/>
      <c r="AA1050" s="1696"/>
      <c r="AB1050" s="1696"/>
      <c r="AC1050" s="1696"/>
      <c r="AD1050" s="1696"/>
      <c r="AE1050" s="1697"/>
      <c r="AF1050" s="73"/>
      <c r="AG1050" s="443"/>
      <c r="AH1050" s="443"/>
      <c r="AI1050" s="83"/>
      <c r="AJ1050" s="1727"/>
      <c r="AK1050" s="1728"/>
      <c r="AL1050" s="1728"/>
      <c r="AM1050" s="1728"/>
      <c r="AN1050" s="1728"/>
      <c r="AO1050" s="1728"/>
      <c r="AP1050" s="1728"/>
      <c r="AQ1050" s="1729"/>
      <c r="AR1050" s="68"/>
      <c r="AS1050" s="68"/>
      <c r="AT1050" s="68"/>
      <c r="AU1050" s="68"/>
      <c r="AV1050" s="68"/>
      <c r="AW1050" s="68"/>
      <c r="AX1050" s="68"/>
      <c r="AY1050" s="68"/>
      <c r="AZ1050" s="962"/>
      <c r="BA1050" s="3"/>
      <c r="BB1050" s="3"/>
      <c r="BC1050" s="3"/>
      <c r="BD1050" s="3"/>
    </row>
    <row r="1051" spans="1:56" ht="13" customHeight="1">
      <c r="A1051" s="14"/>
      <c r="B1051" s="73"/>
      <c r="C1051" s="83"/>
      <c r="D1051" s="1695"/>
      <c r="E1051" s="1696"/>
      <c r="F1051" s="1696"/>
      <c r="G1051" s="1696"/>
      <c r="H1051" s="1696"/>
      <c r="I1051" s="1696"/>
      <c r="J1051" s="1696"/>
      <c r="K1051" s="1696"/>
      <c r="L1051" s="1696"/>
      <c r="M1051" s="1696"/>
      <c r="N1051" s="1696"/>
      <c r="O1051" s="1696"/>
      <c r="P1051" s="1696"/>
      <c r="Q1051" s="1696"/>
      <c r="R1051" s="1696"/>
      <c r="S1051" s="1696"/>
      <c r="T1051" s="1696"/>
      <c r="U1051" s="1696"/>
      <c r="V1051" s="1696"/>
      <c r="W1051" s="1696"/>
      <c r="X1051" s="1696"/>
      <c r="Y1051" s="1696"/>
      <c r="Z1051" s="1696"/>
      <c r="AA1051" s="1696"/>
      <c r="AB1051" s="1696"/>
      <c r="AC1051" s="1696"/>
      <c r="AD1051" s="1696"/>
      <c r="AE1051" s="1697"/>
      <c r="AF1051" s="921"/>
      <c r="AG1051" s="922"/>
      <c r="AH1051" s="922"/>
      <c r="AI1051" s="923"/>
      <c r="AJ1051" s="1727"/>
      <c r="AK1051" s="1728"/>
      <c r="AL1051" s="1728"/>
      <c r="AM1051" s="1728"/>
      <c r="AN1051" s="1728"/>
      <c r="AO1051" s="1728"/>
      <c r="AP1051" s="1728"/>
      <c r="AQ1051" s="1729"/>
      <c r="AR1051" s="68"/>
      <c r="AS1051" s="68"/>
      <c r="AT1051" s="68"/>
      <c r="AU1051" s="68"/>
      <c r="AV1051" s="68"/>
      <c r="AW1051" s="68"/>
      <c r="AX1051" s="68"/>
      <c r="AY1051" s="68"/>
      <c r="AZ1051" s="962">
        <f ca="1">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87">
        <f>AY1003</f>
        <v>79</v>
      </c>
      <c r="J1052" s="1788"/>
      <c r="K1052" s="14"/>
      <c r="L1052" s="133"/>
      <c r="M1052" s="133"/>
      <c r="N1052" s="133"/>
      <c r="O1052" s="133"/>
      <c r="P1052" s="133"/>
      <c r="Q1052" s="133"/>
      <c r="R1052" s="133"/>
      <c r="S1052" s="133"/>
      <c r="T1052" s="133"/>
      <c r="U1052" s="133"/>
      <c r="V1052" s="134" t="s">
        <v>974</v>
      </c>
      <c r="X1052" s="1785">
        <f>CM753</f>
        <v>21</v>
      </c>
      <c r="Y1052" s="1786"/>
      <c r="AF1052" s="924"/>
      <c r="AG1052" s="925"/>
      <c r="AH1052" s="925"/>
      <c r="AI1052" s="926"/>
      <c r="AJ1052" s="1730"/>
      <c r="AK1052" s="1731"/>
      <c r="AL1052" s="1731"/>
      <c r="AM1052" s="1731"/>
      <c r="AN1052" s="1731"/>
      <c r="AO1052" s="1731"/>
      <c r="AP1052" s="1731"/>
      <c r="AQ1052" s="1732"/>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783" t="s">
        <v>513</v>
      </c>
      <c r="E1053" s="1783"/>
      <c r="F1053" s="1783"/>
      <c r="G1053" s="1783"/>
      <c r="H1053" s="1783"/>
      <c r="I1053" s="1783"/>
      <c r="J1053" s="1783"/>
      <c r="K1053" s="1783"/>
      <c r="L1053" s="1783"/>
      <c r="M1053" s="1783"/>
      <c r="N1053" s="1783"/>
      <c r="O1053" s="1783"/>
      <c r="P1053" s="1783"/>
      <c r="Q1053" s="1783"/>
      <c r="R1053" s="1783"/>
      <c r="S1053" s="1783"/>
      <c r="T1053" s="1783"/>
      <c r="U1053" s="1783"/>
      <c r="V1053" s="1783"/>
      <c r="W1053" s="1783"/>
      <c r="X1053" s="1783"/>
      <c r="Y1053" s="1783"/>
      <c r="Z1053" s="1783"/>
      <c r="AA1053" s="1783"/>
      <c r="AB1053" s="1783"/>
      <c r="AC1053" s="1783"/>
      <c r="AD1053" s="1783"/>
      <c r="AE1053" s="1783"/>
      <c r="AF1053" s="1783"/>
      <c r="AG1053" s="1783"/>
      <c r="AH1053" s="1783"/>
      <c r="AI1053" s="1784"/>
      <c r="AJ1053" s="1798">
        <f>SUM(AJ992:AQ1052)</f>
        <v>100743565.39999999</v>
      </c>
      <c r="AK1053" s="1799"/>
      <c r="AL1053" s="1799"/>
      <c r="AM1053" s="1799"/>
      <c r="AN1053" s="1799"/>
      <c r="AO1053" s="1799"/>
      <c r="AP1053" s="1799"/>
      <c r="AQ1053" s="1800"/>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 ca="1">'Sources and Uses Budget'!S107+'Sources and Uses Budget'!T107</f>
        <v>53826731</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7699009.6499999994</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 ca="1">IFERROR((AA1056-BA1059)/(AJ1053-AJ1045-AJ1049),"")</f>
        <v>0.99350675572281277</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2500000</v>
      </c>
      <c r="BB1058" s="3" t="s">
        <v>2493</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 ca="1">MAX($BA$1058-$BA$1055,0)</f>
        <v>0</v>
      </c>
      <c r="BB1059" s="3" t="s">
        <v>2494</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6" t="s">
        <v>794</v>
      </c>
      <c r="B1061" s="1836"/>
      <c r="C1061" s="1836"/>
      <c r="D1061" s="1836"/>
      <c r="E1061" s="1836"/>
      <c r="F1061" s="1836"/>
      <c r="G1061" s="1836"/>
      <c r="H1061" s="1836"/>
      <c r="I1061" s="1836"/>
      <c r="J1061" s="1836"/>
      <c r="K1061" s="1836"/>
      <c r="L1061" s="1836"/>
      <c r="M1061" s="1836"/>
      <c r="N1061" s="1836"/>
      <c r="O1061" s="1836"/>
      <c r="P1061" s="1836"/>
      <c r="Q1061" s="1836"/>
      <c r="R1061" s="1836"/>
      <c r="S1061" s="1836"/>
      <c r="T1061" s="1836"/>
      <c r="U1061" s="1836"/>
      <c r="V1061" s="1836"/>
      <c r="W1061" s="1836"/>
      <c r="X1061" s="1836"/>
      <c r="Y1061" s="1836"/>
      <c r="Z1061" s="1836"/>
      <c r="AA1061" s="1836"/>
      <c r="AB1061" s="1836"/>
      <c r="AC1061" s="1836"/>
      <c r="AD1061" s="1836"/>
      <c r="AE1061" s="1836"/>
      <c r="AF1061" s="1836"/>
      <c r="AG1061" s="1836"/>
      <c r="AH1061" s="1836"/>
      <c r="AI1061" s="1836"/>
      <c r="AJ1061" s="1836"/>
      <c r="AK1061" s="1836"/>
      <c r="AL1061" s="1836"/>
      <c r="AM1061" s="1836"/>
      <c r="AN1061" s="1836"/>
      <c r="AO1061" s="1836"/>
      <c r="AP1061" s="1836"/>
      <c r="AQ1061" s="1836"/>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545</v>
      </c>
      <c r="B1065" s="1415"/>
      <c r="C1065" s="1855">
        <v>1</v>
      </c>
      <c r="D1065" s="1855"/>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591</v>
      </c>
      <c r="B1067" s="1415"/>
      <c r="C1067" s="1855">
        <v>2</v>
      </c>
      <c r="D1067" s="1855"/>
      <c r="E1067" s="1857" t="s">
        <v>2237</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3"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3"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5" t="s">
        <v>591</v>
      </c>
      <c r="B1081" s="1415"/>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5" t="s">
        <v>591</v>
      </c>
      <c r="B1085" s="1415"/>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5" t="s">
        <v>591</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5" t="s">
        <v>545</v>
      </c>
      <c r="B1097" s="1415"/>
      <c r="C1097" s="1855">
        <v>9</v>
      </c>
      <c r="D1097" s="1855"/>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5"/>
      <c r="D1098" s="1855"/>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5" t="s">
        <v>545</v>
      </c>
      <c r="B1100" s="1415"/>
      <c r="C1100" s="1855">
        <v>10</v>
      </c>
      <c r="D1100" s="1855"/>
      <c r="E1100" s="1856" t="s">
        <v>2238</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3"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5" t="s">
        <v>591</v>
      </c>
      <c r="B1103" s="1415"/>
      <c r="C1103" s="1855">
        <v>11</v>
      </c>
      <c r="D1103" s="1855"/>
      <c r="E1103" s="1856" t="s">
        <v>2240</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3"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95" workbookViewId="0">
      <selection activeCell="C84" sqref="C84"/>
    </sheetView>
  </sheetViews>
  <sheetFormatPr defaultColWidth="0" defaultRowHeight="11.5" zeroHeight="1"/>
  <cols>
    <col min="1" max="1" width="35.81640625" style="187" customWidth="1"/>
    <col min="2" max="12" width="12.1796875" style="158" customWidth="1"/>
    <col min="13" max="17" width="11.1796875" style="158" customWidth="1"/>
    <col min="18" max="18" width="12.81640625" style="158" customWidth="1"/>
    <col min="19" max="20" width="12.1796875" style="158" customWidth="1"/>
    <col min="21" max="21" width="0.1796875" style="161" customWidth="1"/>
    <col min="22" max="16383" width="8.81640625" style="158" hidden="1"/>
    <col min="16384" max="16384" width="0.1796875" style="158" customWidth="1"/>
  </cols>
  <sheetData>
    <row r="1" spans="1:21" s="110" customFormat="1" ht="13.5">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1)Bank of America, N.A.</v>
      </c>
      <c r="G2" s="139" t="str">
        <f>Application!B628&amp;Application!C628</f>
        <v>2)USDA 514 loan</v>
      </c>
      <c r="H2" s="139" t="str">
        <f>Application!B629&amp;Application!C629</f>
        <v>3)HCD Joe Serna, Jr. FWHG</v>
      </c>
      <c r="I2" s="139" t="str">
        <f>Application!B630&amp;Application!C630</f>
        <v>4)County of Riverside PLHA</v>
      </c>
      <c r="J2" s="139" t="str">
        <f>Application!B631&amp;Application!C631</f>
        <v>5)Riverside County Land Donation</v>
      </c>
      <c r="K2" s="139" t="str">
        <f>Application!B632&amp;Application!C632</f>
        <v>6)Deferred developer fee</v>
      </c>
      <c r="L2" s="139" t="str">
        <f>Application!B633&amp;Application!C633</f>
        <v>7)GP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355000</v>
      </c>
      <c r="C4" s="147">
        <f>[1]budgets!$C$25</f>
        <v>355000</v>
      </c>
      <c r="D4" s="147"/>
      <c r="E4" s="147">
        <f>B4-SUM(F4:M4)</f>
        <v>0</v>
      </c>
      <c r="F4" s="147"/>
      <c r="G4" s="147"/>
      <c r="H4" s="147"/>
      <c r="I4" s="147"/>
      <c r="J4" s="147">
        <f>C4</f>
        <v>355000</v>
      </c>
      <c r="K4" s="147"/>
      <c r="L4" s="147"/>
      <c r="M4" s="147"/>
      <c r="N4" s="147"/>
      <c r="O4" s="147"/>
      <c r="P4" s="147"/>
      <c r="Q4" s="147"/>
      <c r="R4" s="516">
        <f>SUM(E4:Q4)</f>
        <v>355000</v>
      </c>
      <c r="S4" s="148"/>
      <c r="T4" s="148"/>
      <c r="U4" s="143"/>
    </row>
    <row r="5" spans="1:21" s="144" customFormat="1">
      <c r="A5" s="145" t="s">
        <v>28</v>
      </c>
      <c r="B5" s="146">
        <f>SUM(C5+D5)</f>
        <v>0</v>
      </c>
      <c r="C5" s="147"/>
      <c r="D5" s="147"/>
      <c r="E5" s="147">
        <f t="shared" ref="E5:E7" si="0">B5-SUM(F5:M5)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25000</v>
      </c>
      <c r="C6" s="147">
        <f>[1]budgets!$C$27</f>
        <v>25000</v>
      </c>
      <c r="D6" s="147"/>
      <c r="E6" s="147">
        <f t="shared" si="0"/>
        <v>24900</v>
      </c>
      <c r="F6" s="147"/>
      <c r="G6" s="147"/>
      <c r="H6" s="147"/>
      <c r="I6" s="147"/>
      <c r="J6" s="147"/>
      <c r="K6" s="147"/>
      <c r="L6" s="147">
        <f>Application!AO633</f>
        <v>100</v>
      </c>
      <c r="M6" s="147"/>
      <c r="N6" s="147"/>
      <c r="O6" s="147"/>
      <c r="P6" s="147"/>
      <c r="Q6" s="147"/>
      <c r="R6" s="516">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593</v>
      </c>
      <c r="B8" s="146">
        <f>SUM(C8:D8)</f>
        <v>380000</v>
      </c>
      <c r="C8" s="146">
        <f t="shared" ref="C8:Q8" si="1">SUM(C4:C7)</f>
        <v>380000</v>
      </c>
      <c r="D8" s="146">
        <f t="shared" si="1"/>
        <v>0</v>
      </c>
      <c r="E8" s="146">
        <f t="shared" si="1"/>
        <v>24900</v>
      </c>
      <c r="F8" s="146">
        <f t="shared" si="1"/>
        <v>0</v>
      </c>
      <c r="G8" s="146">
        <f t="shared" si="1"/>
        <v>0</v>
      </c>
      <c r="H8" s="146">
        <f t="shared" si="1"/>
        <v>0</v>
      </c>
      <c r="I8" s="146">
        <f t="shared" si="1"/>
        <v>0</v>
      </c>
      <c r="J8" s="146">
        <f t="shared" si="1"/>
        <v>355000</v>
      </c>
      <c r="K8" s="146">
        <f t="shared" si="1"/>
        <v>0</v>
      </c>
      <c r="L8" s="146">
        <f t="shared" si="1"/>
        <v>100</v>
      </c>
      <c r="M8" s="146">
        <f t="shared" si="1"/>
        <v>0</v>
      </c>
      <c r="N8" s="146">
        <f t="shared" si="1"/>
        <v>0</v>
      </c>
      <c r="O8" s="146">
        <f t="shared" si="1"/>
        <v>0</v>
      </c>
      <c r="P8" s="146"/>
      <c r="Q8" s="146">
        <f t="shared" si="1"/>
        <v>0</v>
      </c>
      <c r="R8" s="342">
        <f>SUM(R4:R7)</f>
        <v>380000</v>
      </c>
      <c r="S8" s="148"/>
      <c r="T8" s="148"/>
      <c r="U8" s="143"/>
    </row>
    <row r="9" spans="1:21" s="144" customFormat="1">
      <c r="A9" s="145" t="s">
        <v>594</v>
      </c>
      <c r="B9" s="146">
        <f>SUM(C9+D9)</f>
        <v>0</v>
      </c>
      <c r="C9" s="147"/>
      <c r="D9" s="147"/>
      <c r="E9" s="147">
        <f t="shared" ref="E9:E10" si="2">B9-SUM(F9:M9)</f>
        <v>0</v>
      </c>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2069800</v>
      </c>
      <c r="C10" s="147">
        <f>[1]budgets!$C$28</f>
        <v>2069800</v>
      </c>
      <c r="D10" s="147"/>
      <c r="E10" s="147">
        <f t="shared" si="2"/>
        <v>2069800</v>
      </c>
      <c r="F10" s="147"/>
      <c r="G10" s="147"/>
      <c r="H10" s="147"/>
      <c r="I10" s="147"/>
      <c r="J10" s="147"/>
      <c r="K10" s="147"/>
      <c r="L10" s="147"/>
      <c r="M10" s="147"/>
      <c r="N10" s="147"/>
      <c r="O10" s="147"/>
      <c r="P10" s="147"/>
      <c r="Q10" s="147"/>
      <c r="R10" s="516">
        <f>SUM(E10:Q10)</f>
        <v>2069800</v>
      </c>
      <c r="S10" s="147">
        <f>R10</f>
        <v>2069800</v>
      </c>
      <c r="T10" s="147"/>
      <c r="U10" s="143"/>
    </row>
    <row r="11" spans="1:21" s="144" customFormat="1">
      <c r="A11" s="149" t="s">
        <v>596</v>
      </c>
      <c r="B11" s="146">
        <f>SUM(C11:D11)</f>
        <v>2069800</v>
      </c>
      <c r="C11" s="146">
        <f t="shared" ref="C11:Q11" si="3">SUM(C9:C10)</f>
        <v>2069800</v>
      </c>
      <c r="D11" s="146">
        <f t="shared" si="3"/>
        <v>0</v>
      </c>
      <c r="E11" s="146">
        <f t="shared" si="3"/>
        <v>2069800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2069800</v>
      </c>
      <c r="S11" s="148"/>
      <c r="T11" s="150">
        <f>SUM(T9:T10)</f>
        <v>0</v>
      </c>
      <c r="U11" s="143"/>
    </row>
    <row r="12" spans="1:21" s="144" customFormat="1">
      <c r="A12" s="149" t="s">
        <v>84</v>
      </c>
      <c r="B12" s="146">
        <f t="shared" ref="B12:Q12" si="4">SUM(B8+B11)</f>
        <v>2449800</v>
      </c>
      <c r="C12" s="146">
        <f t="shared" si="4"/>
        <v>2449800</v>
      </c>
      <c r="D12" s="146">
        <f t="shared" si="4"/>
        <v>0</v>
      </c>
      <c r="E12" s="146">
        <f t="shared" si="4"/>
        <v>2094700</v>
      </c>
      <c r="F12" s="146">
        <f t="shared" si="4"/>
        <v>0</v>
      </c>
      <c r="G12" s="146">
        <f t="shared" si="4"/>
        <v>0</v>
      </c>
      <c r="H12" s="146">
        <f t="shared" si="4"/>
        <v>0</v>
      </c>
      <c r="I12" s="146">
        <f t="shared" si="4"/>
        <v>0</v>
      </c>
      <c r="J12" s="146">
        <f t="shared" si="4"/>
        <v>355000</v>
      </c>
      <c r="K12" s="146">
        <f t="shared" si="4"/>
        <v>0</v>
      </c>
      <c r="L12" s="146">
        <f t="shared" si="4"/>
        <v>100</v>
      </c>
      <c r="M12" s="146">
        <f t="shared" si="4"/>
        <v>0</v>
      </c>
      <c r="N12" s="146">
        <f t="shared" si="4"/>
        <v>0</v>
      </c>
      <c r="O12" s="146">
        <f t="shared" si="4"/>
        <v>0</v>
      </c>
      <c r="P12" s="146"/>
      <c r="Q12" s="146">
        <f t="shared" si="4"/>
        <v>0</v>
      </c>
      <c r="R12" s="342">
        <f>SUM(R8+R11)</f>
        <v>2449800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6"/>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8">SUM(C29+D29)</f>
        <v>10832100</v>
      </c>
      <c r="C29" s="147">
        <f>[1]budgets!$C$40</f>
        <v>10832100</v>
      </c>
      <c r="D29" s="147"/>
      <c r="E29" s="147">
        <f t="shared" ref="E29:E37" si="9">B29-SUM(F29:M29)</f>
        <v>1226900</v>
      </c>
      <c r="F29" s="147">
        <f>Application!AO627</f>
        <v>2605200</v>
      </c>
      <c r="G29" s="147"/>
      <c r="H29" s="147"/>
      <c r="I29" s="147">
        <f>Application!AO630</f>
        <v>7000000</v>
      </c>
      <c r="J29" s="147"/>
      <c r="K29" s="147"/>
      <c r="L29" s="147"/>
      <c r="M29" s="147"/>
      <c r="N29" s="147"/>
      <c r="O29" s="147"/>
      <c r="P29" s="147"/>
      <c r="Q29" s="147"/>
      <c r="R29" s="516">
        <f t="shared" ref="R29:R37" si="10">SUM(E29:Q29)</f>
        <v>10832100</v>
      </c>
      <c r="S29" s="147">
        <f>R29</f>
        <v>10832100</v>
      </c>
      <c r="T29" s="147"/>
      <c r="U29" s="143"/>
    </row>
    <row r="30" spans="1:21" s="144" customFormat="1">
      <c r="A30" s="145" t="s">
        <v>599</v>
      </c>
      <c r="B30" s="146">
        <f t="shared" ca="1" si="8"/>
        <v>16401400</v>
      </c>
      <c r="C30" s="147">
        <f ca="1">[1]budgets!$C$41-C34</f>
        <v>16401400</v>
      </c>
      <c r="D30" s="147"/>
      <c r="E30" s="147">
        <f t="shared" ca="1" si="9"/>
        <v>1401400</v>
      </c>
      <c r="F30" s="147"/>
      <c r="G30" s="147">
        <f>Application!AO628</f>
        <v>5000000</v>
      </c>
      <c r="H30" s="147">
        <f>Application!AO629</f>
        <v>10000000</v>
      </c>
      <c r="I30" s="147"/>
      <c r="J30" s="147"/>
      <c r="K30" s="147"/>
      <c r="L30" s="147"/>
      <c r="M30" s="147"/>
      <c r="N30" s="147"/>
      <c r="O30" s="147"/>
      <c r="P30" s="147"/>
      <c r="Q30" s="147"/>
      <c r="R30" s="516">
        <f t="shared" ca="1" si="10"/>
        <v>16401400</v>
      </c>
      <c r="S30" s="147">
        <f t="shared" ref="S30:S37" ca="1" si="11">R30</f>
        <v>16401400</v>
      </c>
      <c r="T30" s="147"/>
      <c r="U30" s="143"/>
    </row>
    <row r="31" spans="1:21" s="144" customFormat="1">
      <c r="A31" s="145" t="s">
        <v>600</v>
      </c>
      <c r="B31" s="146">
        <f t="shared" si="8"/>
        <v>2188200</v>
      </c>
      <c r="C31" s="147">
        <f>[1]budgets!$C$43</f>
        <v>2188200</v>
      </c>
      <c r="D31" s="147"/>
      <c r="E31" s="147">
        <f t="shared" si="9"/>
        <v>2188200</v>
      </c>
      <c r="F31" s="147"/>
      <c r="G31" s="147"/>
      <c r="H31" s="147"/>
      <c r="I31" s="147"/>
      <c r="J31" s="147"/>
      <c r="K31" s="147"/>
      <c r="L31" s="147"/>
      <c r="M31" s="147"/>
      <c r="N31" s="147"/>
      <c r="O31" s="147"/>
      <c r="P31" s="147"/>
      <c r="Q31" s="147"/>
      <c r="R31" s="516">
        <f t="shared" si="10"/>
        <v>2188200</v>
      </c>
      <c r="S31" s="147">
        <f t="shared" si="11"/>
        <v>2188200</v>
      </c>
      <c r="T31" s="147"/>
      <c r="U31" s="143"/>
    </row>
    <row r="32" spans="1:21" s="144" customFormat="1">
      <c r="A32" s="145" t="s">
        <v>137</v>
      </c>
      <c r="B32" s="146">
        <f t="shared" si="8"/>
        <v>1194500</v>
      </c>
      <c r="C32" s="147">
        <f>[1]budgets!$C$45</f>
        <v>1194500</v>
      </c>
      <c r="D32" s="147"/>
      <c r="E32" s="147">
        <f t="shared" si="9"/>
        <v>1194500</v>
      </c>
      <c r="F32" s="147"/>
      <c r="G32" s="147"/>
      <c r="H32" s="147"/>
      <c r="I32" s="147"/>
      <c r="J32" s="147"/>
      <c r="K32" s="147"/>
      <c r="L32" s="147"/>
      <c r="M32" s="147"/>
      <c r="N32" s="147"/>
      <c r="O32" s="147"/>
      <c r="P32" s="147"/>
      <c r="Q32" s="147"/>
      <c r="R32" s="516">
        <f t="shared" si="10"/>
        <v>1194500</v>
      </c>
      <c r="S32" s="147">
        <f t="shared" si="11"/>
        <v>1194500</v>
      </c>
      <c r="T32" s="147"/>
      <c r="U32" s="143"/>
    </row>
    <row r="33" spans="1:21" s="144" customFormat="1">
      <c r="A33" s="145" t="s">
        <v>138</v>
      </c>
      <c r="B33" s="146">
        <f t="shared" si="8"/>
        <v>1194500</v>
      </c>
      <c r="C33" s="147">
        <f>[1]budgets!$C$46</f>
        <v>1194500</v>
      </c>
      <c r="D33" s="147"/>
      <c r="E33" s="147">
        <f t="shared" si="9"/>
        <v>1194500</v>
      </c>
      <c r="F33" s="147"/>
      <c r="G33" s="147"/>
      <c r="H33" s="147"/>
      <c r="I33" s="147"/>
      <c r="J33" s="147"/>
      <c r="K33" s="147"/>
      <c r="L33" s="147"/>
      <c r="M33" s="147"/>
      <c r="N33" s="147"/>
      <c r="O33" s="147"/>
      <c r="P33" s="147"/>
      <c r="Q33" s="147"/>
      <c r="R33" s="516">
        <f t="shared" si="10"/>
        <v>1194500</v>
      </c>
      <c r="S33" s="147">
        <f t="shared" si="11"/>
        <v>1194500</v>
      </c>
      <c r="T33" s="147"/>
      <c r="U33" s="143"/>
    </row>
    <row r="34" spans="1:21" s="144" customFormat="1">
      <c r="A34" s="145" t="s">
        <v>139</v>
      </c>
      <c r="B34" s="146">
        <f t="shared" ca="1" si="8"/>
        <v>5446700</v>
      </c>
      <c r="C34" s="147">
        <f ca="1">0.2*(C29+C30)</f>
        <v>5446700</v>
      </c>
      <c r="D34" s="147"/>
      <c r="E34" s="147">
        <f t="shared" ca="1" si="9"/>
        <v>5446700</v>
      </c>
      <c r="F34" s="147"/>
      <c r="G34" s="147"/>
      <c r="H34" s="147"/>
      <c r="I34" s="147"/>
      <c r="J34" s="147"/>
      <c r="K34" s="147"/>
      <c r="L34" s="147"/>
      <c r="M34" s="147"/>
      <c r="N34" s="147"/>
      <c r="O34" s="147"/>
      <c r="P34" s="147"/>
      <c r="Q34" s="147"/>
      <c r="R34" s="516">
        <f t="shared" ca="1" si="10"/>
        <v>5446700</v>
      </c>
      <c r="S34" s="147">
        <f t="shared" ca="1" si="11"/>
        <v>5446700</v>
      </c>
      <c r="T34" s="147"/>
      <c r="U34" s="143"/>
    </row>
    <row r="35" spans="1:21" s="144" customFormat="1">
      <c r="A35" s="145" t="s">
        <v>140</v>
      </c>
      <c r="B35" s="146">
        <f t="shared" si="8"/>
        <v>732700</v>
      </c>
      <c r="C35" s="147">
        <f>[1]budgets!$C$44</f>
        <v>732700</v>
      </c>
      <c r="D35" s="147"/>
      <c r="E35" s="147">
        <f t="shared" si="9"/>
        <v>732700</v>
      </c>
      <c r="F35" s="147"/>
      <c r="G35" s="147"/>
      <c r="H35" s="147"/>
      <c r="I35" s="147"/>
      <c r="J35" s="147"/>
      <c r="K35" s="147"/>
      <c r="L35" s="147"/>
      <c r="M35" s="147"/>
      <c r="N35" s="147"/>
      <c r="O35" s="147"/>
      <c r="P35" s="147"/>
      <c r="Q35" s="147"/>
      <c r="R35" s="516">
        <f t="shared" si="10"/>
        <v>732700</v>
      </c>
      <c r="S35" s="147">
        <f t="shared" si="11"/>
        <v>732700</v>
      </c>
      <c r="T35" s="147"/>
      <c r="U35" s="143"/>
    </row>
    <row r="36" spans="1:21" s="144" customFormat="1">
      <c r="A36" s="283" t="s">
        <v>1640</v>
      </c>
      <c r="B36" s="146">
        <f t="shared" si="8"/>
        <v>150000</v>
      </c>
      <c r="C36" s="147">
        <f>[1]budgets!$C$88</f>
        <v>150000</v>
      </c>
      <c r="D36" s="147"/>
      <c r="E36" s="147">
        <f t="shared" si="9"/>
        <v>150000</v>
      </c>
      <c r="F36" s="147"/>
      <c r="G36" s="147"/>
      <c r="H36" s="147"/>
      <c r="I36" s="147"/>
      <c r="J36" s="147"/>
      <c r="K36" s="147"/>
      <c r="L36" s="147"/>
      <c r="M36" s="147"/>
      <c r="N36" s="147"/>
      <c r="O36" s="147"/>
      <c r="P36" s="147"/>
      <c r="Q36" s="147"/>
      <c r="R36" s="516">
        <f t="shared" si="10"/>
        <v>150000</v>
      </c>
      <c r="S36" s="147">
        <f t="shared" si="11"/>
        <v>150000</v>
      </c>
      <c r="T36" s="147"/>
      <c r="U36" s="143"/>
    </row>
    <row r="37" spans="1:21" s="144" customFormat="1">
      <c r="A37" s="1149" t="s">
        <v>2738</v>
      </c>
      <c r="B37" s="146">
        <f t="shared" si="8"/>
        <v>550600</v>
      </c>
      <c r="C37" s="147">
        <f>[1]budgets!$C$42</f>
        <v>550600</v>
      </c>
      <c r="D37" s="147"/>
      <c r="E37" s="147">
        <f t="shared" si="9"/>
        <v>550600</v>
      </c>
      <c r="F37" s="147"/>
      <c r="G37" s="147"/>
      <c r="H37" s="147"/>
      <c r="I37" s="147"/>
      <c r="J37" s="147"/>
      <c r="K37" s="147"/>
      <c r="L37" s="147"/>
      <c r="M37" s="147"/>
      <c r="N37" s="147"/>
      <c r="O37" s="147"/>
      <c r="P37" s="147"/>
      <c r="Q37" s="147"/>
      <c r="R37" s="516">
        <f t="shared" si="10"/>
        <v>550600</v>
      </c>
      <c r="S37" s="147">
        <f t="shared" si="11"/>
        <v>550600</v>
      </c>
      <c r="T37" s="147"/>
      <c r="U37" s="143"/>
    </row>
    <row r="38" spans="1:21" s="144" customFormat="1">
      <c r="A38" s="149" t="s">
        <v>143</v>
      </c>
      <c r="B38" s="146">
        <f t="shared" ca="1" si="8"/>
        <v>38690700</v>
      </c>
      <c r="C38" s="146">
        <f ca="1">SUM(C29:C37)</f>
        <v>38690700</v>
      </c>
      <c r="D38" s="146">
        <f t="shared" ref="D38:Q38" si="12">SUM(D29:D37)</f>
        <v>0</v>
      </c>
      <c r="E38" s="146">
        <f t="shared" ca="1" si="12"/>
        <v>14085500</v>
      </c>
      <c r="F38" s="146">
        <f t="shared" si="12"/>
        <v>2605200</v>
      </c>
      <c r="G38" s="146">
        <f t="shared" si="12"/>
        <v>5000000</v>
      </c>
      <c r="H38" s="146">
        <f t="shared" si="12"/>
        <v>10000000</v>
      </c>
      <c r="I38" s="146">
        <f t="shared" si="12"/>
        <v>7000000</v>
      </c>
      <c r="J38" s="146">
        <f t="shared" si="12"/>
        <v>0</v>
      </c>
      <c r="K38" s="146">
        <f t="shared" si="12"/>
        <v>0</v>
      </c>
      <c r="L38" s="146">
        <f t="shared" si="12"/>
        <v>0</v>
      </c>
      <c r="M38" s="146">
        <f t="shared" si="12"/>
        <v>0</v>
      </c>
      <c r="N38" s="146">
        <f t="shared" si="12"/>
        <v>0</v>
      </c>
      <c r="O38" s="146">
        <f t="shared" si="12"/>
        <v>0</v>
      </c>
      <c r="P38" s="146">
        <f t="shared" si="12"/>
        <v>0</v>
      </c>
      <c r="Q38" s="146">
        <f t="shared" si="12"/>
        <v>0</v>
      </c>
      <c r="R38" s="342">
        <f ca="1">SUM(R29:R37)</f>
        <v>38690700</v>
      </c>
      <c r="S38" s="150">
        <f ca="1">SUM(S29:S37)</f>
        <v>38690700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690000</v>
      </c>
      <c r="C40" s="147">
        <f>[1]budgets!$C$49</f>
        <v>690000</v>
      </c>
      <c r="D40" s="147"/>
      <c r="E40" s="147">
        <f t="shared" ref="E40:E41" si="13">B40-SUM(F40:M40)</f>
        <v>690000</v>
      </c>
      <c r="F40" s="147"/>
      <c r="G40" s="147"/>
      <c r="H40" s="147"/>
      <c r="I40" s="147"/>
      <c r="J40" s="147"/>
      <c r="K40" s="147"/>
      <c r="L40" s="147"/>
      <c r="M40" s="147"/>
      <c r="N40" s="147"/>
      <c r="O40" s="147"/>
      <c r="P40" s="147"/>
      <c r="Q40" s="147"/>
      <c r="R40" s="516">
        <f>SUM(E40:Q40)</f>
        <v>690000</v>
      </c>
      <c r="S40" s="147">
        <f>R40</f>
        <v>690000</v>
      </c>
      <c r="T40" s="147"/>
      <c r="U40" s="143"/>
    </row>
    <row r="41" spans="1:21" s="144" customFormat="1">
      <c r="A41" s="145" t="s">
        <v>146</v>
      </c>
      <c r="B41" s="146">
        <f>SUM(C41+D41)</f>
        <v>155000</v>
      </c>
      <c r="C41" s="147">
        <f>[1]budgets!$C$50</f>
        <v>155000</v>
      </c>
      <c r="D41" s="147"/>
      <c r="E41" s="147">
        <f t="shared" si="13"/>
        <v>155000</v>
      </c>
      <c r="F41" s="147"/>
      <c r="G41" s="147"/>
      <c r="H41" s="147"/>
      <c r="I41" s="147"/>
      <c r="J41" s="147"/>
      <c r="K41" s="147"/>
      <c r="L41" s="147"/>
      <c r="M41" s="147"/>
      <c r="N41" s="147"/>
      <c r="O41" s="147"/>
      <c r="P41" s="147"/>
      <c r="Q41" s="147"/>
      <c r="R41" s="516">
        <f>SUM(E41:Q41)</f>
        <v>155000</v>
      </c>
      <c r="S41" s="147">
        <f>R41</f>
        <v>155000</v>
      </c>
      <c r="T41" s="147"/>
      <c r="U41" s="143"/>
    </row>
    <row r="42" spans="1:21" s="144" customFormat="1">
      <c r="A42" s="149" t="s">
        <v>147</v>
      </c>
      <c r="B42" s="146">
        <f>SUM(C42:D42)</f>
        <v>845000</v>
      </c>
      <c r="C42" s="146">
        <f>SUM(C39:C41)</f>
        <v>845000</v>
      </c>
      <c r="D42" s="146">
        <f>SUM(D39:D41)</f>
        <v>0</v>
      </c>
      <c r="E42" s="146">
        <f t="shared" ref="E42:T42" si="14">SUM(E40:E41)</f>
        <v>845000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42">
        <f>SUM(R40:R41)</f>
        <v>845000</v>
      </c>
      <c r="S42" s="150">
        <f t="shared" si="14"/>
        <v>845000</v>
      </c>
      <c r="T42" s="150">
        <f t="shared" si="14"/>
        <v>0</v>
      </c>
      <c r="U42" s="143"/>
    </row>
    <row r="43" spans="1:21" s="144" customFormat="1">
      <c r="A43" s="149" t="s">
        <v>148</v>
      </c>
      <c r="B43" s="146">
        <f>SUM(C43:D43)</f>
        <v>681681</v>
      </c>
      <c r="C43" s="147">
        <f>[1]budgets!$C$52</f>
        <v>681681</v>
      </c>
      <c r="D43" s="147"/>
      <c r="E43" s="147">
        <f t="shared" ref="E43" si="15">B43-SUM(F43:M43)</f>
        <v>681681</v>
      </c>
      <c r="F43" s="147"/>
      <c r="G43" s="147"/>
      <c r="H43" s="147"/>
      <c r="I43" s="147"/>
      <c r="J43" s="147"/>
      <c r="K43" s="147"/>
      <c r="L43" s="147"/>
      <c r="M43" s="147"/>
      <c r="N43" s="147"/>
      <c r="O43" s="147"/>
      <c r="P43" s="147"/>
      <c r="Q43" s="147"/>
      <c r="R43" s="516">
        <f>SUM(E43:Q43)</f>
        <v>681681</v>
      </c>
      <c r="S43" s="147">
        <f>R43</f>
        <v>681681</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3734657</v>
      </c>
      <c r="C45" s="147">
        <f>ROUNDDOWN([1]budgets!$C$54+[1]budgets!$C$55,0)</f>
        <v>3734657</v>
      </c>
      <c r="D45" s="147"/>
      <c r="E45" s="147">
        <f t="shared" ref="E45:E53" si="17">B45-SUM(F45:M45)</f>
        <v>3734657</v>
      </c>
      <c r="F45" s="147"/>
      <c r="G45" s="147"/>
      <c r="H45" s="147"/>
      <c r="I45" s="147"/>
      <c r="J45" s="147"/>
      <c r="K45" s="147"/>
      <c r="L45" s="147"/>
      <c r="M45" s="147"/>
      <c r="N45" s="147"/>
      <c r="O45" s="147"/>
      <c r="P45" s="147"/>
      <c r="Q45" s="147"/>
      <c r="R45" s="516">
        <f t="shared" ref="R45:R53" si="18">SUM(E45:Q45)</f>
        <v>3734657</v>
      </c>
      <c r="S45" s="147">
        <f>ROUND([1]budgets!$D$54,0)</f>
        <v>2145441</v>
      </c>
      <c r="T45" s="147"/>
      <c r="U45" s="143"/>
    </row>
    <row r="46" spans="1:21" s="144" customFormat="1">
      <c r="A46" s="145" t="s">
        <v>151</v>
      </c>
      <c r="B46" s="146">
        <f t="shared" si="16"/>
        <v>305409</v>
      </c>
      <c r="C46" s="147">
        <f>ROUNDDOWN([1]budgets!$C$56,0)</f>
        <v>305409</v>
      </c>
      <c r="D46" s="147"/>
      <c r="E46" s="147">
        <f t="shared" si="17"/>
        <v>305409</v>
      </c>
      <c r="F46" s="147"/>
      <c r="G46" s="147"/>
      <c r="H46" s="147"/>
      <c r="I46" s="147"/>
      <c r="J46" s="147"/>
      <c r="K46" s="147"/>
      <c r="L46" s="147"/>
      <c r="M46" s="147"/>
      <c r="N46" s="147"/>
      <c r="O46" s="147"/>
      <c r="P46" s="147"/>
      <c r="Q46" s="147"/>
      <c r="R46" s="516">
        <f t="shared" si="18"/>
        <v>305409</v>
      </c>
      <c r="S46" s="147">
        <f>ROUND([1]budgets!$D$56,0)</f>
        <v>14242</v>
      </c>
      <c r="T46" s="147"/>
      <c r="U46" s="143"/>
    </row>
    <row r="47" spans="1:21" s="144" customFormat="1">
      <c r="A47" s="186" t="s">
        <v>152</v>
      </c>
      <c r="B47" s="146">
        <f t="shared" si="16"/>
        <v>0</v>
      </c>
      <c r="C47" s="147"/>
      <c r="D47" s="147"/>
      <c r="E47" s="147">
        <f t="shared" si="17"/>
        <v>0</v>
      </c>
      <c r="F47" s="147"/>
      <c r="G47" s="147"/>
      <c r="H47" s="147"/>
      <c r="I47" s="147"/>
      <c r="J47" s="147"/>
      <c r="K47" s="147"/>
      <c r="L47" s="147"/>
      <c r="M47" s="147"/>
      <c r="N47" s="147"/>
      <c r="O47" s="147"/>
      <c r="P47" s="147"/>
      <c r="Q47" s="147"/>
      <c r="R47" s="516">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16">
        <f t="shared" si="18"/>
        <v>0</v>
      </c>
      <c r="S48" s="147"/>
      <c r="T48" s="147"/>
      <c r="U48" s="143"/>
    </row>
    <row r="49" spans="1:21" s="144" customFormat="1">
      <c r="A49" s="145" t="s">
        <v>57</v>
      </c>
      <c r="B49" s="146">
        <f t="shared" si="16"/>
        <v>139632</v>
      </c>
      <c r="C49" s="147">
        <f>ROUND([1]budgets!$C$65,0)</f>
        <v>139632</v>
      </c>
      <c r="D49" s="147"/>
      <c r="E49" s="147">
        <f t="shared" si="17"/>
        <v>139632</v>
      </c>
      <c r="F49" s="147"/>
      <c r="G49" s="147"/>
      <c r="H49" s="147"/>
      <c r="I49" s="147"/>
      <c r="J49" s="147"/>
      <c r="K49" s="147"/>
      <c r="L49" s="147"/>
      <c r="M49" s="147"/>
      <c r="N49" s="147"/>
      <c r="O49" s="147"/>
      <c r="P49" s="147"/>
      <c r="Q49" s="147"/>
      <c r="R49" s="516">
        <f t="shared" si="18"/>
        <v>139632</v>
      </c>
      <c r="S49" s="147">
        <f>ROUND([1]budgets!$D$65,0)</f>
        <v>6511</v>
      </c>
      <c r="T49" s="147"/>
      <c r="U49" s="143"/>
    </row>
    <row r="50" spans="1:21" s="144" customFormat="1">
      <c r="A50" s="145" t="s">
        <v>156</v>
      </c>
      <c r="B50" s="146">
        <f t="shared" si="16"/>
        <v>75000</v>
      </c>
      <c r="C50" s="147">
        <f>[1]budgets!$C$61</f>
        <v>75000</v>
      </c>
      <c r="D50" s="147"/>
      <c r="E50" s="147">
        <f t="shared" si="17"/>
        <v>75000</v>
      </c>
      <c r="F50" s="147"/>
      <c r="G50" s="147"/>
      <c r="H50" s="147"/>
      <c r="I50" s="147"/>
      <c r="J50" s="147"/>
      <c r="K50" s="147"/>
      <c r="L50" s="147"/>
      <c r="M50" s="147"/>
      <c r="N50" s="147"/>
      <c r="O50" s="147"/>
      <c r="P50" s="147"/>
      <c r="Q50" s="147"/>
      <c r="R50" s="516">
        <f t="shared" si="18"/>
        <v>75000</v>
      </c>
      <c r="S50" s="147">
        <f>R50</f>
        <v>75000</v>
      </c>
      <c r="T50" s="147"/>
      <c r="U50" s="143"/>
    </row>
    <row r="51" spans="1:21" s="144" customFormat="1">
      <c r="A51" s="283" t="s">
        <v>154</v>
      </c>
      <c r="B51" s="146">
        <f t="shared" si="16"/>
        <v>10000</v>
      </c>
      <c r="C51" s="147">
        <f>[1]budgets!$C$59</f>
        <v>10000</v>
      </c>
      <c r="D51" s="147"/>
      <c r="E51" s="147">
        <f t="shared" si="17"/>
        <v>10000</v>
      </c>
      <c r="F51" s="147"/>
      <c r="G51" s="147"/>
      <c r="H51" s="147"/>
      <c r="I51" s="147"/>
      <c r="J51" s="147"/>
      <c r="K51" s="147"/>
      <c r="L51" s="147"/>
      <c r="M51" s="147"/>
      <c r="N51" s="147"/>
      <c r="O51" s="147"/>
      <c r="P51" s="147"/>
      <c r="Q51" s="147"/>
      <c r="R51" s="516">
        <f t="shared" si="18"/>
        <v>10000</v>
      </c>
      <c r="S51" s="147">
        <f>R51</f>
        <v>10000</v>
      </c>
      <c r="T51" s="147"/>
      <c r="U51" s="143"/>
    </row>
    <row r="52" spans="1:21" s="144" customFormat="1">
      <c r="A52" s="145" t="s">
        <v>155</v>
      </c>
      <c r="B52" s="146">
        <f t="shared" si="16"/>
        <v>484713</v>
      </c>
      <c r="C52" s="147">
        <f>[1]budgets!$C$60</f>
        <v>484713</v>
      </c>
      <c r="D52" s="147"/>
      <c r="E52" s="147">
        <f t="shared" si="17"/>
        <v>484713</v>
      </c>
      <c r="F52" s="147"/>
      <c r="G52" s="147"/>
      <c r="H52" s="147"/>
      <c r="I52" s="147"/>
      <c r="J52" s="147"/>
      <c r="K52" s="147"/>
      <c r="L52" s="147"/>
      <c r="M52" s="147"/>
      <c r="N52" s="147"/>
      <c r="O52" s="147"/>
      <c r="P52" s="147"/>
      <c r="Q52" s="147"/>
      <c r="R52" s="516">
        <f t="shared" si="18"/>
        <v>484713</v>
      </c>
      <c r="S52" s="147">
        <f>R52</f>
        <v>484713</v>
      </c>
      <c r="T52" s="147"/>
      <c r="U52" s="143"/>
    </row>
    <row r="53" spans="1:21" s="144" customFormat="1">
      <c r="A53" s="1149" t="s">
        <v>2739</v>
      </c>
      <c r="B53" s="146">
        <f t="shared" si="16"/>
        <v>60000</v>
      </c>
      <c r="C53" s="147">
        <f>[1]budgets!$C$58</f>
        <v>60000</v>
      </c>
      <c r="D53" s="147"/>
      <c r="E53" s="147">
        <f t="shared" si="17"/>
        <v>60000</v>
      </c>
      <c r="F53" s="147"/>
      <c r="G53" s="147"/>
      <c r="H53" s="147"/>
      <c r="I53" s="147"/>
      <c r="J53" s="147"/>
      <c r="K53" s="147"/>
      <c r="L53" s="147"/>
      <c r="M53" s="147"/>
      <c r="N53" s="147"/>
      <c r="O53" s="147"/>
      <c r="P53" s="147"/>
      <c r="Q53" s="147"/>
      <c r="R53" s="516">
        <f t="shared" si="18"/>
        <v>60000</v>
      </c>
      <c r="S53" s="147">
        <f>R53</f>
        <v>60000</v>
      </c>
      <c r="T53" s="147"/>
      <c r="U53" s="143"/>
    </row>
    <row r="54" spans="1:21" s="153" customFormat="1">
      <c r="A54" s="149" t="s">
        <v>157</v>
      </c>
      <c r="B54" s="150">
        <f>SUM(C54:D54)</f>
        <v>4809411</v>
      </c>
      <c r="C54" s="150">
        <f t="shared" ref="C54:T54" si="19">SUM(C45:C53)</f>
        <v>4809411</v>
      </c>
      <c r="D54" s="150">
        <f t="shared" si="19"/>
        <v>0</v>
      </c>
      <c r="E54" s="150">
        <f t="shared" si="19"/>
        <v>4809411</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4809411</v>
      </c>
      <c r="S54" s="150">
        <f t="shared" si="19"/>
        <v>2795907</v>
      </c>
      <c r="T54" s="150">
        <f t="shared" si="19"/>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26052</v>
      </c>
      <c r="C56" s="147">
        <f>ROUND([1]budgets!$C$64,0)</f>
        <v>26052</v>
      </c>
      <c r="D56" s="147"/>
      <c r="E56" s="147">
        <f t="shared" ref="E56:E61" si="21">B56-SUM(F56:M56)</f>
        <v>26052</v>
      </c>
      <c r="F56" s="147"/>
      <c r="G56" s="147"/>
      <c r="H56" s="147"/>
      <c r="I56" s="147"/>
      <c r="J56" s="147"/>
      <c r="K56" s="147"/>
      <c r="L56" s="147"/>
      <c r="M56" s="147"/>
      <c r="N56" s="147"/>
      <c r="O56" s="147"/>
      <c r="P56" s="147"/>
      <c r="Q56" s="147"/>
      <c r="R56" s="516">
        <f t="shared" ref="R56:R61" si="22">SUM(E56:Q56)</f>
        <v>26052</v>
      </c>
      <c r="S56" s="148"/>
      <c r="T56" s="148"/>
      <c r="U56" s="143"/>
    </row>
    <row r="57" spans="1:21" s="192" customFormat="1">
      <c r="A57" s="186" t="s">
        <v>152</v>
      </c>
      <c r="B57" s="193">
        <f t="shared" si="20"/>
        <v>0</v>
      </c>
      <c r="C57" s="190"/>
      <c r="D57" s="190"/>
      <c r="E57" s="190">
        <f t="shared" si="21"/>
        <v>0</v>
      </c>
      <c r="F57" s="190"/>
      <c r="G57" s="190"/>
      <c r="H57" s="190"/>
      <c r="I57" s="190"/>
      <c r="J57" s="190"/>
      <c r="K57" s="190"/>
      <c r="L57" s="190"/>
      <c r="M57" s="190"/>
      <c r="N57" s="190"/>
      <c r="O57" s="190"/>
      <c r="P57" s="190"/>
      <c r="Q57" s="190"/>
      <c r="R57" s="516">
        <f t="shared" si="22"/>
        <v>0</v>
      </c>
      <c r="S57" s="194"/>
      <c r="T57" s="194"/>
      <c r="U57" s="191"/>
    </row>
    <row r="58" spans="1:21" s="144" customFormat="1">
      <c r="A58" s="145" t="s">
        <v>156</v>
      </c>
      <c r="B58" s="146">
        <f t="shared" si="20"/>
        <v>10000</v>
      </c>
      <c r="C58" s="147">
        <f>[1]budgets!$C$66</f>
        <v>10000</v>
      </c>
      <c r="D58" s="147"/>
      <c r="E58" s="147">
        <f t="shared" si="21"/>
        <v>10000</v>
      </c>
      <c r="F58" s="147"/>
      <c r="G58" s="147"/>
      <c r="H58" s="147"/>
      <c r="I58" s="147"/>
      <c r="J58" s="147"/>
      <c r="K58" s="147"/>
      <c r="L58" s="147"/>
      <c r="M58" s="147"/>
      <c r="N58" s="147"/>
      <c r="O58" s="147"/>
      <c r="P58" s="147"/>
      <c r="Q58" s="147"/>
      <c r="R58" s="516">
        <f t="shared" si="22"/>
        <v>10000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29</v>
      </c>
      <c r="B61" s="146">
        <f t="shared" si="20"/>
        <v>20000</v>
      </c>
      <c r="C61" s="147">
        <f>[1]budgets!$C$68</f>
        <v>20000</v>
      </c>
      <c r="D61" s="147"/>
      <c r="E61" s="147">
        <f t="shared" si="21"/>
        <v>20000</v>
      </c>
      <c r="F61" s="147"/>
      <c r="G61" s="147"/>
      <c r="H61" s="147"/>
      <c r="I61" s="147"/>
      <c r="J61" s="147"/>
      <c r="K61" s="147"/>
      <c r="L61" s="147"/>
      <c r="M61" s="147"/>
      <c r="N61" s="147"/>
      <c r="O61" s="147"/>
      <c r="P61" s="147"/>
      <c r="Q61" s="147"/>
      <c r="R61" s="516">
        <f t="shared" si="22"/>
        <v>20000</v>
      </c>
      <c r="S61" s="148"/>
      <c r="T61" s="148"/>
      <c r="U61" s="143"/>
    </row>
    <row r="62" spans="1:21" s="144" customFormat="1" ht="13.75" customHeight="1">
      <c r="A62" s="149" t="s">
        <v>301</v>
      </c>
      <c r="B62" s="146">
        <f>SUM(C62:D62)</f>
        <v>56052</v>
      </c>
      <c r="C62" s="146">
        <f t="shared" ref="C62:R62" si="23">SUM(C56:C61)</f>
        <v>56052</v>
      </c>
      <c r="D62" s="146">
        <f t="shared" si="23"/>
        <v>0</v>
      </c>
      <c r="E62" s="146">
        <f t="shared" si="23"/>
        <v>56052</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56052</v>
      </c>
      <c r="S62" s="148"/>
      <c r="T62" s="148"/>
      <c r="U62" s="143"/>
    </row>
    <row r="63" spans="1:21" s="144" customFormat="1">
      <c r="A63" s="154" t="s">
        <v>302</v>
      </c>
      <c r="B63" s="146">
        <f t="shared" ref="B63:R63" ca="1" si="24">SUM(B8+B11+B13+B14+B15+B26+B27+B38+B42+B43+B54+B62)</f>
        <v>47532644</v>
      </c>
      <c r="C63" s="146">
        <f t="shared" ca="1" si="24"/>
        <v>47532644</v>
      </c>
      <c r="D63" s="146">
        <f t="shared" si="24"/>
        <v>0</v>
      </c>
      <c r="E63" s="146">
        <f t="shared" ca="1" si="24"/>
        <v>22572344</v>
      </c>
      <c r="F63" s="146">
        <f t="shared" si="24"/>
        <v>2605200</v>
      </c>
      <c r="G63" s="146">
        <f t="shared" si="24"/>
        <v>5000000</v>
      </c>
      <c r="H63" s="146">
        <f t="shared" si="24"/>
        <v>10000000</v>
      </c>
      <c r="I63" s="146">
        <f t="shared" si="24"/>
        <v>7000000</v>
      </c>
      <c r="J63" s="146">
        <f t="shared" si="24"/>
        <v>355000</v>
      </c>
      <c r="K63" s="146">
        <f t="shared" si="24"/>
        <v>0</v>
      </c>
      <c r="L63" s="146">
        <f t="shared" si="24"/>
        <v>100</v>
      </c>
      <c r="M63" s="146">
        <f t="shared" si="24"/>
        <v>0</v>
      </c>
      <c r="N63" s="146">
        <f t="shared" si="24"/>
        <v>0</v>
      </c>
      <c r="O63" s="146">
        <f t="shared" si="24"/>
        <v>0</v>
      </c>
      <c r="P63" s="146">
        <f t="shared" si="24"/>
        <v>0</v>
      </c>
      <c r="Q63" s="146">
        <f t="shared" si="24"/>
        <v>0</v>
      </c>
      <c r="R63" s="342">
        <f t="shared" ca="1" si="24"/>
        <v>47532644</v>
      </c>
      <c r="S63" s="146">
        <f ca="1">SUM(S10+S13+S14+S15+S26+S27+S38+S42+S43+S54)</f>
        <v>45083088</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[1]budgets!$C$71</f>
        <v>60000</v>
      </c>
      <c r="D65" s="147"/>
      <c r="E65" s="147">
        <f t="shared" ref="E65:E69" si="25">B65-SUM(F65:M65)</f>
        <v>60000</v>
      </c>
      <c r="F65" s="147"/>
      <c r="G65" s="147"/>
      <c r="H65" s="147"/>
      <c r="I65" s="147"/>
      <c r="J65" s="147"/>
      <c r="K65" s="147"/>
      <c r="L65" s="147"/>
      <c r="M65" s="147"/>
      <c r="N65" s="147"/>
      <c r="O65" s="147"/>
      <c r="P65" s="147"/>
      <c r="Q65" s="147"/>
      <c r="R65" s="516">
        <f>SUM(E65:Q65)</f>
        <v>60000</v>
      </c>
      <c r="S65" s="147">
        <f>ROUND([1]budgets!$D$71,0)</f>
        <v>2798</v>
      </c>
      <c r="T65" s="147"/>
      <c r="U65" s="143"/>
    </row>
    <row r="66" spans="1:21" s="144" customFormat="1" ht="24" customHeight="1">
      <c r="A66" s="283" t="s">
        <v>1641</v>
      </c>
      <c r="B66" s="146">
        <f>SUM(C66+D66)</f>
        <v>0</v>
      </c>
      <c r="C66" s="147"/>
      <c r="D66" s="147"/>
      <c r="E66" s="147">
        <f t="shared" si="25"/>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f t="shared" si="25"/>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2740</v>
      </c>
      <c r="B69" s="146">
        <f>SUM(C69+D69)</f>
        <v>60000</v>
      </c>
      <c r="C69" s="147">
        <f>[1]budgets!$C$72</f>
        <v>60000</v>
      </c>
      <c r="D69" s="147"/>
      <c r="E69" s="147">
        <f t="shared" si="25"/>
        <v>60000</v>
      </c>
      <c r="F69" s="147"/>
      <c r="G69" s="147"/>
      <c r="H69" s="147"/>
      <c r="I69" s="147"/>
      <c r="J69" s="147"/>
      <c r="K69" s="147"/>
      <c r="L69" s="147"/>
      <c r="M69" s="147"/>
      <c r="N69" s="147"/>
      <c r="O69" s="147"/>
      <c r="P69" s="147"/>
      <c r="Q69" s="147"/>
      <c r="R69" s="516">
        <f>SUM(E69:Q69)</f>
        <v>60000</v>
      </c>
      <c r="S69" s="147">
        <f>R69</f>
        <v>60000</v>
      </c>
      <c r="T69" s="147"/>
      <c r="U69" s="143"/>
    </row>
    <row r="70" spans="1:21" s="144" customFormat="1">
      <c r="A70" s="149" t="s">
        <v>1645</v>
      </c>
      <c r="B70" s="146">
        <f>SUM(C70:D70)</f>
        <v>120000</v>
      </c>
      <c r="C70" s="146">
        <f>SUM(C65:C69)</f>
        <v>120000</v>
      </c>
      <c r="D70" s="146">
        <f>SUM(D65:D69)</f>
        <v>0</v>
      </c>
      <c r="E70" s="146">
        <f t="shared" ref="E70:T70" si="26">SUM(E65:E69)</f>
        <v>120000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120000</v>
      </c>
      <c r="S70" s="150">
        <f t="shared" si="26"/>
        <v>62798</v>
      </c>
      <c r="T70" s="150">
        <f t="shared" si="26"/>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7">B72-SUM(F72:M72)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487970</v>
      </c>
      <c r="C75" s="147">
        <f>ROUND([1]budgets!$C$75,0)</f>
        <v>487970</v>
      </c>
      <c r="D75" s="147"/>
      <c r="E75" s="147">
        <f t="shared" si="27"/>
        <v>487970</v>
      </c>
      <c r="F75" s="147"/>
      <c r="G75" s="147"/>
      <c r="H75" s="147"/>
      <c r="I75" s="147"/>
      <c r="J75" s="147"/>
      <c r="K75" s="147"/>
      <c r="L75" s="147"/>
      <c r="M75" s="147"/>
      <c r="N75" s="147"/>
      <c r="O75" s="147"/>
      <c r="P75" s="147"/>
      <c r="Q75" s="147"/>
      <c r="R75" s="516">
        <f>SUM(E75:Q75)</f>
        <v>487970</v>
      </c>
      <c r="S75" s="148"/>
      <c r="T75" s="148"/>
      <c r="U75" s="143"/>
    </row>
    <row r="76" spans="1:21" s="144" customFormat="1">
      <c r="A76" s="1149" t="s">
        <v>2741</v>
      </c>
      <c r="B76" s="146">
        <f>SUM(C76+D76)</f>
        <v>100000</v>
      </c>
      <c r="C76" s="147">
        <f>[1]budgets!$C$76</f>
        <v>100000</v>
      </c>
      <c r="D76" s="147"/>
      <c r="E76" s="147">
        <f t="shared" si="27"/>
        <v>100000</v>
      </c>
      <c r="F76" s="147"/>
      <c r="G76" s="147"/>
      <c r="H76" s="147"/>
      <c r="I76" s="147"/>
      <c r="J76" s="147"/>
      <c r="K76" s="147"/>
      <c r="L76" s="147"/>
      <c r="M76" s="147"/>
      <c r="N76" s="147"/>
      <c r="O76" s="147"/>
      <c r="P76" s="147"/>
      <c r="Q76" s="147"/>
      <c r="R76" s="516">
        <f>SUM(E76:Q76)</f>
        <v>100000</v>
      </c>
      <c r="S76" s="148"/>
      <c r="T76" s="148"/>
      <c r="U76" s="143"/>
    </row>
    <row r="77" spans="1:21" s="144" customFormat="1">
      <c r="A77" s="149" t="s">
        <v>606</v>
      </c>
      <c r="B77" s="146">
        <f>SUM(C77:D77)</f>
        <v>587970</v>
      </c>
      <c r="C77" s="146">
        <f>SUM(C72:C76)</f>
        <v>587970</v>
      </c>
      <c r="D77" s="146">
        <f>SUM(D72:D76)</f>
        <v>0</v>
      </c>
      <c r="E77" s="146">
        <f t="shared" ref="E77:Q77" si="28">SUM(E72:E76)</f>
        <v>587970</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587970</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3045788</v>
      </c>
      <c r="C79" s="147">
        <f>ROUND([1]budgets!$C$80,0)</f>
        <v>3045788</v>
      </c>
      <c r="D79" s="147"/>
      <c r="E79" s="147">
        <f t="shared" ref="E79:E80" si="29">B79-SUM(F79:M79)</f>
        <v>3045788</v>
      </c>
      <c r="F79" s="147"/>
      <c r="G79" s="147"/>
      <c r="H79" s="147"/>
      <c r="I79" s="147"/>
      <c r="J79" s="147"/>
      <c r="K79" s="147"/>
      <c r="L79" s="147"/>
      <c r="M79" s="147"/>
      <c r="N79" s="147"/>
      <c r="O79" s="147"/>
      <c r="P79" s="147"/>
      <c r="Q79" s="147"/>
      <c r="R79" s="516">
        <f>SUM(E79:Q79)</f>
        <v>3045788</v>
      </c>
      <c r="S79" s="147">
        <f>R79</f>
        <v>3045788</v>
      </c>
      <c r="T79" s="147"/>
      <c r="U79" s="143"/>
    </row>
    <row r="80" spans="1:21" s="144" customFormat="1">
      <c r="A80" s="283" t="s">
        <v>58</v>
      </c>
      <c r="B80" s="146">
        <f>SUM(C80:D80)</f>
        <v>200000</v>
      </c>
      <c r="C80" s="147">
        <f>[1]budgets!$C$91</f>
        <v>200000</v>
      </c>
      <c r="D80" s="147"/>
      <c r="E80" s="147">
        <f t="shared" si="29"/>
        <v>200000</v>
      </c>
      <c r="F80" s="147"/>
      <c r="G80" s="147"/>
      <c r="H80" s="147"/>
      <c r="I80" s="147"/>
      <c r="J80" s="147"/>
      <c r="K80" s="147"/>
      <c r="L80" s="147"/>
      <c r="M80" s="147"/>
      <c r="N80" s="147"/>
      <c r="O80" s="147"/>
      <c r="P80" s="147"/>
      <c r="Q80" s="147"/>
      <c r="R80" s="516">
        <f>SUM(E80:Q80)</f>
        <v>200000</v>
      </c>
      <c r="S80" s="147">
        <f>R80</f>
        <v>200000</v>
      </c>
      <c r="T80" s="147"/>
      <c r="U80" s="143"/>
    </row>
    <row r="81" spans="1:21" s="144" customFormat="1">
      <c r="A81" s="149" t="s">
        <v>1209</v>
      </c>
      <c r="B81" s="146">
        <f>SUM(C81:D81)</f>
        <v>3245788</v>
      </c>
      <c r="C81" s="509">
        <f>SUM(C79:C80)</f>
        <v>3245788</v>
      </c>
      <c r="D81" s="509">
        <f t="shared" ref="D81:T81" si="30">SUM(D79:D80)</f>
        <v>0</v>
      </c>
      <c r="E81" s="509">
        <f t="shared" si="30"/>
        <v>3245788</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3245788</v>
      </c>
      <c r="S81" s="509">
        <f t="shared" si="30"/>
        <v>3245788</v>
      </c>
      <c r="T81" s="509">
        <f t="shared" si="30"/>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1">SUM(C83+D83)</f>
        <v>85290</v>
      </c>
      <c r="C83" s="147">
        <f>ROUND([1]budgets!$C$82,0)</f>
        <v>85290</v>
      </c>
      <c r="D83" s="147"/>
      <c r="E83" s="147">
        <f t="shared" ref="E83:E95" si="32">B83-SUM(F83:M83)</f>
        <v>85290</v>
      </c>
      <c r="F83" s="147"/>
      <c r="G83" s="147"/>
      <c r="H83" s="147"/>
      <c r="I83" s="147"/>
      <c r="J83" s="147"/>
      <c r="K83" s="147"/>
      <c r="L83" s="147"/>
      <c r="M83" s="147"/>
      <c r="N83" s="147"/>
      <c r="O83" s="147"/>
      <c r="P83" s="147"/>
      <c r="Q83" s="147"/>
      <c r="R83" s="516">
        <f t="shared" ref="R83:R95" si="33">SUM(E83:Q83)</f>
        <v>85290</v>
      </c>
      <c r="S83" s="148"/>
      <c r="T83" s="148"/>
      <c r="U83" s="143"/>
    </row>
    <row r="84" spans="1:21" s="144" customFormat="1">
      <c r="A84" s="145" t="s">
        <v>767</v>
      </c>
      <c r="B84" s="146">
        <f t="shared" si="31"/>
        <v>70000</v>
      </c>
      <c r="C84" s="147">
        <f>[1]budgets!$C$87</f>
        <v>70000</v>
      </c>
      <c r="D84" s="147"/>
      <c r="E84" s="147">
        <f t="shared" si="32"/>
        <v>70000</v>
      </c>
      <c r="F84" s="147"/>
      <c r="G84" s="147"/>
      <c r="H84" s="147"/>
      <c r="I84" s="147"/>
      <c r="J84" s="147"/>
      <c r="K84" s="147"/>
      <c r="L84" s="147"/>
      <c r="M84" s="147"/>
      <c r="N84" s="147"/>
      <c r="O84" s="147"/>
      <c r="P84" s="147"/>
      <c r="Q84" s="147"/>
      <c r="R84" s="516">
        <f t="shared" si="33"/>
        <v>70000</v>
      </c>
      <c r="S84" s="147">
        <f>R84</f>
        <v>70000</v>
      </c>
      <c r="T84" s="147"/>
      <c r="U84" s="143"/>
    </row>
    <row r="85" spans="1:21" s="144" customFormat="1">
      <c r="A85" s="145" t="s">
        <v>768</v>
      </c>
      <c r="B85" s="146">
        <f t="shared" si="31"/>
        <v>2025681</v>
      </c>
      <c r="C85" s="147">
        <f>[1]budgets!$C$83</f>
        <v>2025681</v>
      </c>
      <c r="D85" s="147"/>
      <c r="E85" s="147">
        <f t="shared" si="32"/>
        <v>2025681</v>
      </c>
      <c r="F85" s="147"/>
      <c r="G85" s="147"/>
      <c r="H85" s="147"/>
      <c r="I85" s="147"/>
      <c r="J85" s="147"/>
      <c r="K85" s="147"/>
      <c r="L85" s="147"/>
      <c r="M85" s="147"/>
      <c r="N85" s="147"/>
      <c r="O85" s="147"/>
      <c r="P85" s="147"/>
      <c r="Q85" s="147"/>
      <c r="R85" s="516">
        <f t="shared" si="33"/>
        <v>2025681</v>
      </c>
      <c r="S85" s="147">
        <f>R85</f>
        <v>2025681</v>
      </c>
      <c r="T85" s="147"/>
      <c r="U85" s="143"/>
    </row>
    <row r="86" spans="1:21" s="144" customFormat="1">
      <c r="A86" s="145" t="s">
        <v>769</v>
      </c>
      <c r="B86" s="146">
        <f t="shared" si="31"/>
        <v>746876</v>
      </c>
      <c r="C86" s="147">
        <f>[1]budgets!$C$84</f>
        <v>746876</v>
      </c>
      <c r="D86" s="147"/>
      <c r="E86" s="147">
        <f t="shared" si="32"/>
        <v>746876</v>
      </c>
      <c r="F86" s="147"/>
      <c r="G86" s="147"/>
      <c r="H86" s="147"/>
      <c r="I86" s="147"/>
      <c r="J86" s="147"/>
      <c r="K86" s="147"/>
      <c r="L86" s="147"/>
      <c r="M86" s="147"/>
      <c r="N86" s="147"/>
      <c r="O86" s="147"/>
      <c r="P86" s="147"/>
      <c r="Q86" s="147"/>
      <c r="R86" s="516">
        <f t="shared" si="33"/>
        <v>746876</v>
      </c>
      <c r="S86" s="147">
        <f>R86</f>
        <v>746876</v>
      </c>
      <c r="T86" s="147"/>
      <c r="U86" s="143"/>
    </row>
    <row r="87" spans="1:21" s="144" customFormat="1">
      <c r="A87" s="145" t="s">
        <v>770</v>
      </c>
      <c r="B87" s="146">
        <f t="shared" si="31"/>
        <v>0</v>
      </c>
      <c r="C87" s="147"/>
      <c r="D87" s="147"/>
      <c r="E87" s="147">
        <f t="shared" si="32"/>
        <v>0</v>
      </c>
      <c r="F87" s="147"/>
      <c r="G87" s="147"/>
      <c r="H87" s="147"/>
      <c r="I87" s="147"/>
      <c r="J87" s="147"/>
      <c r="K87" s="147"/>
      <c r="L87" s="147"/>
      <c r="M87" s="147"/>
      <c r="N87" s="147"/>
      <c r="O87" s="147"/>
      <c r="P87" s="147"/>
      <c r="Q87" s="147"/>
      <c r="R87" s="516">
        <f t="shared" si="33"/>
        <v>0</v>
      </c>
      <c r="S87" s="147"/>
      <c r="T87" s="147"/>
      <c r="U87" s="143"/>
    </row>
    <row r="88" spans="1:21" s="144" customFormat="1">
      <c r="A88" s="145" t="s">
        <v>771</v>
      </c>
      <c r="B88" s="146">
        <f t="shared" si="31"/>
        <v>30000</v>
      </c>
      <c r="C88" s="147">
        <f>[1]budgets!$C$86</f>
        <v>30000</v>
      </c>
      <c r="D88" s="147"/>
      <c r="E88" s="147">
        <f t="shared" si="32"/>
        <v>30000</v>
      </c>
      <c r="F88" s="147"/>
      <c r="G88" s="147"/>
      <c r="H88" s="147"/>
      <c r="I88" s="147"/>
      <c r="J88" s="147"/>
      <c r="K88" s="147"/>
      <c r="L88" s="147"/>
      <c r="M88" s="147"/>
      <c r="N88" s="147"/>
      <c r="O88" s="147"/>
      <c r="P88" s="147"/>
      <c r="Q88" s="147"/>
      <c r="R88" s="516">
        <f t="shared" si="33"/>
        <v>30000</v>
      </c>
      <c r="S88" s="148"/>
      <c r="T88" s="148"/>
      <c r="U88" s="143"/>
    </row>
    <row r="89" spans="1:21" s="144" customFormat="1">
      <c r="A89" s="145" t="s">
        <v>772</v>
      </c>
      <c r="B89" s="146">
        <f t="shared" si="31"/>
        <v>30000</v>
      </c>
      <c r="C89" s="147">
        <f>[1]budgets!$C$89</f>
        <v>30000</v>
      </c>
      <c r="D89" s="147"/>
      <c r="E89" s="147">
        <f t="shared" si="32"/>
        <v>30000</v>
      </c>
      <c r="F89" s="147"/>
      <c r="G89" s="147"/>
      <c r="H89" s="147"/>
      <c r="I89" s="147"/>
      <c r="J89" s="147"/>
      <c r="K89" s="147"/>
      <c r="L89" s="147"/>
      <c r="M89" s="147"/>
      <c r="N89" s="147"/>
      <c r="O89" s="147"/>
      <c r="P89" s="147"/>
      <c r="Q89" s="147"/>
      <c r="R89" s="516">
        <f t="shared" si="33"/>
        <v>30000</v>
      </c>
      <c r="S89" s="147">
        <f>R89</f>
        <v>30000</v>
      </c>
      <c r="T89" s="147"/>
      <c r="U89" s="143"/>
    </row>
    <row r="90" spans="1:21" s="144" customFormat="1">
      <c r="A90" s="145" t="s">
        <v>773</v>
      </c>
      <c r="B90" s="146">
        <f t="shared" si="31"/>
        <v>20000</v>
      </c>
      <c r="C90" s="147">
        <f>[1]budgets!$C$85</f>
        <v>20000</v>
      </c>
      <c r="D90" s="147"/>
      <c r="E90" s="147">
        <f t="shared" si="32"/>
        <v>20000</v>
      </c>
      <c r="F90" s="147"/>
      <c r="G90" s="147"/>
      <c r="H90" s="147"/>
      <c r="I90" s="147"/>
      <c r="J90" s="147"/>
      <c r="K90" s="147"/>
      <c r="L90" s="147"/>
      <c r="M90" s="147"/>
      <c r="N90" s="147"/>
      <c r="O90" s="147"/>
      <c r="P90" s="147"/>
      <c r="Q90" s="147"/>
      <c r="R90" s="516">
        <f t="shared" si="33"/>
        <v>20000</v>
      </c>
      <c r="S90" s="147"/>
      <c r="T90" s="147"/>
      <c r="U90" s="143"/>
    </row>
    <row r="91" spans="1:21" s="144" customFormat="1">
      <c r="A91" s="145" t="s">
        <v>372</v>
      </c>
      <c r="B91" s="146">
        <f t="shared" si="31"/>
        <v>0</v>
      </c>
      <c r="C91" s="147"/>
      <c r="D91" s="147"/>
      <c r="E91" s="147">
        <f t="shared" si="32"/>
        <v>0</v>
      </c>
      <c r="F91" s="147"/>
      <c r="G91" s="147"/>
      <c r="H91" s="147"/>
      <c r="I91" s="147"/>
      <c r="J91" s="147"/>
      <c r="K91" s="147"/>
      <c r="L91" s="147"/>
      <c r="M91" s="147"/>
      <c r="N91" s="147"/>
      <c r="O91" s="147"/>
      <c r="P91" s="147"/>
      <c r="Q91" s="147"/>
      <c r="R91" s="516">
        <f t="shared" si="33"/>
        <v>0</v>
      </c>
      <c r="S91" s="147"/>
      <c r="T91" s="147"/>
      <c r="U91" s="143"/>
    </row>
    <row r="92" spans="1:21" s="144" customFormat="1">
      <c r="A92" s="283" t="s">
        <v>1211</v>
      </c>
      <c r="B92" s="146">
        <f t="shared" si="31"/>
        <v>27500</v>
      </c>
      <c r="C92" s="147">
        <f>[1]budgets!$C$79</f>
        <v>27500</v>
      </c>
      <c r="D92" s="147"/>
      <c r="E92" s="147">
        <f t="shared" si="32"/>
        <v>27500</v>
      </c>
      <c r="F92" s="147"/>
      <c r="G92" s="147"/>
      <c r="H92" s="147"/>
      <c r="I92" s="147"/>
      <c r="J92" s="147"/>
      <c r="K92" s="147"/>
      <c r="L92" s="147"/>
      <c r="M92" s="147"/>
      <c r="N92" s="147"/>
      <c r="O92" s="147"/>
      <c r="P92" s="147"/>
      <c r="Q92" s="147"/>
      <c r="R92" s="516">
        <f t="shared" si="33"/>
        <v>27500</v>
      </c>
      <c r="S92" s="147">
        <f>R92</f>
        <v>27500</v>
      </c>
      <c r="T92" s="147"/>
      <c r="U92" s="143"/>
    </row>
    <row r="93" spans="1:21" s="144" customFormat="1">
      <c r="A93" s="1149" t="s">
        <v>2742</v>
      </c>
      <c r="B93" s="146">
        <f t="shared" si="31"/>
        <v>35000</v>
      </c>
      <c r="C93" s="147">
        <f>[1]budgets!$C$90</f>
        <v>35000</v>
      </c>
      <c r="D93" s="147"/>
      <c r="E93" s="147">
        <f t="shared" si="32"/>
        <v>35000</v>
      </c>
      <c r="F93" s="147"/>
      <c r="G93" s="147"/>
      <c r="H93" s="147"/>
      <c r="I93" s="147"/>
      <c r="J93" s="147"/>
      <c r="K93" s="147"/>
      <c r="L93" s="147"/>
      <c r="M93" s="147"/>
      <c r="N93" s="147"/>
      <c r="O93" s="147"/>
      <c r="P93" s="147"/>
      <c r="Q93" s="147"/>
      <c r="R93" s="516">
        <f t="shared" si="33"/>
        <v>35000</v>
      </c>
      <c r="S93" s="147">
        <f>R93</f>
        <v>35000</v>
      </c>
      <c r="T93" s="147"/>
      <c r="U93" s="143"/>
    </row>
    <row r="94" spans="1:21" s="144" customFormat="1">
      <c r="A94" s="1149" t="s">
        <v>34</v>
      </c>
      <c r="B94" s="146">
        <f t="shared" si="31"/>
        <v>0</v>
      </c>
      <c r="C94" s="147"/>
      <c r="D94" s="147"/>
      <c r="E94" s="147">
        <f t="shared" si="32"/>
        <v>0</v>
      </c>
      <c r="F94" s="147"/>
      <c r="G94" s="147"/>
      <c r="H94" s="147"/>
      <c r="I94" s="147"/>
      <c r="J94" s="147"/>
      <c r="K94" s="147"/>
      <c r="L94" s="147"/>
      <c r="M94" s="147"/>
      <c r="N94" s="147"/>
      <c r="O94" s="147"/>
      <c r="P94" s="147"/>
      <c r="Q94" s="147"/>
      <c r="R94" s="516">
        <f t="shared" si="33"/>
        <v>0</v>
      </c>
      <c r="S94" s="147"/>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c r="T95" s="147"/>
      <c r="U95" s="143"/>
    </row>
    <row r="96" spans="1:21" s="144" customFormat="1">
      <c r="A96" s="149" t="s">
        <v>774</v>
      </c>
      <c r="B96" s="146">
        <f>SUM(C96:D96)</f>
        <v>3070347</v>
      </c>
      <c r="C96" s="146">
        <f t="shared" ref="C96:R96" si="34">SUM(C83:C95)</f>
        <v>3070347</v>
      </c>
      <c r="D96" s="146">
        <f t="shared" si="34"/>
        <v>0</v>
      </c>
      <c r="E96" s="146">
        <f t="shared" si="34"/>
        <v>3070347</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3070347</v>
      </c>
      <c r="S96" s="150">
        <f>SUM(S84:S87,S89:S95)</f>
        <v>2935057</v>
      </c>
      <c r="T96" s="146">
        <f>SUM(T84:T87,T89:T95)</f>
        <v>0</v>
      </c>
      <c r="U96" s="143"/>
    </row>
    <row r="97" spans="1:21" s="144" customFormat="1">
      <c r="A97" s="149" t="s">
        <v>775</v>
      </c>
      <c r="B97" s="146">
        <f ca="1">SUM(C97:D97)</f>
        <v>54556749</v>
      </c>
      <c r="C97" s="146">
        <f t="shared" ref="C97:R97" ca="1" si="35">SUM(C63+C70+C77+C81+C96)</f>
        <v>54556749</v>
      </c>
      <c r="D97" s="146">
        <f t="shared" si="35"/>
        <v>0</v>
      </c>
      <c r="E97" s="146">
        <f t="shared" ca="1" si="35"/>
        <v>29596449</v>
      </c>
      <c r="F97" s="146">
        <f t="shared" si="35"/>
        <v>2605200</v>
      </c>
      <c r="G97" s="146">
        <f t="shared" si="35"/>
        <v>5000000</v>
      </c>
      <c r="H97" s="146">
        <f t="shared" si="35"/>
        <v>10000000</v>
      </c>
      <c r="I97" s="146">
        <f t="shared" si="35"/>
        <v>7000000</v>
      </c>
      <c r="J97" s="146">
        <f t="shared" si="35"/>
        <v>355000</v>
      </c>
      <c r="K97" s="146">
        <f t="shared" si="35"/>
        <v>0</v>
      </c>
      <c r="L97" s="146">
        <f t="shared" si="35"/>
        <v>100</v>
      </c>
      <c r="M97" s="146">
        <f t="shared" si="35"/>
        <v>0</v>
      </c>
      <c r="N97" s="146">
        <f t="shared" si="35"/>
        <v>0</v>
      </c>
      <c r="O97" s="146">
        <f t="shared" si="35"/>
        <v>0</v>
      </c>
      <c r="P97" s="146">
        <f t="shared" si="35"/>
        <v>0</v>
      </c>
      <c r="Q97" s="146">
        <f t="shared" si="35"/>
        <v>0</v>
      </c>
      <c r="R97" s="146">
        <f t="shared" ca="1" si="35"/>
        <v>54556749</v>
      </c>
      <c r="S97" s="146">
        <f ca="1">SUM(S63+S70+S81+S96)</f>
        <v>51326731</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2500000</v>
      </c>
      <c r="C99" s="979">
        <f>[1]budgets!$C$95</f>
        <v>2500000</v>
      </c>
      <c r="D99" s="979"/>
      <c r="E99" s="979">
        <f t="shared" ref="E99:E103" si="36">B99-SUM(F99:M99)</f>
        <v>2000100</v>
      </c>
      <c r="F99" s="147"/>
      <c r="G99" s="147"/>
      <c r="H99" s="147"/>
      <c r="I99" s="147"/>
      <c r="J99" s="147"/>
      <c r="K99" s="147">
        <f>Application!AO632</f>
        <v>499900</v>
      </c>
      <c r="L99" s="147"/>
      <c r="M99" s="147"/>
      <c r="N99" s="147"/>
      <c r="O99" s="147"/>
      <c r="P99" s="147"/>
      <c r="Q99" s="147"/>
      <c r="R99" s="516">
        <f>SUM(E99:Q99)</f>
        <v>2500000</v>
      </c>
      <c r="S99" s="147">
        <f>R99</f>
        <v>2500000</v>
      </c>
      <c r="T99" s="147"/>
      <c r="U99" s="143"/>
    </row>
    <row r="100" spans="1:21" s="144" customFormat="1">
      <c r="A100" s="283" t="s">
        <v>1646</v>
      </c>
      <c r="B100" s="146">
        <f>SUM(C100+D100)</f>
        <v>0</v>
      </c>
      <c r="C100" s="147"/>
      <c r="D100" s="147"/>
      <c r="E100" s="147">
        <f t="shared" si="36"/>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6"/>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f t="shared" si="36"/>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6"/>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2500000</v>
      </c>
      <c r="C104" s="146">
        <f>SUM(C99:C103)</f>
        <v>2500000</v>
      </c>
      <c r="D104" s="146">
        <f t="shared" ref="D104:T104" si="37">SUM(D99:D103)</f>
        <v>0</v>
      </c>
      <c r="E104" s="146">
        <f t="shared" si="37"/>
        <v>2000100</v>
      </c>
      <c r="F104" s="146">
        <f t="shared" si="37"/>
        <v>0</v>
      </c>
      <c r="G104" s="146">
        <f t="shared" si="37"/>
        <v>0</v>
      </c>
      <c r="H104" s="146">
        <f t="shared" si="37"/>
        <v>0</v>
      </c>
      <c r="I104" s="146">
        <f t="shared" si="37"/>
        <v>0</v>
      </c>
      <c r="J104" s="146">
        <f t="shared" si="37"/>
        <v>0</v>
      </c>
      <c r="K104" s="146">
        <f t="shared" si="37"/>
        <v>499900</v>
      </c>
      <c r="L104" s="146">
        <f t="shared" si="37"/>
        <v>0</v>
      </c>
      <c r="M104" s="146">
        <f t="shared" si="37"/>
        <v>0</v>
      </c>
      <c r="N104" s="146">
        <f t="shared" si="37"/>
        <v>0</v>
      </c>
      <c r="O104" s="146">
        <f t="shared" si="37"/>
        <v>0</v>
      </c>
      <c r="P104" s="146">
        <f t="shared" si="37"/>
        <v>0</v>
      </c>
      <c r="Q104" s="146">
        <f t="shared" si="37"/>
        <v>0</v>
      </c>
      <c r="R104" s="342">
        <f t="shared" si="37"/>
        <v>2500000</v>
      </c>
      <c r="S104" s="150">
        <f t="shared" si="37"/>
        <v>2500000</v>
      </c>
      <c r="T104" s="150">
        <f t="shared" si="37"/>
        <v>0</v>
      </c>
      <c r="U104" s="143"/>
    </row>
    <row r="105" spans="1:21" s="144" customFormat="1">
      <c r="A105" s="149" t="s">
        <v>780</v>
      </c>
      <c r="B105" s="150">
        <f ca="1">SUM(C105:D105)</f>
        <v>57056749</v>
      </c>
      <c r="C105" s="150">
        <f t="shared" ref="C105:R105" ca="1" si="38">SUM(C97+C104)</f>
        <v>57056749</v>
      </c>
      <c r="D105" s="150">
        <f t="shared" si="38"/>
        <v>0</v>
      </c>
      <c r="E105" s="150">
        <f t="shared" ca="1" si="38"/>
        <v>31596549</v>
      </c>
      <c r="F105" s="150">
        <f t="shared" si="38"/>
        <v>2605200</v>
      </c>
      <c r="G105" s="150">
        <f t="shared" si="38"/>
        <v>5000000</v>
      </c>
      <c r="H105" s="150">
        <f t="shared" si="38"/>
        <v>10000000</v>
      </c>
      <c r="I105" s="150">
        <f t="shared" si="38"/>
        <v>7000000</v>
      </c>
      <c r="J105" s="150">
        <f t="shared" si="38"/>
        <v>355000</v>
      </c>
      <c r="K105" s="150">
        <f t="shared" si="38"/>
        <v>499900</v>
      </c>
      <c r="L105" s="150">
        <f t="shared" si="38"/>
        <v>100</v>
      </c>
      <c r="M105" s="150">
        <f t="shared" si="38"/>
        <v>0</v>
      </c>
      <c r="N105" s="150">
        <f t="shared" si="38"/>
        <v>0</v>
      </c>
      <c r="O105" s="150">
        <f t="shared" si="38"/>
        <v>0</v>
      </c>
      <c r="P105" s="150">
        <f t="shared" si="38"/>
        <v>0</v>
      </c>
      <c r="Q105" s="150">
        <f t="shared" si="38"/>
        <v>0</v>
      </c>
      <c r="R105" s="342">
        <f t="shared" ca="1" si="38"/>
        <v>57056749</v>
      </c>
      <c r="S105" s="150">
        <f ca="1">S97+S104</f>
        <v>53826731</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53826731</v>
      </c>
      <c r="T107" s="150">
        <f>T105+T106</f>
        <v>0</v>
      </c>
    </row>
    <row r="108" spans="1:21" s="189" customFormat="1">
      <c r="A108" s="162" t="s">
        <v>879</v>
      </c>
      <c r="B108" s="157"/>
      <c r="C108" s="157"/>
      <c r="D108" s="157"/>
      <c r="E108" s="301">
        <f ca="1">Application!AO640</f>
        <v>31596549</v>
      </c>
      <c r="F108" s="301">
        <f>Application!AO627</f>
        <v>2605200</v>
      </c>
      <c r="G108" s="301">
        <f>Application!AO628</f>
        <v>5000000</v>
      </c>
      <c r="H108" s="301">
        <f>Application!AO629</f>
        <v>10000000</v>
      </c>
      <c r="I108" s="301">
        <f>Application!AO630</f>
        <v>7000000</v>
      </c>
      <c r="J108" s="301">
        <f>Application!AO631</f>
        <v>355000</v>
      </c>
      <c r="K108" s="301">
        <f>Application!AO632</f>
        <v>499900</v>
      </c>
      <c r="L108" s="301">
        <f>Application!AO633</f>
        <v>100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0" t="s">
        <v>1224</v>
      </c>
      <c r="E123" s="1552"/>
      <c r="F123" s="1552"/>
      <c r="G123" s="1552"/>
      <c r="H123" s="1552"/>
      <c r="I123" s="1552"/>
      <c r="J123" s="1552"/>
      <c r="K123" s="1552"/>
      <c r="L123" s="1552"/>
      <c r="M123" s="1552"/>
      <c r="N123" s="1552"/>
      <c r="O123" s="1552"/>
      <c r="P123" s="1552"/>
      <c r="Q123" s="1552"/>
      <c r="R123" s="1552"/>
      <c r="S123" s="1552"/>
      <c r="T123" s="324"/>
      <c r="U123" s="326"/>
    </row>
    <row r="124" spans="1:21" ht="12.5">
      <c r="A124" s="117" t="s">
        <v>992</v>
      </c>
      <c r="B124" s="333"/>
      <c r="C124" s="117"/>
      <c r="D124" s="1552"/>
      <c r="E124" s="1552"/>
      <c r="F124" s="1552"/>
      <c r="G124" s="1552"/>
      <c r="H124" s="1552"/>
      <c r="I124" s="1552"/>
      <c r="J124" s="1552"/>
      <c r="K124" s="1552"/>
      <c r="L124" s="1552"/>
      <c r="M124" s="1552"/>
      <c r="N124" s="1552"/>
      <c r="O124" s="1552"/>
      <c r="P124" s="1552"/>
      <c r="Q124" s="1552"/>
      <c r="R124" s="1552"/>
      <c r="S124" s="1552"/>
      <c r="T124" s="324"/>
      <c r="U124" s="326"/>
    </row>
    <row r="125" spans="1:21" ht="12.5">
      <c r="A125" s="117" t="s">
        <v>993</v>
      </c>
      <c r="B125" s="333"/>
      <c r="C125" s="117"/>
      <c r="D125" s="1552"/>
      <c r="E125" s="1552"/>
      <c r="F125" s="1552"/>
      <c r="G125" s="1552"/>
      <c r="H125" s="1552"/>
      <c r="I125" s="1552"/>
      <c r="J125" s="1552"/>
      <c r="K125" s="1552"/>
      <c r="L125" s="1552"/>
      <c r="M125" s="1552"/>
      <c r="N125" s="1552"/>
      <c r="O125" s="1552"/>
      <c r="P125" s="1552"/>
      <c r="Q125" s="1552"/>
      <c r="R125" s="1552"/>
      <c r="S125" s="1552"/>
      <c r="T125" s="324"/>
      <c r="U125" s="326"/>
    </row>
    <row r="126" spans="1:21" ht="12.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996</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2.5">
      <c r="A129" s="117" t="s">
        <v>300</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1" t="s">
        <v>1000</v>
      </c>
      <c r="E132" s="1861"/>
      <c r="F132" s="1861"/>
      <c r="G132" s="1861"/>
      <c r="H132" s="1861"/>
      <c r="I132" s="117"/>
      <c r="J132" s="1861" t="s">
        <v>1001</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3">
      <c r="A139" s="1858" t="s">
        <v>1004</v>
      </c>
      <c r="B139" s="1858"/>
      <c r="C139" s="1858"/>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81640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81640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81640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81640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81640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81640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81640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81640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81640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81640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81640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81640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81640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81640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81640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81640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81640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81640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81640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81640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81640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81640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81640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81640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81640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81640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81640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81640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81640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81640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81640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81640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81640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81640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81640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81640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81640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81640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81640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81640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81640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81640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81640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81640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81640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81640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81640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81640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81640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81640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81640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81640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81640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81640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81640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81640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81640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81640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81640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81640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81640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81640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81640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81640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1" t="s">
        <v>1227</v>
      </c>
      <c r="B1" s="1872"/>
      <c r="C1" s="1872"/>
      <c r="D1" s="1872"/>
      <c r="E1" s="1872"/>
      <c r="F1" s="1872"/>
      <c r="G1" s="1872"/>
      <c r="H1" s="1872"/>
      <c r="I1" s="1872"/>
      <c r="J1" s="1873"/>
      <c r="K1" s="355"/>
    </row>
    <row r="2" spans="1:11" s="401" customFormat="1" ht="69">
      <c r="A2" s="398"/>
      <c r="B2" s="399" t="s">
        <v>1027</v>
      </c>
      <c r="C2" s="399" t="s">
        <v>1229</v>
      </c>
      <c r="D2" s="399" t="s">
        <v>1230</v>
      </c>
      <c r="E2" s="399" t="s">
        <v>1158</v>
      </c>
      <c r="F2" s="399" t="s">
        <v>1231</v>
      </c>
      <c r="G2" s="399" t="s">
        <v>1232</v>
      </c>
      <c r="H2" s="399" t="s">
        <v>1028</v>
      </c>
      <c r="I2" s="399" t="s">
        <v>1233</v>
      </c>
      <c r="J2" s="399" t="s">
        <v>1234</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355000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25000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380000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2069800</v>
      </c>
      <c r="C10" s="362"/>
      <c r="D10" s="362"/>
      <c r="E10" s="361">
        <f>'Sources and Uses Budget'!S10</f>
        <v>2069800</v>
      </c>
      <c r="F10" s="362"/>
      <c r="G10" s="362"/>
      <c r="H10" s="361">
        <f>'Sources and Uses Budget'!T10</f>
        <v>0</v>
      </c>
      <c r="I10" s="362"/>
      <c r="J10" s="362"/>
      <c r="K10" s="359"/>
    </row>
    <row r="11" spans="1:11" s="360" customFormat="1">
      <c r="A11" s="365" t="s">
        <v>596</v>
      </c>
      <c r="B11" s="361">
        <f>'Sources and Uses Budget'!C11</f>
        <v>2069800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2449800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10832100</v>
      </c>
      <c r="C29" s="362"/>
      <c r="D29" s="362"/>
      <c r="E29" s="361">
        <f>'Sources and Uses Budget'!S29</f>
        <v>10832100</v>
      </c>
      <c r="F29" s="362"/>
      <c r="G29" s="362"/>
      <c r="H29" s="361">
        <f>'Sources and Uses Budget'!T29</f>
        <v>0</v>
      </c>
      <c r="I29" s="362"/>
      <c r="J29" s="362"/>
      <c r="K29" s="359"/>
    </row>
    <row r="30" spans="1:11" s="360" customFormat="1">
      <c r="A30" s="145" t="s">
        <v>599</v>
      </c>
      <c r="B30" s="361">
        <f ca="1">'Sources and Uses Budget'!C30</f>
        <v>16401400</v>
      </c>
      <c r="C30" s="362"/>
      <c r="D30" s="362"/>
      <c r="E30" s="361">
        <f ca="1">'Sources and Uses Budget'!S30</f>
        <v>16401400</v>
      </c>
      <c r="F30" s="362"/>
      <c r="G30" s="362"/>
      <c r="H30" s="361">
        <f>'Sources and Uses Budget'!T30</f>
        <v>0</v>
      </c>
      <c r="I30" s="362"/>
      <c r="J30" s="362"/>
      <c r="K30" s="359"/>
    </row>
    <row r="31" spans="1:11" s="360" customFormat="1">
      <c r="A31" s="145" t="s">
        <v>600</v>
      </c>
      <c r="B31" s="361">
        <f>'Sources and Uses Budget'!C31</f>
        <v>2188200</v>
      </c>
      <c r="C31" s="362"/>
      <c r="D31" s="362"/>
      <c r="E31" s="361">
        <f>'Sources and Uses Budget'!S31</f>
        <v>2188200</v>
      </c>
      <c r="F31" s="362"/>
      <c r="G31" s="362"/>
      <c r="H31" s="361">
        <f>'Sources and Uses Budget'!T31</f>
        <v>0</v>
      </c>
      <c r="I31" s="362"/>
      <c r="J31" s="362"/>
      <c r="K31" s="359"/>
    </row>
    <row r="32" spans="1:11" s="360" customFormat="1">
      <c r="A32" s="145" t="s">
        <v>137</v>
      </c>
      <c r="B32" s="361">
        <f>'Sources and Uses Budget'!C32</f>
        <v>1194500</v>
      </c>
      <c r="C32" s="362"/>
      <c r="D32" s="362"/>
      <c r="E32" s="361">
        <f>'Sources and Uses Budget'!S32</f>
        <v>1194500</v>
      </c>
      <c r="F32" s="362"/>
      <c r="G32" s="362"/>
      <c r="H32" s="361">
        <f>'Sources and Uses Budget'!T32</f>
        <v>0</v>
      </c>
      <c r="I32" s="362"/>
      <c r="J32" s="362"/>
      <c r="K32" s="359"/>
    </row>
    <row r="33" spans="1:11" s="360" customFormat="1">
      <c r="A33" s="145" t="s">
        <v>138</v>
      </c>
      <c r="B33" s="361">
        <f>'Sources and Uses Budget'!C33</f>
        <v>1194500</v>
      </c>
      <c r="C33" s="362"/>
      <c r="D33" s="362"/>
      <c r="E33" s="361">
        <f>'Sources and Uses Budget'!S33</f>
        <v>1194500</v>
      </c>
      <c r="F33" s="362"/>
      <c r="G33" s="362"/>
      <c r="H33" s="361">
        <f>'Sources and Uses Budget'!T33</f>
        <v>0</v>
      </c>
      <c r="I33" s="362"/>
      <c r="J33" s="362"/>
      <c r="K33" s="359"/>
    </row>
    <row r="34" spans="1:11" s="360" customFormat="1">
      <c r="A34" s="145" t="s">
        <v>139</v>
      </c>
      <c r="B34" s="361">
        <f ca="1">'Sources and Uses Budget'!C34</f>
        <v>5446700</v>
      </c>
      <c r="C34" s="362"/>
      <c r="D34" s="362"/>
      <c r="E34" s="361">
        <f ca="1">'Sources and Uses Budget'!S34</f>
        <v>5446700</v>
      </c>
      <c r="F34" s="362"/>
      <c r="G34" s="362"/>
      <c r="H34" s="361">
        <f>'Sources and Uses Budget'!T34</f>
        <v>0</v>
      </c>
      <c r="I34" s="362"/>
      <c r="J34" s="362"/>
      <c r="K34" s="359"/>
    </row>
    <row r="35" spans="1:11" s="360" customFormat="1">
      <c r="A35" s="145" t="s">
        <v>140</v>
      </c>
      <c r="B35" s="361">
        <f>'Sources and Uses Budget'!C35</f>
        <v>732700</v>
      </c>
      <c r="C35" s="362"/>
      <c r="D35" s="362"/>
      <c r="E35" s="361">
        <f>'Sources and Uses Budget'!S35</f>
        <v>732700</v>
      </c>
      <c r="F35" s="362"/>
      <c r="G35" s="362"/>
      <c r="H35" s="361">
        <f>'Sources and Uses Budget'!T35</f>
        <v>0</v>
      </c>
      <c r="I35" s="362"/>
      <c r="J35" s="362"/>
      <c r="K35" s="359"/>
    </row>
    <row r="36" spans="1:11" s="360" customFormat="1">
      <c r="A36" s="508" t="s">
        <v>1640</v>
      </c>
      <c r="B36" s="361">
        <f>'Sources and Uses Budget'!C36</f>
        <v>150000</v>
      </c>
      <c r="C36" s="362"/>
      <c r="D36" s="362"/>
      <c r="E36" s="361">
        <f>'Sources and Uses Budget'!S36</f>
        <v>150000</v>
      </c>
      <c r="F36" s="362"/>
      <c r="G36" s="362"/>
      <c r="H36" s="361">
        <f>'Sources and Uses Budget'!T36</f>
        <v>0</v>
      </c>
      <c r="I36" s="362"/>
      <c r="J36" s="362"/>
      <c r="K36" s="359"/>
    </row>
    <row r="37" spans="1:11" s="360" customFormat="1">
      <c r="A37" s="364" t="str">
        <f>'Sources and Uses Budget'!$A37</f>
        <v>PV system</v>
      </c>
      <c r="B37" s="361">
        <f>'Sources and Uses Budget'!C37</f>
        <v>550600</v>
      </c>
      <c r="C37" s="362"/>
      <c r="D37" s="362"/>
      <c r="E37" s="361">
        <f>'Sources and Uses Budget'!S37</f>
        <v>550600</v>
      </c>
      <c r="F37" s="362"/>
      <c r="G37" s="362"/>
      <c r="H37" s="361">
        <f>'Sources and Uses Budget'!T37</f>
        <v>0</v>
      </c>
      <c r="I37" s="362"/>
      <c r="J37" s="362"/>
      <c r="K37" s="359"/>
    </row>
    <row r="38" spans="1:11" s="360" customFormat="1">
      <c r="A38" s="365" t="s">
        <v>143</v>
      </c>
      <c r="B38" s="361">
        <f ca="1">'Sources and Uses Budget'!C38</f>
        <v>38690700</v>
      </c>
      <c r="C38" s="361">
        <f>SUM(C29:C37)</f>
        <v>0</v>
      </c>
      <c r="D38" s="361">
        <f>SUM(D29:D37)</f>
        <v>0</v>
      </c>
      <c r="E38" s="361">
        <f ca="1">'Sources and Uses Budget'!S38</f>
        <v>38690700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690000</v>
      </c>
      <c r="C40" s="362"/>
      <c r="D40" s="362"/>
      <c r="E40" s="361">
        <f>'Sources and Uses Budget'!S40</f>
        <v>690000</v>
      </c>
      <c r="F40" s="362"/>
      <c r="G40" s="362"/>
      <c r="H40" s="361">
        <f>'Sources and Uses Budget'!T40</f>
        <v>0</v>
      </c>
      <c r="I40" s="362"/>
      <c r="J40" s="362"/>
      <c r="K40" s="359"/>
    </row>
    <row r="41" spans="1:11" s="360" customFormat="1">
      <c r="A41" s="364" t="s">
        <v>146</v>
      </c>
      <c r="B41" s="361">
        <f>'Sources and Uses Budget'!C41</f>
        <v>155000</v>
      </c>
      <c r="C41" s="362"/>
      <c r="D41" s="362"/>
      <c r="E41" s="361">
        <f>'Sources and Uses Budget'!S41</f>
        <v>155000</v>
      </c>
      <c r="F41" s="362"/>
      <c r="G41" s="362"/>
      <c r="H41" s="361">
        <f>'Sources and Uses Budget'!T41</f>
        <v>0</v>
      </c>
      <c r="I41" s="362"/>
      <c r="J41" s="362"/>
      <c r="K41" s="359"/>
    </row>
    <row r="42" spans="1:11" s="360" customFormat="1">
      <c r="A42" s="365" t="s">
        <v>147</v>
      </c>
      <c r="B42" s="361">
        <f>'Sources and Uses Budget'!C42</f>
        <v>845000</v>
      </c>
      <c r="C42" s="361">
        <f>SUM(C39:C41)</f>
        <v>0</v>
      </c>
      <c r="D42" s="361">
        <f>SUM(D39:D41)</f>
        <v>0</v>
      </c>
      <c r="E42" s="361">
        <f>'Sources and Uses Budget'!S42</f>
        <v>845000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681681</v>
      </c>
      <c r="C43" s="362"/>
      <c r="D43" s="362"/>
      <c r="E43" s="361">
        <f>'Sources and Uses Budget'!S43</f>
        <v>681681</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3734657</v>
      </c>
      <c r="C45" s="362"/>
      <c r="D45" s="362"/>
      <c r="E45" s="361">
        <f>'Sources and Uses Budget'!S45</f>
        <v>2145441</v>
      </c>
      <c r="F45" s="362"/>
      <c r="G45" s="362"/>
      <c r="H45" s="361">
        <f>'Sources and Uses Budget'!T45</f>
        <v>0</v>
      </c>
      <c r="I45" s="362"/>
      <c r="J45" s="362"/>
      <c r="K45" s="359"/>
    </row>
    <row r="46" spans="1:11" s="360" customFormat="1">
      <c r="A46" s="364" t="s">
        <v>151</v>
      </c>
      <c r="B46" s="361">
        <f>'Sources and Uses Budget'!C46</f>
        <v>305409</v>
      </c>
      <c r="C46" s="362"/>
      <c r="D46" s="362"/>
      <c r="E46" s="361">
        <f>'Sources and Uses Budget'!S46</f>
        <v>14242</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139632</v>
      </c>
      <c r="C49" s="362"/>
      <c r="D49" s="362"/>
      <c r="E49" s="361">
        <f>'Sources and Uses Budget'!S49</f>
        <v>6511</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10000</v>
      </c>
      <c r="C51" s="362"/>
      <c r="D51" s="362"/>
      <c r="E51" s="361">
        <f>'Sources and Uses Budget'!S51</f>
        <v>10000</v>
      </c>
      <c r="F51" s="362"/>
      <c r="G51" s="362"/>
      <c r="H51" s="361">
        <f>'Sources and Uses Budget'!T51</f>
        <v>0</v>
      </c>
      <c r="I51" s="362"/>
      <c r="J51" s="362"/>
      <c r="K51" s="359"/>
    </row>
    <row r="52" spans="1:11" s="360" customFormat="1">
      <c r="A52" s="364" t="s">
        <v>155</v>
      </c>
      <c r="B52" s="361">
        <f>'Sources and Uses Budget'!C52</f>
        <v>484713</v>
      </c>
      <c r="C52" s="362"/>
      <c r="D52" s="362"/>
      <c r="E52" s="361">
        <f>'Sources and Uses Budget'!S52</f>
        <v>484713</v>
      </c>
      <c r="F52" s="362"/>
      <c r="G52" s="362"/>
      <c r="H52" s="361">
        <f>'Sources and Uses Budget'!T52</f>
        <v>0</v>
      </c>
      <c r="I52" s="362"/>
      <c r="J52" s="362"/>
      <c r="K52" s="359"/>
    </row>
    <row r="53" spans="1:11" s="360" customFormat="1">
      <c r="A53" s="364" t="str">
        <f>'Sources and Uses Budget'!$A53</f>
        <v>Predevelopment loan interest</v>
      </c>
      <c r="B53" s="361">
        <f>'Sources and Uses Budget'!C53</f>
        <v>60000</v>
      </c>
      <c r="C53" s="362"/>
      <c r="D53" s="362"/>
      <c r="E53" s="361">
        <f>'Sources and Uses Budget'!S53</f>
        <v>60000</v>
      </c>
      <c r="F53" s="362"/>
      <c r="G53" s="362"/>
      <c r="H53" s="361">
        <f>'Sources and Uses Budget'!T53</f>
        <v>0</v>
      </c>
      <c r="I53" s="362"/>
      <c r="J53" s="362"/>
      <c r="K53" s="359"/>
    </row>
    <row r="54" spans="1:11" s="369" customFormat="1">
      <c r="A54" s="365" t="s">
        <v>157</v>
      </c>
      <c r="B54" s="361">
        <f>'Sources and Uses Budget'!C54</f>
        <v>4809411</v>
      </c>
      <c r="C54" s="367">
        <f>SUM(C45:C53)</f>
        <v>0</v>
      </c>
      <c r="D54" s="367">
        <f>SUM(D45:D53)</f>
        <v>0</v>
      </c>
      <c r="E54" s="361">
        <f>'Sources and Uses Budget'!S54</f>
        <v>2795907</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26052</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Legal</v>
      </c>
      <c r="B61" s="361">
        <f>'Sources and Uses Budget'!C61</f>
        <v>20000</v>
      </c>
      <c r="C61" s="362"/>
      <c r="D61" s="362"/>
      <c r="E61" s="363"/>
      <c r="F61" s="363"/>
      <c r="G61" s="363"/>
      <c r="H61" s="363"/>
      <c r="I61" s="363"/>
      <c r="J61" s="363"/>
      <c r="K61" s="359"/>
    </row>
    <row r="62" spans="1:11" s="360" customFormat="1" ht="13.75" customHeight="1">
      <c r="A62" s="365" t="s">
        <v>301</v>
      </c>
      <c r="B62" s="361">
        <f>'Sources and Uses Budget'!C62</f>
        <v>56052</v>
      </c>
      <c r="C62" s="361">
        <f>SUM(C56:C61)</f>
        <v>0</v>
      </c>
      <c r="D62" s="361">
        <f>SUM(D56:D61)</f>
        <v>0</v>
      </c>
      <c r="E62" s="363"/>
      <c r="F62" s="363"/>
      <c r="G62" s="363"/>
      <c r="H62" s="363"/>
      <c r="I62" s="363"/>
      <c r="J62" s="363"/>
      <c r="K62" s="359"/>
    </row>
    <row r="63" spans="1:11" s="360" customFormat="1">
      <c r="A63" s="370" t="s">
        <v>302</v>
      </c>
      <c r="B63" s="361">
        <f ca="1">'Sources and Uses Budget'!C63</f>
        <v>47532644</v>
      </c>
      <c r="C63" s="361">
        <f>SUM(C8+C11+C13+C14+C15+C26+C27+C38+C42+C43+C54+C62)</f>
        <v>0</v>
      </c>
      <c r="D63" s="361">
        <f>SUM(D8+D11+D13+D14+D15+D26+D27+D38+D42+D43+D54+D62)</f>
        <v>0</v>
      </c>
      <c r="E63" s="361">
        <f ca="1">'Sources and Uses Budget'!S63</f>
        <v>45083088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60000</v>
      </c>
      <c r="C65" s="362"/>
      <c r="D65" s="362"/>
      <c r="E65" s="361">
        <f>'Sources and Uses Budget'!S65</f>
        <v>2798</v>
      </c>
      <c r="F65" s="362"/>
      <c r="G65" s="362"/>
      <c r="H65" s="361">
        <f>'Sources and Uses Budget'!T65</f>
        <v>0</v>
      </c>
      <c r="I65" s="362"/>
      <c r="J65" s="362"/>
      <c r="K65" s="359"/>
    </row>
    <row r="66" spans="1:11" s="360" customFormat="1" ht="23">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borrower legal</v>
      </c>
      <c r="B69" s="361">
        <f>'Sources and Uses Budget'!C69</f>
        <v>60000</v>
      </c>
      <c r="C69" s="362"/>
      <c r="D69" s="362"/>
      <c r="E69" s="361">
        <f>'Sources and Uses Budget'!S69</f>
        <v>60000</v>
      </c>
      <c r="F69" s="362"/>
      <c r="G69" s="362"/>
      <c r="H69" s="361">
        <f>'Sources and Uses Budget'!T69</f>
        <v>0</v>
      </c>
      <c r="I69" s="362"/>
      <c r="J69" s="362"/>
      <c r="K69" s="359"/>
    </row>
    <row r="70" spans="1:11" s="360" customFormat="1">
      <c r="A70" s="365" t="s">
        <v>601</v>
      </c>
      <c r="B70" s="361">
        <f>'Sources and Uses Budget'!C70</f>
        <v>120000</v>
      </c>
      <c r="C70" s="361">
        <f>SUM(C64:C69)</f>
        <v>0</v>
      </c>
      <c r="D70" s="361">
        <f>SUM(D64:D69)</f>
        <v>0</v>
      </c>
      <c r="E70" s="361">
        <f>'Sources and Uses Budget'!S70</f>
        <v>62798</v>
      </c>
      <c r="F70" s="367">
        <f>SUM(F65:F69)</f>
        <v>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487970</v>
      </c>
      <c r="C75" s="362"/>
      <c r="D75" s="362"/>
      <c r="E75" s="363"/>
      <c r="F75" s="363"/>
      <c r="G75" s="363"/>
      <c r="H75" s="363"/>
      <c r="I75" s="363"/>
      <c r="J75" s="363"/>
      <c r="K75" s="359"/>
    </row>
    <row r="76" spans="1:11" s="360" customFormat="1">
      <c r="A76" s="364" t="str">
        <f>'Sources and Uses Budget'!$A76</f>
        <v>Tranition or other USDA required reserve</v>
      </c>
      <c r="B76" s="361">
        <f>'Sources and Uses Budget'!C76</f>
        <v>100000</v>
      </c>
      <c r="C76" s="362"/>
      <c r="D76" s="362"/>
      <c r="E76" s="363"/>
      <c r="F76" s="363"/>
      <c r="G76" s="363"/>
      <c r="H76" s="363"/>
      <c r="I76" s="363"/>
      <c r="J76" s="363"/>
      <c r="K76" s="359"/>
    </row>
    <row r="77" spans="1:11" s="360" customFormat="1">
      <c r="A77" s="365" t="s">
        <v>606</v>
      </c>
      <c r="B77" s="361">
        <f>'Sources and Uses Budget'!C77</f>
        <v>587970</v>
      </c>
      <c r="C77" s="361">
        <f>SUM(C72:C76)</f>
        <v>0</v>
      </c>
      <c r="D77" s="361">
        <f>SUM(D72:D76)</f>
        <v>0</v>
      </c>
      <c r="E77" s="363"/>
      <c r="F77" s="363"/>
      <c r="G77" s="363"/>
      <c r="H77" s="363"/>
      <c r="I77" s="363"/>
      <c r="J77" s="363"/>
      <c r="K77" s="359"/>
    </row>
    <row r="78" spans="1:11" s="360" customFormat="1" ht="12">
      <c r="A78" s="357" t="s">
        <v>1210</v>
      </c>
      <c r="B78" s="358"/>
      <c r="C78" s="358"/>
      <c r="D78" s="358"/>
      <c r="E78" s="358"/>
      <c r="F78" s="358"/>
      <c r="G78" s="358"/>
      <c r="H78" s="358"/>
      <c r="I78" s="358"/>
      <c r="J78" s="358"/>
      <c r="K78" s="359"/>
    </row>
    <row r="79" spans="1:11" s="360" customFormat="1">
      <c r="A79" s="364" t="s">
        <v>1212</v>
      </c>
      <c r="B79" s="361">
        <f>'Sources and Uses Budget'!C79</f>
        <v>3045788</v>
      </c>
      <c r="C79" s="362"/>
      <c r="D79" s="362"/>
      <c r="E79" s="361">
        <f>'Sources and Uses Budget'!S79</f>
        <v>3045788</v>
      </c>
      <c r="F79" s="362"/>
      <c r="G79" s="362"/>
      <c r="H79" s="361">
        <f>'Sources and Uses Budget'!T79</f>
        <v>0</v>
      </c>
      <c r="I79" s="362"/>
      <c r="J79" s="362"/>
      <c r="K79" s="359"/>
    </row>
    <row r="80" spans="1:11" s="360" customFormat="1">
      <c r="A80" s="364" t="s">
        <v>58</v>
      </c>
      <c r="B80" s="361">
        <f>'Sources and Uses Budget'!C80</f>
        <v>200000</v>
      </c>
      <c r="C80" s="362"/>
      <c r="D80" s="362"/>
      <c r="E80" s="361">
        <f>'Sources and Uses Budget'!S80</f>
        <v>200000</v>
      </c>
      <c r="F80" s="362"/>
      <c r="G80" s="362"/>
      <c r="H80" s="361">
        <f>'Sources and Uses Budget'!T80</f>
        <v>0</v>
      </c>
      <c r="I80" s="362"/>
      <c r="J80" s="362"/>
      <c r="K80" s="359"/>
    </row>
    <row r="81" spans="1:11" s="360" customFormat="1">
      <c r="A81" s="365" t="s">
        <v>1209</v>
      </c>
      <c r="B81" s="361">
        <f>'Sources and Uses Budget'!C81</f>
        <v>3245788</v>
      </c>
      <c r="C81" s="361">
        <f>SUM(C79:C80)</f>
        <v>0</v>
      </c>
      <c r="D81" s="361">
        <f>SUM(D79:D80)</f>
        <v>0</v>
      </c>
      <c r="E81" s="361">
        <f>'Sources and Uses Budget'!S81</f>
        <v>3245788</v>
      </c>
      <c r="F81" s="361">
        <f>SUM(F79:F80)</f>
        <v>0</v>
      </c>
      <c r="G81" s="361">
        <f>SUM(G79:G80)</f>
        <v>0</v>
      </c>
      <c r="H81" s="361">
        <f>'Sources and Uses Budget'!T81</f>
        <v>0</v>
      </c>
      <c r="I81" s="361">
        <f>SUM(I79:I80)</f>
        <v>0</v>
      </c>
      <c r="J81" s="361">
        <f>SUM(J79:J80)</f>
        <v>0</v>
      </c>
      <c r="K81" s="359"/>
    </row>
    <row r="82" spans="1:11" s="360" customFormat="1" ht="12">
      <c r="A82" s="357" t="s">
        <v>765</v>
      </c>
      <c r="B82" s="358"/>
      <c r="C82" s="358"/>
      <c r="D82" s="358"/>
      <c r="E82" s="358"/>
      <c r="F82" s="358"/>
      <c r="G82" s="358"/>
      <c r="H82" s="358"/>
      <c r="I82" s="358"/>
      <c r="J82" s="358"/>
      <c r="K82" s="359"/>
    </row>
    <row r="83" spans="1:11" s="360" customFormat="1" ht="13.75" customHeight="1">
      <c r="A83" s="145" t="s">
        <v>2094</v>
      </c>
      <c r="B83" s="361">
        <f>'Sources and Uses Budget'!C83</f>
        <v>85290</v>
      </c>
      <c r="C83" s="362"/>
      <c r="D83" s="362"/>
      <c r="E83" s="363"/>
      <c r="F83" s="363"/>
      <c r="G83" s="363"/>
      <c r="H83" s="363"/>
      <c r="I83" s="363"/>
      <c r="J83" s="363"/>
      <c r="K83" s="359"/>
    </row>
    <row r="84" spans="1:11" s="360" customFormat="1">
      <c r="A84" s="145" t="s">
        <v>767</v>
      </c>
      <c r="B84" s="361">
        <f>'Sources and Uses Budget'!C84</f>
        <v>70000</v>
      </c>
      <c r="C84" s="362"/>
      <c r="D84" s="362"/>
      <c r="E84" s="361">
        <f>'Sources and Uses Budget'!S84</f>
        <v>70000</v>
      </c>
      <c r="F84" s="362"/>
      <c r="G84" s="362"/>
      <c r="H84" s="361">
        <f>'Sources and Uses Budget'!T84</f>
        <v>0</v>
      </c>
      <c r="I84" s="362"/>
      <c r="J84" s="362"/>
      <c r="K84" s="359"/>
    </row>
    <row r="85" spans="1:11" s="360" customFormat="1">
      <c r="A85" s="145" t="s">
        <v>768</v>
      </c>
      <c r="B85" s="361">
        <f>'Sources and Uses Budget'!C85</f>
        <v>2025681</v>
      </c>
      <c r="C85" s="362"/>
      <c r="D85" s="362"/>
      <c r="E85" s="361">
        <f>'Sources and Uses Budget'!S85</f>
        <v>2025681</v>
      </c>
      <c r="F85" s="362"/>
      <c r="G85" s="362"/>
      <c r="H85" s="361">
        <f>'Sources and Uses Budget'!T85</f>
        <v>0</v>
      </c>
      <c r="I85" s="362"/>
      <c r="J85" s="362"/>
      <c r="K85" s="359"/>
    </row>
    <row r="86" spans="1:11" s="360" customFormat="1">
      <c r="A86" s="145" t="s">
        <v>769</v>
      </c>
      <c r="B86" s="361">
        <f>'Sources and Uses Budget'!C86</f>
        <v>746876</v>
      </c>
      <c r="C86" s="362"/>
      <c r="D86" s="362"/>
      <c r="E86" s="361">
        <f>'Sources and Uses Budget'!S86</f>
        <v>746876</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30000</v>
      </c>
      <c r="C88" s="362"/>
      <c r="D88" s="362"/>
      <c r="E88" s="363"/>
      <c r="F88" s="363"/>
      <c r="G88" s="363"/>
      <c r="H88" s="363"/>
      <c r="I88" s="363"/>
      <c r="J88" s="363"/>
      <c r="K88" s="359"/>
    </row>
    <row r="89" spans="1:11" s="360" customFormat="1">
      <c r="A89" s="145" t="s">
        <v>772</v>
      </c>
      <c r="B89" s="361">
        <f>'Sources and Uses Budget'!C89</f>
        <v>30000</v>
      </c>
      <c r="C89" s="362"/>
      <c r="D89" s="362"/>
      <c r="E89" s="361">
        <f>'Sources and Uses Budget'!S89</f>
        <v>30000</v>
      </c>
      <c r="F89" s="362"/>
      <c r="G89" s="362"/>
      <c r="H89" s="361">
        <f>'Sources and Uses Budget'!T89</f>
        <v>0</v>
      </c>
      <c r="I89" s="362"/>
      <c r="J89" s="362"/>
      <c r="K89" s="359"/>
    </row>
    <row r="90" spans="1:11" s="360" customFormat="1">
      <c r="A90" s="145" t="s">
        <v>773</v>
      </c>
      <c r="B90" s="361">
        <f>'Sources and Uses Budget'!C90</f>
        <v>20000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27500</v>
      </c>
      <c r="C92" s="362"/>
      <c r="D92" s="362"/>
      <c r="E92" s="361">
        <f>'Sources and Uses Budget'!S92</f>
        <v>27500</v>
      </c>
      <c r="F92" s="362"/>
      <c r="G92" s="362"/>
      <c r="H92" s="361">
        <f>'Sources and Uses Budget'!T92</f>
        <v>0</v>
      </c>
      <c r="I92" s="362"/>
      <c r="J92" s="362"/>
      <c r="K92" s="359"/>
    </row>
    <row r="93" spans="1:11" s="360" customFormat="1">
      <c r="A93" s="364" t="str">
        <f>'Sources and Uses Budget'!$A93</f>
        <v>prevailing wage monitoring</v>
      </c>
      <c r="B93" s="361">
        <f>'Sources and Uses Budget'!C93</f>
        <v>35000</v>
      </c>
      <c r="C93" s="362"/>
      <c r="D93" s="362"/>
      <c r="E93" s="361">
        <f>'Sources and Uses Budget'!S93</f>
        <v>35000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3070347</v>
      </c>
      <c r="C96" s="361">
        <f>SUM(C83:C95)</f>
        <v>0</v>
      </c>
      <c r="D96" s="361">
        <f>SUM(D83:D95)</f>
        <v>0</v>
      </c>
      <c r="E96" s="361">
        <f>'Sources and Uses Budget'!S96</f>
        <v>2935057</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 ca="1">'Sources and Uses Budget'!C97</f>
        <v>54556749</v>
      </c>
      <c r="C97" s="361">
        <f>SUM(C63+C70+C77+C81+C96)</f>
        <v>0</v>
      </c>
      <c r="D97" s="361">
        <f>SUM(D63+D70+D77+D81+D96)</f>
        <v>0</v>
      </c>
      <c r="E97" s="361">
        <f ca="1">'Sources and Uses Budget'!S97</f>
        <v>51326731</v>
      </c>
      <c r="F97" s="367">
        <f>SUM(+F63+F70+F81+F96)</f>
        <v>0</v>
      </c>
      <c r="G97" s="367">
        <f>SUM(+G63+G70+G81+G96)</f>
        <v>0</v>
      </c>
      <c r="H97" s="361">
        <f>'Sources and Uses Budget'!T97</f>
        <v>0</v>
      </c>
      <c r="I97" s="367">
        <f>SUM(I63+I70+I81+I96)</f>
        <v>0</v>
      </c>
      <c r="J97" s="367">
        <f>SUM(J63+J70+J81+J96)</f>
        <v>0</v>
      </c>
      <c r="K97" s="359"/>
    </row>
    <row r="98" spans="1:11" s="360" customFormat="1" ht="12">
      <c r="A98" s="357" t="s">
        <v>776</v>
      </c>
      <c r="B98" s="358"/>
      <c r="C98" s="358"/>
      <c r="D98" s="358"/>
      <c r="E98" s="358"/>
      <c r="F98" s="358"/>
      <c r="G98" s="358"/>
      <c r="H98" s="358"/>
      <c r="I98" s="358"/>
      <c r="J98" s="358"/>
      <c r="K98" s="359"/>
    </row>
    <row r="99" spans="1:11" s="360" customFormat="1">
      <c r="A99" s="145" t="s">
        <v>777</v>
      </c>
      <c r="B99" s="361">
        <f>'Sources and Uses Budget'!C99</f>
        <v>2500000</v>
      </c>
      <c r="C99" s="362"/>
      <c r="D99" s="362"/>
      <c r="E99" s="361">
        <f>'Sources and Uses Budget'!S99</f>
        <v>2500000</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2500000</v>
      </c>
      <c r="C104" s="361">
        <f>SUM(C99:C103)</f>
        <v>0</v>
      </c>
      <c r="D104" s="361">
        <f>SUM(D99:D103)</f>
        <v>0</v>
      </c>
      <c r="E104" s="361">
        <f>'Sources and Uses Budget'!S104</f>
        <v>2500000</v>
      </c>
      <c r="F104" s="367">
        <f>SUM(F99:F103)</f>
        <v>0</v>
      </c>
      <c r="G104" s="367">
        <f>SUM(G99:G103)</f>
        <v>0</v>
      </c>
      <c r="H104" s="361">
        <f>'Sources and Uses Budget'!T104</f>
        <v>0</v>
      </c>
      <c r="I104" s="367">
        <f>SUM(I99:I103)</f>
        <v>0</v>
      </c>
      <c r="J104" s="367">
        <f>SUM(J99:J103)</f>
        <v>0</v>
      </c>
      <c r="K104" s="359"/>
    </row>
    <row r="105" spans="1:11" s="360" customFormat="1">
      <c r="A105" s="365" t="s">
        <v>1030</v>
      </c>
      <c r="B105" s="361">
        <f ca="1">'Sources and Uses Budget'!C105</f>
        <v>57056749</v>
      </c>
      <c r="C105" s="367">
        <f>SUM(C97+C104)</f>
        <v>0</v>
      </c>
      <c r="D105" s="367">
        <f>SUM(D97+D104)</f>
        <v>0</v>
      </c>
      <c r="E105" s="361">
        <f ca="1">'Sources and Uses Budget'!S105</f>
        <v>53826731</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 ca="1">'Sources and Uses Budget'!S107</f>
        <v>53826731</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69"/>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31" workbookViewId="0">
      <selection activeCell="AP4" sqref="AP4:AU4"/>
    </sheetView>
  </sheetViews>
  <sheetFormatPr defaultColWidth="2.81640625" defaultRowHeight="15.75" customHeight="1"/>
  <cols>
    <col min="1" max="8" width="2.81640625" style="1187"/>
    <col min="9" max="9" width="7.81640625" style="1187" customWidth="1"/>
    <col min="10" max="13" width="2.81640625" style="1187"/>
    <col min="14" max="14" width="4.81640625" style="1187" customWidth="1"/>
    <col min="15" max="19" width="2.81640625" style="1187"/>
    <col min="20" max="20" width="3.81640625" style="1187" customWidth="1"/>
    <col min="21" max="37" width="2.81640625" style="1187"/>
    <col min="38" max="38" width="3" style="1187" customWidth="1"/>
    <col min="39" max="45" width="2.81640625" style="1187"/>
    <col min="46" max="46" width="4.81640625" style="1187" customWidth="1"/>
    <col min="47" max="64" width="2.81640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81640625" style="1187"/>
  </cols>
  <sheetData>
    <row r="1" spans="1:65" ht="15.75" customHeight="1">
      <c r="A1" s="1882" t="s">
        <v>2456</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2455</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4" t="str">
        <f>IF(Application!H18="","",Application!H18)</f>
        <v>Oasis Villas I Apartments</v>
      </c>
      <c r="M4" s="1875"/>
      <c r="N4" s="1875"/>
      <c r="O4" s="1875"/>
      <c r="P4" s="1875"/>
      <c r="Q4" s="1875"/>
      <c r="R4" s="1875"/>
      <c r="S4" s="1875"/>
      <c r="T4" s="1875"/>
      <c r="U4" s="1875"/>
      <c r="V4" s="1875"/>
      <c r="W4" s="1875"/>
      <c r="X4" s="1875"/>
      <c r="Y4" s="1875"/>
      <c r="Z4" s="1875"/>
      <c r="AA4" s="1875"/>
      <c r="AB4" s="1875"/>
      <c r="AC4" s="1876"/>
      <c r="AD4" s="1190"/>
      <c r="AE4" s="1190"/>
      <c r="AF4" s="1888" t="s">
        <v>2454</v>
      </c>
      <c r="AG4" s="1888"/>
      <c r="AH4" s="1888"/>
      <c r="AI4" s="1888"/>
      <c r="AJ4" s="1888"/>
      <c r="AK4" s="1888"/>
      <c r="AL4" s="1888"/>
      <c r="AM4" s="1888"/>
      <c r="AN4" s="1888"/>
      <c r="AO4" s="1888"/>
      <c r="AP4" s="1889"/>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2453</v>
      </c>
      <c r="AG5" s="1888"/>
      <c r="AH5" s="1888"/>
      <c r="AI5" s="1888"/>
      <c r="AJ5" s="1888"/>
      <c r="AK5" s="1888"/>
      <c r="AL5" s="1888"/>
      <c r="AM5" s="1888"/>
      <c r="AN5" s="1888"/>
      <c r="AO5" s="1888"/>
      <c r="AP5" s="1889"/>
      <c r="AQ5" s="1890"/>
      <c r="AR5" s="1890"/>
      <c r="AS5" s="1890"/>
      <c r="AT5" s="1890"/>
      <c r="AU5" s="1890"/>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4" t="str">
        <f>IF(Application!H16="","",Application!H16)</f>
        <v>The Coachella Valley Housing Coalition</v>
      </c>
      <c r="M6" s="1875"/>
      <c r="N6" s="1875"/>
      <c r="O6" s="1875"/>
      <c r="P6" s="1875"/>
      <c r="Q6" s="1875"/>
      <c r="R6" s="1875"/>
      <c r="S6" s="1875"/>
      <c r="T6" s="1875"/>
      <c r="U6" s="1875"/>
      <c r="V6" s="1875"/>
      <c r="W6" s="1875"/>
      <c r="X6" s="1875"/>
      <c r="Y6" s="1875"/>
      <c r="Z6" s="1875"/>
      <c r="AA6" s="1875"/>
      <c r="AB6" s="1875"/>
      <c r="AC6" s="1876"/>
      <c r="AD6" s="1190"/>
      <c r="AE6" s="1190"/>
      <c r="AF6" s="1877" t="s">
        <v>2451</v>
      </c>
      <c r="AG6" s="1877"/>
      <c r="AH6" s="1877"/>
      <c r="AI6" s="1877"/>
      <c r="AJ6" s="1877"/>
      <c r="AK6" s="1877"/>
      <c r="AL6" s="1877"/>
      <c r="AM6" s="1877"/>
      <c r="AN6" s="1877"/>
      <c r="AO6" s="1877"/>
      <c r="AP6" s="1878"/>
      <c r="AQ6" s="1878"/>
      <c r="AR6" s="1878"/>
      <c r="AS6" s="1878"/>
      <c r="AT6" s="1878"/>
      <c r="AU6" s="1878"/>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2450</v>
      </c>
      <c r="AG7" s="1877"/>
      <c r="AH7" s="1877"/>
      <c r="AI7" s="1877"/>
      <c r="AJ7" s="1877"/>
      <c r="AK7" s="1877"/>
      <c r="AL7" s="1877"/>
      <c r="AM7" s="1877"/>
      <c r="AN7" s="1877"/>
      <c r="AO7" s="1877"/>
      <c r="AP7" s="1878"/>
      <c r="AQ7" s="1878"/>
      <c r="AR7" s="1878"/>
      <c r="AS7" s="1878"/>
      <c r="AT7" s="1878"/>
      <c r="AU7" s="1878"/>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2448</v>
      </c>
      <c r="AG8" s="1877"/>
      <c r="AH8" s="1877"/>
      <c r="AI8" s="1877"/>
      <c r="AJ8" s="1877"/>
      <c r="AK8" s="1877"/>
      <c r="AL8" s="1877"/>
      <c r="AM8" s="1877"/>
      <c r="AN8" s="1877"/>
      <c r="AO8" s="1877"/>
      <c r="AP8" s="1878" t="s">
        <v>2098</v>
      </c>
      <c r="AQ8" s="1878"/>
      <c r="AR8" s="1878"/>
      <c r="AS8" s="1878"/>
      <c r="AT8" s="1878"/>
      <c r="AU8" s="1878"/>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2447</v>
      </c>
      <c r="AG9" s="1888"/>
      <c r="AH9" s="1888"/>
      <c r="AI9" s="1888"/>
      <c r="AJ9" s="1888"/>
      <c r="AK9" s="1888"/>
      <c r="AL9" s="1888"/>
      <c r="AM9" s="1888"/>
      <c r="AN9" s="1888"/>
      <c r="AO9" s="1888"/>
      <c r="AP9" s="1889"/>
      <c r="AQ9" s="1890"/>
      <c r="AR9" s="1890"/>
      <c r="AS9" s="1890"/>
      <c r="AT9" s="1890"/>
      <c r="AU9" s="1890"/>
      <c r="AV9" s="1190"/>
      <c r="AW9" s="1190"/>
      <c r="AX9" s="1190"/>
      <c r="AY9" s="1190"/>
      <c r="AZ9" s="1190"/>
      <c r="BA9" s="1190"/>
      <c r="BB9" s="1190"/>
      <c r="BC9" s="1190"/>
      <c r="BD9" s="1190"/>
      <c r="BE9" s="1191"/>
      <c r="BM9" s="1187" t="s">
        <v>2446</v>
      </c>
    </row>
    <row r="10" spans="1:65" ht="14.5">
      <c r="A10" s="1189"/>
      <c r="B10" s="1192" t="s">
        <v>2445</v>
      </c>
      <c r="C10" s="1192"/>
      <c r="D10" s="1192"/>
      <c r="E10" s="1192"/>
      <c r="F10" s="1192"/>
      <c r="G10" s="1192"/>
      <c r="H10" s="1192"/>
      <c r="I10" s="1192"/>
      <c r="J10" s="1192"/>
      <c r="K10" s="1192"/>
      <c r="L10" s="1192"/>
      <c r="M10" s="1190"/>
      <c r="N10" s="1903">
        <f>Application!AO627</f>
        <v>2605200</v>
      </c>
      <c r="O10" s="1903"/>
      <c r="P10" s="1903"/>
      <c r="Q10" s="1903"/>
      <c r="R10" s="1903"/>
      <c r="S10" s="1903"/>
      <c r="T10" s="1903"/>
      <c r="U10" s="1190"/>
      <c r="V10" s="1190"/>
      <c r="W10" s="1190"/>
      <c r="X10" s="1193"/>
      <c r="Y10" s="1193"/>
      <c r="Z10" s="1193"/>
      <c r="AA10" s="1193"/>
      <c r="AB10" s="1193"/>
      <c r="AC10" s="1193"/>
      <c r="AD10" s="1193"/>
      <c r="AE10" s="1193"/>
      <c r="AF10" s="1888" t="s">
        <v>2444</v>
      </c>
      <c r="AG10" s="1888"/>
      <c r="AH10" s="1888"/>
      <c r="AI10" s="1888"/>
      <c r="AJ10" s="1888"/>
      <c r="AK10" s="1888"/>
      <c r="AL10" s="1888"/>
      <c r="AM10" s="1888"/>
      <c r="AN10" s="1888"/>
      <c r="AO10" s="1888"/>
      <c r="AP10" s="1889"/>
      <c r="AQ10" s="1890"/>
      <c r="AR10" s="1890"/>
      <c r="AS10" s="1890"/>
      <c r="AT10" s="1890"/>
      <c r="AU10" s="1890"/>
      <c r="AV10" s="1193"/>
      <c r="AW10" s="1193"/>
      <c r="AX10" s="1190"/>
      <c r="AY10" s="1190"/>
      <c r="AZ10" s="1190"/>
      <c r="BA10" s="1190"/>
      <c r="BB10" s="1190"/>
      <c r="BC10" s="1190"/>
      <c r="BD10" s="1190"/>
      <c r="BE10" s="1191"/>
      <c r="BM10" s="1187" t="s">
        <v>2443</v>
      </c>
    </row>
    <row r="11" spans="1:65" ht="14.5">
      <c r="A11" s="1189"/>
      <c r="B11" s="1192" t="s">
        <v>2442</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2441</v>
      </c>
      <c r="AG11" s="1888"/>
      <c r="AH11" s="1888"/>
      <c r="AI11" s="1888"/>
      <c r="AJ11" s="1888"/>
      <c r="AK11" s="1888"/>
      <c r="AL11" s="1888"/>
      <c r="AM11" s="1888"/>
      <c r="AN11" s="1888"/>
      <c r="AO11" s="1888"/>
      <c r="AP11" s="1889"/>
      <c r="AQ11" s="1890"/>
      <c r="AR11" s="1890"/>
      <c r="AS11" s="1890"/>
      <c r="AT11" s="1890"/>
      <c r="AU11" s="1890"/>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1891" t="s">
        <v>2439</v>
      </c>
      <c r="C13" s="1892"/>
      <c r="D13" s="1892"/>
      <c r="E13" s="1892"/>
      <c r="F13" s="1892"/>
      <c r="G13" s="1892"/>
      <c r="H13" s="1892"/>
      <c r="I13" s="1892"/>
      <c r="J13" s="1892"/>
      <c r="K13" s="1892"/>
      <c r="L13" s="1892"/>
      <c r="M13" s="1892"/>
      <c r="N13" s="1892"/>
      <c r="O13" s="1892"/>
      <c r="P13" s="1893"/>
      <c r="Q13" s="1894" t="s">
        <v>669</v>
      </c>
      <c r="R13" s="1895"/>
      <c r="S13" s="1895"/>
      <c r="T13" s="1896"/>
      <c r="U13" s="1193"/>
      <c r="V13" s="1190"/>
      <c r="W13" s="1190"/>
      <c r="X13" s="1190"/>
      <c r="Y13" s="1190"/>
      <c r="Z13" s="1190"/>
      <c r="AA13" s="1897" t="s">
        <v>2438</v>
      </c>
      <c r="AB13" s="1897"/>
      <c r="AC13" s="1897"/>
      <c r="AD13" s="1897"/>
      <c r="AE13" s="1897"/>
      <c r="AF13" s="1897"/>
      <c r="AG13" s="1897"/>
      <c r="AH13" s="1897"/>
      <c r="AI13" s="1897"/>
      <c r="AJ13" s="1897"/>
      <c r="AK13" s="1897"/>
      <c r="AL13" s="1897"/>
      <c r="AM13" s="1897"/>
      <c r="AN13" s="1897"/>
      <c r="AO13" s="1898">
        <f>Application!W473</f>
        <v>0</v>
      </c>
      <c r="AP13" s="1899"/>
      <c r="AQ13" s="1899"/>
      <c r="AR13" s="1899"/>
      <c r="AS13" s="1899"/>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2436</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ht="15" thickBot="1">
      <c r="A15" s="1190"/>
      <c r="B15" s="1904" t="s">
        <v>2435</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2434</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09" t="s">
        <v>2433</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2432</v>
      </c>
      <c r="C18" s="1913"/>
      <c r="D18" s="1913"/>
      <c r="E18" s="1913"/>
      <c r="F18" s="1913"/>
      <c r="G18" s="1913"/>
      <c r="H18" s="1913"/>
      <c r="I18" s="1914"/>
      <c r="J18" s="1915" t="s">
        <v>1586</v>
      </c>
      <c r="K18" s="1916"/>
      <c r="L18" s="1916"/>
      <c r="M18" s="1916"/>
      <c r="N18" s="1916"/>
      <c r="O18" s="1917"/>
      <c r="P18" s="1915" t="s">
        <v>324</v>
      </c>
      <c r="Q18" s="1916"/>
      <c r="R18" s="1916"/>
      <c r="S18" s="1916"/>
      <c r="T18" s="1916"/>
      <c r="U18" s="1917"/>
      <c r="V18" s="1915" t="s">
        <v>325</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2431</v>
      </c>
      <c r="AU18" s="1916"/>
      <c r="AV18" s="1916"/>
      <c r="AW18" s="1916"/>
      <c r="AX18" s="1916"/>
      <c r="AY18" s="1918"/>
      <c r="AZ18" s="1190"/>
      <c r="BA18" s="1190"/>
      <c r="BB18" s="1190"/>
      <c r="BC18" s="1190"/>
      <c r="BD18" s="1190"/>
      <c r="BE18" s="1194"/>
    </row>
    <row r="19" spans="1:58" ht="14.5">
      <c r="A19" s="1190"/>
      <c r="B19" s="1919">
        <v>0.3</v>
      </c>
      <c r="C19" s="1920"/>
      <c r="D19" s="1920"/>
      <c r="E19" s="1920"/>
      <c r="F19" s="1920"/>
      <c r="G19" s="1920"/>
      <c r="H19" s="1920"/>
      <c r="I19" s="1921"/>
      <c r="J19" s="1922">
        <f t="shared" ref="J19:J24" si="0">SUM(P19:AS19)</f>
        <v>21</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6</v>
      </c>
      <c r="W19" s="1923"/>
      <c r="X19" s="1923"/>
      <c r="Y19" s="1923"/>
      <c r="Z19" s="1923"/>
      <c r="AA19" s="1924"/>
      <c r="AB19" s="1922" cm="1">
        <f t="array" ref="AB19">SUMPRODUCT((Application!$B$714:$B$738 = 'CalHFA Addendum'!AB$18)*(Application!$AC$714:$AC$738 = 'CalHFA Addendum'!$B19),Application!$G$714:$G$738)</f>
        <v>7</v>
      </c>
      <c r="AC19" s="1923"/>
      <c r="AD19" s="1923"/>
      <c r="AE19" s="1923"/>
      <c r="AF19" s="1923"/>
      <c r="AG19" s="1924"/>
      <c r="AH19" s="1922" cm="1">
        <f t="array" ref="AH19">SUMPRODUCT((Application!$B$714:$B$738 = 'CalHFA Addendum'!AH$18)*(Application!$AC$714:$AC$738 = 'CalHFA Addendum'!$B19),Application!$G$714:$G$738)</f>
        <v>6</v>
      </c>
      <c r="AI19" s="1923"/>
      <c r="AJ19" s="1923"/>
      <c r="AK19" s="1923"/>
      <c r="AL19" s="1923"/>
      <c r="AM19" s="1924"/>
      <c r="AN19" s="1922" cm="1">
        <f t="array" ref="AN19">SUMPRODUCT((Application!$B$714:$B$738 = 'CalHFA Addendum'!AN$18)*(Application!$AC$714:$AC$738 = 'CalHFA Addendum'!$B19),Application!$G$714:$G$738)</f>
        <v>2</v>
      </c>
      <c r="AO19" s="1923"/>
      <c r="AP19" s="1923"/>
      <c r="AQ19" s="1923"/>
      <c r="AR19" s="1923"/>
      <c r="AS19" s="1924"/>
      <c r="AT19" s="1925">
        <f t="shared" ref="AT19:AT29" si="1">J19/$J$29</f>
        <v>0.26250000000000001</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38</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20</v>
      </c>
      <c r="W20" s="1923"/>
      <c r="X20" s="1923"/>
      <c r="Y20" s="1923"/>
      <c r="Z20" s="1923"/>
      <c r="AA20" s="1924"/>
      <c r="AB20" s="1922" cm="1">
        <f t="array" ref="AB20">SUMPRODUCT((Application!$B$714:$B$738 = 'CalHFA Addendum'!AB$18)*(Application!$AC$714:$AC$738 = 'CalHFA Addendum'!$B20),Application!$G$714:$G$738)</f>
        <v>10</v>
      </c>
      <c r="AC20" s="1923"/>
      <c r="AD20" s="1923"/>
      <c r="AE20" s="1923"/>
      <c r="AF20" s="1923"/>
      <c r="AG20" s="1924"/>
      <c r="AH20" s="1922" cm="1">
        <f t="array" ref="AH20">SUMPRODUCT((Application!$B$714:$B$738 = 'CalHFA Addendum'!AH$18)*(Application!$AC$714:$AC$738 = 'CalHFA Addendum'!$B20),Application!$G$714:$G$738)</f>
        <v>4</v>
      </c>
      <c r="AI20" s="1923"/>
      <c r="AJ20" s="1923"/>
      <c r="AK20" s="1923"/>
      <c r="AL20" s="1923"/>
      <c r="AM20" s="1924"/>
      <c r="AN20" s="1922" cm="1">
        <f t="array" ref="AN20">SUMPRODUCT((Application!$B$714:$B$738 = 'CalHFA Addendum'!AN$18)*(Application!$AC$714:$AC$738 = 'CalHFA Addendum'!$B20),Application!$G$714:$G$738)</f>
        <v>4</v>
      </c>
      <c r="AO20" s="1923"/>
      <c r="AP20" s="1923"/>
      <c r="AQ20" s="1923"/>
      <c r="AR20" s="1923"/>
      <c r="AS20" s="1924"/>
      <c r="AT20" s="1925">
        <f t="shared" si="1"/>
        <v>0.47499999999999998</v>
      </c>
      <c r="AU20" s="1926"/>
      <c r="AV20" s="1926"/>
      <c r="AW20" s="1926"/>
      <c r="AX20" s="1926"/>
      <c r="AY20" s="1927"/>
      <c r="AZ20" s="1190"/>
      <c r="BA20" s="1190"/>
      <c r="BB20" s="1190"/>
      <c r="BC20" s="1190"/>
      <c r="BD20" s="1190"/>
      <c r="BE20" s="1194"/>
    </row>
    <row r="21" spans="1:58" ht="14.5">
      <c r="A21" s="1190"/>
      <c r="B21" s="1919">
        <v>0.5</v>
      </c>
      <c r="C21" s="1920"/>
      <c r="D21" s="1920"/>
      <c r="E21" s="1920"/>
      <c r="F21" s="1920"/>
      <c r="G21" s="1920"/>
      <c r="H21" s="1920"/>
      <c r="I21" s="1921"/>
      <c r="J21" s="1922">
        <f t="shared" si="0"/>
        <v>20</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6</v>
      </c>
      <c r="W21" s="1923"/>
      <c r="X21" s="1923"/>
      <c r="Y21" s="1923"/>
      <c r="Z21" s="1923"/>
      <c r="AA21" s="1924"/>
      <c r="AB21" s="1922" cm="1">
        <f t="array" ref="AB21">SUMPRODUCT((Application!$B$714:$B$738 = 'CalHFA Addendum'!AB$18)*(Application!$AC$714:$AC$738 = 'CalHFA Addendum'!$B21),Application!$G$714:$G$738)</f>
        <v>7</v>
      </c>
      <c r="AC21" s="1923"/>
      <c r="AD21" s="1923"/>
      <c r="AE21" s="1923"/>
      <c r="AF21" s="1923"/>
      <c r="AG21" s="1924"/>
      <c r="AH21" s="1922" cm="1">
        <f t="array" ref="AH21">SUMPRODUCT((Application!$B$714:$B$738 = 'CalHFA Addendum'!AH$18)*(Application!$AC$714:$AC$738 = 'CalHFA Addendum'!$B21),Application!$G$714:$G$738)</f>
        <v>5</v>
      </c>
      <c r="AI21" s="1923"/>
      <c r="AJ21" s="1923"/>
      <c r="AK21" s="1923"/>
      <c r="AL21" s="1923"/>
      <c r="AM21" s="1924"/>
      <c r="AN21" s="1922" cm="1">
        <f t="array" ref="AN21">SUMPRODUCT((Application!$B$714:$B$738 = 'CalHFA Addendum'!AN$18)*(Application!$AC$714:$AC$738 = 'CalHFA Addendum'!$B21),Application!$G$714:$G$738)</f>
        <v>2</v>
      </c>
      <c r="AO21" s="1923"/>
      <c r="AP21" s="1923"/>
      <c r="AQ21" s="1923"/>
      <c r="AR21" s="1923"/>
      <c r="AS21" s="1924"/>
      <c r="AT21" s="1925">
        <f t="shared" si="1"/>
        <v>0.25</v>
      </c>
      <c r="AU21" s="1926"/>
      <c r="AV21" s="1926"/>
      <c r="AW21" s="1926"/>
      <c r="AX21" s="1926"/>
      <c r="AY21" s="1927"/>
      <c r="AZ21" s="1190"/>
      <c r="BA21" s="1190"/>
      <c r="BB21" s="1190"/>
      <c r="BC21" s="1190"/>
      <c r="BD21" s="1190"/>
      <c r="BE21" s="1194"/>
    </row>
    <row r="22" spans="1:58" ht="14.5">
      <c r="A22" s="1190"/>
      <c r="B22" s="1919">
        <v>0.6</v>
      </c>
      <c r="C22" s="1920"/>
      <c r="D22" s="1920"/>
      <c r="E22" s="1920"/>
      <c r="F22" s="1920"/>
      <c r="G22" s="1920"/>
      <c r="H22" s="1920"/>
      <c r="I22" s="1921"/>
      <c r="J22" s="1922">
        <f t="shared" si="0"/>
        <v>0</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0</v>
      </c>
      <c r="W22" s="1923"/>
      <c r="X22" s="1923"/>
      <c r="Y22" s="1923"/>
      <c r="Z22" s="1923"/>
      <c r="AA22" s="1924"/>
      <c r="AB22" s="1922" cm="1">
        <f t="array" ref="AB22">SUMPRODUCT((Application!$B$714:$B$738 = 'CalHFA Addendum'!AB$18)*(Application!$AC$714:$AC$738 = 'CalHFA Addendum'!$B22),Application!$G$714:$G$738)</f>
        <v>0</v>
      </c>
      <c r="AC22" s="1923"/>
      <c r="AD22" s="1923"/>
      <c r="AE22" s="1923"/>
      <c r="AF22" s="1923"/>
      <c r="AG22" s="1924"/>
      <c r="AH22" s="1922" cm="1">
        <f t="array" ref="AH22">SUMPRODUCT((Application!$B$714:$B$738 = 'CalHFA Addendum'!AH$18)*(Application!$AC$714:$AC$738 = 'CalHFA Addendum'!$B22),Application!$G$714:$G$738)</f>
        <v>0</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v>
      </c>
      <c r="AU22" s="1926"/>
      <c r="AV22" s="1926"/>
      <c r="AW22" s="1926"/>
      <c r="AX22" s="1926"/>
      <c r="AY22" s="1927"/>
      <c r="AZ22" s="1190"/>
      <c r="BA22" s="1190"/>
      <c r="BB22" s="1190"/>
      <c r="BC22" s="1190"/>
      <c r="BD22" s="1190"/>
      <c r="BE22" s="1194"/>
    </row>
    <row r="23" spans="1:58" ht="14.5">
      <c r="A23" s="1190"/>
      <c r="B23" s="1919">
        <v>0.7</v>
      </c>
      <c r="C23" s="1920"/>
      <c r="D23" s="1920"/>
      <c r="E23" s="1920"/>
      <c r="F23" s="1920"/>
      <c r="G23" s="1920"/>
      <c r="H23" s="1920"/>
      <c r="I23" s="1921"/>
      <c r="J23" s="1922">
        <f t="shared" si="0"/>
        <v>0</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0</v>
      </c>
      <c r="W23" s="1923"/>
      <c r="X23" s="1923"/>
      <c r="Y23" s="1923"/>
      <c r="Z23" s="1923"/>
      <c r="AA23" s="1924"/>
      <c r="AB23" s="1922" cm="1">
        <f t="array" ref="AB23">SUMPRODUCT((Application!$B$714:$B$738 = 'CalHFA Addendum'!AB$18)*(Application!$AC$714:$AC$738 = 'CalHFA Addendum'!$B23),Application!$G$714:$G$738)</f>
        <v>0</v>
      </c>
      <c r="AC23" s="1923"/>
      <c r="AD23" s="1923"/>
      <c r="AE23" s="1923"/>
      <c r="AF23" s="1923"/>
      <c r="AG23" s="1924"/>
      <c r="AH23" s="1922" cm="1">
        <f t="array" ref="AH23">SUMPRODUCT((Application!$B$714:$B$738 = 'CalHFA Addendum'!AH$18)*(Application!$AC$714:$AC$738 = 'CalHFA Addendum'!$B23),Application!$G$714:$G$738)</f>
        <v>0</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v>
      </c>
      <c r="AU23" s="1926"/>
      <c r="AV23" s="1926"/>
      <c r="AW23" s="1926"/>
      <c r="AX23" s="1926"/>
      <c r="AY23" s="1927"/>
      <c r="AZ23" s="1190"/>
      <c r="BA23" s="1190"/>
      <c r="BB23" s="1190"/>
      <c r="BC23" s="1190"/>
      <c r="BD23" s="1190"/>
      <c r="BE23" s="1194"/>
    </row>
    <row r="24" spans="1:58" ht="14.5">
      <c r="A24" s="1190"/>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90"/>
      <c r="BA24" s="1190"/>
      <c r="BB24" s="1190"/>
      <c r="BC24" s="1190"/>
      <c r="BD24" s="1190"/>
      <c r="BE24" s="1194"/>
    </row>
    <row r="25" spans="1:58" ht="14.5">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4.5">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4.5">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ht="15" thickBot="1">
      <c r="A28" s="1190"/>
      <c r="B28" s="1931" t="s">
        <v>2430</v>
      </c>
      <c r="C28" s="1932"/>
      <c r="D28" s="1932"/>
      <c r="E28" s="1932"/>
      <c r="F28" s="1932"/>
      <c r="G28" s="1932"/>
      <c r="H28" s="1932"/>
      <c r="I28" s="1933"/>
      <c r="J28" s="1934">
        <f>SUM(P28:AS28)</f>
        <v>1</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0</v>
      </c>
      <c r="AC28" s="1935"/>
      <c r="AD28" s="1935"/>
      <c r="AE28" s="1935"/>
      <c r="AF28" s="1935"/>
      <c r="AG28" s="1936"/>
      <c r="AH28" s="1934">
        <f>_xlfn.IFNA(VLOOKUP(AH$18,Application!$J$773:$S$776,6,FALSE), 0)</f>
        <v>1</v>
      </c>
      <c r="AI28" s="1935"/>
      <c r="AJ28" s="1935"/>
      <c r="AK28" s="1935"/>
      <c r="AL28" s="1935"/>
      <c r="AM28" s="1936"/>
      <c r="AN28" s="1934">
        <f>_xlfn.IFNA(VLOOKUP(AN$18,Application!$J$773:$S$776,6,FALSE), 0)</f>
        <v>0</v>
      </c>
      <c r="AO28" s="1935"/>
      <c r="AP28" s="1935"/>
      <c r="AQ28" s="1935"/>
      <c r="AR28" s="1935"/>
      <c r="AS28" s="1936"/>
      <c r="AT28" s="1937">
        <f t="shared" si="1"/>
        <v>1.2500000000000001E-2</v>
      </c>
      <c r="AU28" s="1938"/>
      <c r="AV28" s="1938"/>
      <c r="AW28" s="1938"/>
      <c r="AX28" s="1938"/>
      <c r="AY28" s="1939"/>
      <c r="AZ28" s="1190"/>
      <c r="BA28" s="1190"/>
      <c r="BB28" s="1190"/>
      <c r="BC28" s="1190"/>
      <c r="BD28" s="1190"/>
      <c r="BE28" s="1194"/>
    </row>
    <row r="29" spans="1:58" ht="15" thickBot="1">
      <c r="A29" s="1190"/>
      <c r="B29" s="1968" t="s">
        <v>1586</v>
      </c>
      <c r="C29" s="1941"/>
      <c r="D29" s="1941"/>
      <c r="E29" s="1941"/>
      <c r="F29" s="1941"/>
      <c r="G29" s="1941"/>
      <c r="H29" s="1941"/>
      <c r="I29" s="1942"/>
      <c r="J29" s="1940">
        <f>SUM(J19:O28)</f>
        <v>80</v>
      </c>
      <c r="K29" s="1941"/>
      <c r="L29" s="1941"/>
      <c r="M29" s="1941"/>
      <c r="N29" s="1941"/>
      <c r="O29" s="1942"/>
      <c r="P29" s="1940">
        <f>SUM(P19:U28)</f>
        <v>0</v>
      </c>
      <c r="Q29" s="1941"/>
      <c r="R29" s="1941"/>
      <c r="S29" s="1941"/>
      <c r="T29" s="1941"/>
      <c r="U29" s="1942"/>
      <c r="V29" s="1940">
        <f>SUM(V19:AA28)</f>
        <v>32</v>
      </c>
      <c r="W29" s="1941"/>
      <c r="X29" s="1941"/>
      <c r="Y29" s="1941"/>
      <c r="Z29" s="1941"/>
      <c r="AA29" s="1942"/>
      <c r="AB29" s="1940">
        <f>SUM(AB19:AG28)</f>
        <v>24</v>
      </c>
      <c r="AC29" s="1941"/>
      <c r="AD29" s="1941"/>
      <c r="AE29" s="1941"/>
      <c r="AF29" s="1941"/>
      <c r="AG29" s="1942"/>
      <c r="AH29" s="1940">
        <f>SUM(AH19:AM28)</f>
        <v>16</v>
      </c>
      <c r="AI29" s="1941"/>
      <c r="AJ29" s="1941"/>
      <c r="AK29" s="1941"/>
      <c r="AL29" s="1941"/>
      <c r="AM29" s="1942"/>
      <c r="AN29" s="1940">
        <f>SUM(AN19:AS28)</f>
        <v>8</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6" t="s">
        <v>2429</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ht="15" thickBot="1">
      <c r="A32" s="1190"/>
      <c r="B32" s="1949" t="s">
        <v>2428</v>
      </c>
      <c r="C32" s="1950"/>
      <c r="D32" s="1950"/>
      <c r="E32" s="1950"/>
      <c r="F32" s="1950"/>
      <c r="G32" s="1950"/>
      <c r="H32" s="1950"/>
      <c r="I32" s="1950"/>
      <c r="J32" s="1953" t="s">
        <v>2427</v>
      </c>
      <c r="K32" s="1954"/>
      <c r="L32" s="1954"/>
      <c r="M32" s="1954"/>
      <c r="N32" s="1953" t="s">
        <v>2426</v>
      </c>
      <c r="O32" s="1954"/>
      <c r="P32" s="1954"/>
      <c r="Q32" s="1956"/>
      <c r="R32" s="1958" t="s">
        <v>2425</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2424</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2423</v>
      </c>
      <c r="AT35" s="1970"/>
      <c r="AU35" s="1970"/>
      <c r="AV35" s="1970"/>
      <c r="AW35" s="1970"/>
      <c r="AX35" s="1978"/>
      <c r="AY35" s="1969" t="s">
        <v>2422</v>
      </c>
      <c r="AZ35" s="1970"/>
      <c r="BA35" s="1970"/>
      <c r="BB35" s="1970"/>
      <c r="BC35" s="1970"/>
      <c r="BD35" s="1971"/>
      <c r="BE35" s="1194"/>
    </row>
    <row r="36" spans="1:58" ht="15.75" customHeight="1">
      <c r="A36" s="1190"/>
      <c r="B36" s="1988" t="s">
        <v>2421</v>
      </c>
      <c r="C36" s="1989"/>
      <c r="D36" s="1989"/>
      <c r="E36" s="1989"/>
      <c r="F36" s="1989"/>
      <c r="G36" s="1989"/>
      <c r="H36" s="1989"/>
      <c r="I36" s="1989"/>
      <c r="J36" s="1990" t="s">
        <v>2420</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2419</v>
      </c>
      <c r="C37" s="1989"/>
      <c r="D37" s="1989"/>
      <c r="E37" s="1989"/>
      <c r="F37" s="1989"/>
      <c r="G37" s="1989"/>
      <c r="H37" s="1989"/>
      <c r="I37" s="1989"/>
      <c r="J37" s="1990" t="s">
        <v>2418</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2417</v>
      </c>
      <c r="C38" s="1989"/>
      <c r="D38" s="1989"/>
      <c r="E38" s="1989"/>
      <c r="F38" s="1989"/>
      <c r="G38" s="1989"/>
      <c r="H38" s="1989"/>
      <c r="I38" s="1989"/>
      <c r="J38" s="1990" t="s">
        <v>2416</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4"/>
    </row>
    <row r="39" spans="1:58" ht="15.75" customHeight="1">
      <c r="A39" s="1190"/>
      <c r="B39" s="1988" t="s">
        <v>2415</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2415</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2414</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2414</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2413</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4"/>
    </row>
    <row r="44" spans="1:58" ht="15.75" customHeight="1">
      <c r="A44" s="1190"/>
      <c r="B44" s="1992" t="s">
        <v>2412</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2411</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4"/>
    </row>
    <row r="46" spans="1:58" ht="15.75" customHeight="1">
      <c r="A46" s="1190"/>
      <c r="B46" s="1992" t="s">
        <v>2335</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300</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2408</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2401</v>
      </c>
      <c r="C51" s="2008"/>
      <c r="D51" s="2008"/>
      <c r="E51" s="2008"/>
      <c r="F51" s="2008"/>
      <c r="G51" s="2008"/>
      <c r="H51" s="2008"/>
      <c r="I51" s="2008"/>
      <c r="J51" s="2008" t="s">
        <v>2407</v>
      </c>
      <c r="K51" s="2008"/>
      <c r="L51" s="2008"/>
      <c r="M51" s="2008"/>
      <c r="N51" s="2008"/>
      <c r="O51" s="2008"/>
      <c r="P51" s="2008"/>
      <c r="Q51" s="2008"/>
      <c r="R51" s="2009" t="s">
        <v>2406</v>
      </c>
      <c r="S51" s="2009"/>
      <c r="T51" s="2009"/>
      <c r="U51" s="2009"/>
      <c r="V51" s="2009"/>
      <c r="W51" s="2009"/>
      <c r="X51" s="2009"/>
      <c r="Y51" s="2009"/>
      <c r="Z51" s="2009" t="s">
        <v>2405</v>
      </c>
      <c r="AA51" s="2009"/>
      <c r="AB51" s="2009"/>
      <c r="AC51" s="2009"/>
      <c r="AD51" s="2009"/>
      <c r="AE51" s="2009"/>
      <c r="AF51" s="2009"/>
      <c r="AG51" s="2009"/>
      <c r="AH51" s="2009" t="s">
        <v>2404</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2403</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t="s">
        <v>2402</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1586</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2401</v>
      </c>
      <c r="C59" s="2017"/>
      <c r="D59" s="2017"/>
      <c r="E59" s="2017"/>
      <c r="F59" s="2017"/>
      <c r="G59" s="2017"/>
      <c r="H59" s="2017"/>
      <c r="I59" s="2018"/>
      <c r="J59" s="1910" t="s">
        <v>2400</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2398</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2397</v>
      </c>
      <c r="AD68" s="2054"/>
      <c r="AE68" s="2054"/>
      <c r="AF68" s="2054"/>
      <c r="AG68" s="2054"/>
      <c r="AH68" s="2054"/>
      <c r="AI68" s="2054"/>
      <c r="AJ68" s="2054"/>
      <c r="AK68" s="2054"/>
      <c r="AL68" s="2054"/>
      <c r="AM68" s="2054"/>
      <c r="AN68" s="2054"/>
      <c r="AO68" s="2054"/>
      <c r="AP68" s="2054"/>
      <c r="AQ68" s="2054"/>
      <c r="AR68" s="2054"/>
      <c r="AS68" s="2054"/>
      <c r="AT68" s="2054"/>
      <c r="AU68" s="2054"/>
      <c r="AV68" s="2031" t="s">
        <v>669</v>
      </c>
      <c r="AW68" s="2032"/>
      <c r="AX68" s="2032"/>
      <c r="AY68" s="2032"/>
      <c r="AZ68" s="2032"/>
      <c r="BA68" s="2032"/>
      <c r="BB68" s="2032"/>
      <c r="BC68" s="2033"/>
      <c r="BD68" s="1190"/>
      <c r="BE68" s="1194"/>
      <c r="BM68" s="1199" t="s">
        <v>2396</v>
      </c>
    </row>
    <row r="69" spans="1:94" ht="15.75" customHeight="1" thickTop="1" thickBot="1">
      <c r="A69" s="1190"/>
      <c r="B69" s="2034" t="s">
        <v>2395</v>
      </c>
      <c r="C69" s="2035"/>
      <c r="D69" s="2035"/>
      <c r="E69" s="2035"/>
      <c r="F69" s="2035"/>
      <c r="G69" s="2035"/>
      <c r="H69" s="2035"/>
      <c r="I69" s="2035"/>
      <c r="J69" s="2035"/>
      <c r="K69" s="2035"/>
      <c r="L69" s="2035"/>
      <c r="M69" s="2035"/>
      <c r="N69" s="2035"/>
      <c r="O69" s="2036" t="s">
        <v>2394</v>
      </c>
      <c r="P69" s="2037"/>
      <c r="Q69" s="2037"/>
      <c r="R69" s="2037"/>
      <c r="S69" s="2037"/>
      <c r="T69" s="2037"/>
      <c r="U69" s="2037"/>
      <c r="V69" s="2037"/>
      <c r="W69" s="2037"/>
      <c r="X69" s="2037"/>
      <c r="Y69" s="2037"/>
      <c r="Z69" s="2037"/>
      <c r="AA69" s="2038"/>
      <c r="AB69" s="1190"/>
      <c r="AC69" s="2039" t="s">
        <v>2393</v>
      </c>
      <c r="AD69" s="2040"/>
      <c r="AE69" s="2040"/>
      <c r="AF69" s="2040"/>
      <c r="AG69" s="2040"/>
      <c r="AH69" s="2040"/>
      <c r="AI69" s="2040"/>
      <c r="AJ69" s="2040"/>
      <c r="AK69" s="2040"/>
      <c r="AL69" s="2040"/>
      <c r="AM69" s="2040"/>
      <c r="AN69" s="2040"/>
      <c r="AO69" s="2040"/>
      <c r="AP69" s="2040"/>
      <c r="AQ69" s="2040"/>
      <c r="AR69" s="2040"/>
      <c r="AS69" s="2040"/>
      <c r="AT69" s="2040"/>
      <c r="AU69" s="2040"/>
      <c r="AV69" s="2031" t="s">
        <v>669</v>
      </c>
      <c r="AW69" s="2032"/>
      <c r="AX69" s="2032"/>
      <c r="AY69" s="2032"/>
      <c r="AZ69" s="2032"/>
      <c r="BA69" s="2032"/>
      <c r="BB69" s="2032"/>
      <c r="BC69" s="2033"/>
      <c r="BD69" s="1190"/>
      <c r="BE69" s="1194"/>
      <c r="BM69" s="1200" t="s">
        <v>545</v>
      </c>
    </row>
    <row r="70" spans="1:94" ht="15.75" customHeight="1">
      <c r="A70" s="1190"/>
      <c r="B70" s="1988" t="s">
        <v>2392</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2391</v>
      </c>
      <c r="AD70" s="2005"/>
      <c r="AE70" s="2005"/>
      <c r="AF70" s="2049"/>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669</v>
      </c>
    </row>
    <row r="71" spans="1:94" ht="15.75" customHeight="1" thickBot="1">
      <c r="A71" s="1190"/>
      <c r="B71" s="1988" t="s">
        <v>2390</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2389</v>
      </c>
      <c r="AD71" s="2052"/>
      <c r="AE71" s="2052"/>
      <c r="AF71" s="2045"/>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2388</v>
      </c>
    </row>
    <row r="72" spans="1:94" ht="15.75" customHeight="1">
      <c r="A72" s="1190"/>
      <c r="B72" s="1988" t="s">
        <v>2387</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2386</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2385</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2330</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5"/>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2383</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2382</v>
      </c>
      <c r="C81" s="2064"/>
      <c r="D81" s="2064"/>
      <c r="E81" s="2064"/>
      <c r="F81" s="2064"/>
      <c r="G81" s="2064"/>
      <c r="H81" s="2064"/>
      <c r="I81" s="2064"/>
      <c r="J81" s="2064"/>
      <c r="K81" s="2064"/>
      <c r="L81" s="2064"/>
      <c r="M81" s="2064"/>
      <c r="N81" s="2064"/>
      <c r="O81" s="2064"/>
      <c r="P81" s="2064"/>
      <c r="Q81" s="2064"/>
      <c r="R81" s="2065" t="s">
        <v>2188</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2381</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2380</v>
      </c>
      <c r="AK83" s="2087"/>
      <c r="AL83" s="2087"/>
      <c r="AM83" s="2087"/>
      <c r="AN83" s="2087"/>
      <c r="AO83" s="2087"/>
      <c r="AP83" s="2087"/>
      <c r="AQ83" s="2087"/>
      <c r="AR83" s="2087"/>
      <c r="AS83" s="2087"/>
      <c r="AT83" s="2087"/>
      <c r="AU83" s="2087"/>
      <c r="AV83" s="2087"/>
      <c r="AW83" s="2087"/>
      <c r="AX83" s="2087"/>
      <c r="AY83" s="2090" t="s">
        <v>545</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2370</v>
      </c>
      <c r="J84" s="2008"/>
      <c r="K84" s="2008"/>
      <c r="L84" s="2008"/>
      <c r="M84" s="2008"/>
      <c r="N84" s="2008"/>
      <c r="O84" s="2008" t="s">
        <v>2346</v>
      </c>
      <c r="P84" s="2008"/>
      <c r="Q84" s="2008"/>
      <c r="R84" s="2008"/>
      <c r="S84" s="2008"/>
      <c r="T84" s="2008"/>
      <c r="U84" s="2008"/>
      <c r="V84" s="2094" t="s">
        <v>2345</v>
      </c>
      <c r="W84" s="2094"/>
      <c r="X84" s="2094"/>
      <c r="Y84" s="2094"/>
      <c r="Z84" s="2094"/>
      <c r="AA84" s="2094"/>
      <c r="AB84" s="2095" t="s">
        <v>2369</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2368</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2367</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2374</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2366</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5"/>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2378</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2377</v>
      </c>
      <c r="C94" s="2064"/>
      <c r="D94" s="2064"/>
      <c r="E94" s="2064"/>
      <c r="F94" s="2064"/>
      <c r="G94" s="2064"/>
      <c r="H94" s="2064"/>
      <c r="I94" s="2064"/>
      <c r="J94" s="2064"/>
      <c r="K94" s="2064"/>
      <c r="L94" s="2064"/>
      <c r="M94" s="2064"/>
      <c r="N94" s="2064"/>
      <c r="O94" s="2064"/>
      <c r="P94" s="2064"/>
      <c r="Q94" s="2098"/>
      <c r="R94" s="2065" t="s">
        <v>2188</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2376</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2375</v>
      </c>
      <c r="AK96" s="2087"/>
      <c r="AL96" s="2087"/>
      <c r="AM96" s="2087"/>
      <c r="AN96" s="2087"/>
      <c r="AO96" s="2087"/>
      <c r="AP96" s="2087"/>
      <c r="AQ96" s="2087"/>
      <c r="AR96" s="2087"/>
      <c r="AS96" s="2087"/>
      <c r="AT96" s="2087"/>
      <c r="AU96" s="2087"/>
      <c r="AV96" s="2087"/>
      <c r="AW96" s="2087"/>
      <c r="AX96" s="2087"/>
      <c r="AY96" s="2090" t="s">
        <v>545</v>
      </c>
      <c r="AZ96" s="2090"/>
      <c r="BA96" s="2090"/>
      <c r="BB96" s="2091"/>
      <c r="BC96" s="1190"/>
      <c r="BD96" s="1190"/>
      <c r="BE96" s="1194"/>
      <c r="BQ96" s="1256" t="str">
        <f>Application!M243&amp;IF(TRIM(Application!AA249)&lt;&gt;""," ("&amp;Application!AA249&amp;")","")</f>
        <v>Oasis Villas 1 LLC</v>
      </c>
      <c r="BR96" s="1259">
        <f>Application!AH246</f>
        <v>1E-3</v>
      </c>
      <c r="CM96" s="1188"/>
      <c r="CN96" s="1188"/>
      <c r="CO96" s="1188"/>
      <c r="CP96" s="1188"/>
    </row>
    <row r="97" spans="1:94" ht="15.75" customHeight="1">
      <c r="A97" s="1190"/>
      <c r="B97" s="2007"/>
      <c r="C97" s="2008"/>
      <c r="D97" s="2008"/>
      <c r="E97" s="2008"/>
      <c r="F97" s="2008"/>
      <c r="G97" s="2008"/>
      <c r="H97" s="2008"/>
      <c r="I97" s="2008" t="s">
        <v>2370</v>
      </c>
      <c r="J97" s="2008"/>
      <c r="K97" s="2008"/>
      <c r="L97" s="2008"/>
      <c r="M97" s="2008"/>
      <c r="N97" s="2008"/>
      <c r="O97" s="2008" t="s">
        <v>2346</v>
      </c>
      <c r="P97" s="2008"/>
      <c r="Q97" s="2008"/>
      <c r="R97" s="2008"/>
      <c r="S97" s="2008"/>
      <c r="T97" s="2008"/>
      <c r="U97" s="2008"/>
      <c r="V97" s="2094" t="s">
        <v>2345</v>
      </c>
      <c r="W97" s="2094"/>
      <c r="X97" s="2094"/>
      <c r="Y97" s="2094"/>
      <c r="Z97" s="2094"/>
      <c r="AA97" s="2094"/>
      <c r="AB97" s="2095" t="s">
        <v>2369</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7" t="s">
        <v>2368</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2367</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2374</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2366</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Hyder &amp;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2371</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2370</v>
      </c>
      <c r="J108" s="2008"/>
      <c r="K108" s="2008"/>
      <c r="L108" s="2008"/>
      <c r="M108" s="2008"/>
      <c r="N108" s="2008"/>
      <c r="O108" s="2008" t="s">
        <v>2346</v>
      </c>
      <c r="P108" s="2008"/>
      <c r="Q108" s="2008"/>
      <c r="R108" s="2008"/>
      <c r="S108" s="2008"/>
      <c r="T108" s="2008"/>
      <c r="U108" s="2008"/>
      <c r="V108" s="2094" t="s">
        <v>2345</v>
      </c>
      <c r="W108" s="2094"/>
      <c r="X108" s="2094"/>
      <c r="Y108" s="2094"/>
      <c r="Z108" s="2094"/>
      <c r="AA108" s="2094"/>
      <c r="AB108" s="2095" t="s">
        <v>2369</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2368</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2367</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2366</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2364</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2364</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2362</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2361</v>
      </c>
      <c r="J127" s="2008"/>
      <c r="K127" s="2008"/>
      <c r="L127" s="2008"/>
      <c r="M127" s="2008"/>
      <c r="N127" s="2008"/>
      <c r="O127" s="2105" t="s">
        <v>2360</v>
      </c>
      <c r="P127" s="2105"/>
      <c r="Q127" s="2105"/>
      <c r="R127" s="2105"/>
      <c r="S127" s="2105"/>
      <c r="T127" s="2105"/>
      <c r="U127" s="2106"/>
      <c r="V127" s="1190"/>
      <c r="W127" s="1190"/>
      <c r="X127" s="2073" t="s">
        <v>2330</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2344</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2343</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2358</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2346</v>
      </c>
      <c r="J134" s="2151"/>
      <c r="K134" s="2151"/>
      <c r="L134" s="2151"/>
      <c r="M134" s="2151"/>
      <c r="N134" s="2151"/>
      <c r="O134" s="2151"/>
      <c r="P134" s="2151" t="s">
        <v>2345</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2344</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2343</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2357</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545</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2356</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2355</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545</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2354</v>
      </c>
      <c r="C142" s="2138"/>
      <c r="D142" s="2138"/>
      <c r="E142" s="2138"/>
      <c r="F142" s="2138"/>
      <c r="G142" s="2138"/>
      <c r="H142" s="2138"/>
      <c r="I142" s="2138"/>
      <c r="J142" s="2138"/>
      <c r="K142" s="2138"/>
      <c r="L142" s="2138"/>
      <c r="M142" s="2138"/>
      <c r="N142" s="2138"/>
      <c r="O142" s="2138"/>
      <c r="P142" s="2138"/>
      <c r="Q142" s="2138"/>
      <c r="R142" s="2139" t="s">
        <v>2353</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250</v>
      </c>
      <c r="BD142" s="1190"/>
      <c r="BE142" s="1194"/>
    </row>
    <row r="143" spans="1:57" ht="15.75" customHeight="1">
      <c r="A143" s="1190"/>
      <c r="B143" s="2141" t="s">
        <v>2352</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2349</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2348</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2346</v>
      </c>
      <c r="J157" s="2151"/>
      <c r="K157" s="2151"/>
      <c r="L157" s="2151"/>
      <c r="M157" s="2151"/>
      <c r="N157" s="2151"/>
      <c r="O157" s="2151"/>
      <c r="P157" s="2151" t="s">
        <v>2347</v>
      </c>
      <c r="Q157" s="2151"/>
      <c r="R157" s="2151"/>
      <c r="S157" s="2151"/>
      <c r="T157" s="2151"/>
      <c r="U157" s="2152"/>
      <c r="V157" s="1190"/>
      <c r="W157" s="1190"/>
      <c r="X157" s="2149"/>
      <c r="Y157" s="2150"/>
      <c r="Z157" s="2150"/>
      <c r="AA157" s="2150"/>
      <c r="AB157" s="2150"/>
      <c r="AC157" s="2150"/>
      <c r="AD157" s="2150"/>
      <c r="AE157" s="2151" t="s">
        <v>2346</v>
      </c>
      <c r="AF157" s="2151"/>
      <c r="AG157" s="2151"/>
      <c r="AH157" s="2151"/>
      <c r="AI157" s="2151"/>
      <c r="AJ157" s="2151"/>
      <c r="AK157" s="2151"/>
      <c r="AL157" s="2151" t="s">
        <v>2345</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2344</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90"/>
      <c r="W159" s="1190"/>
      <c r="X159" s="2109" t="s">
        <v>2344</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2343</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2342</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2327</v>
      </c>
      <c r="D163" s="2150"/>
      <c r="E163" s="2150"/>
      <c r="F163" s="2150"/>
      <c r="G163" s="2150"/>
      <c r="H163" s="2150"/>
      <c r="I163" s="2150"/>
      <c r="J163" s="2150"/>
      <c r="K163" s="2150"/>
      <c r="L163" s="2150"/>
      <c r="M163" s="2150"/>
      <c r="N163" s="2150"/>
      <c r="O163" s="2150"/>
      <c r="P163" s="2150"/>
      <c r="Q163" s="2150" t="s">
        <v>2341</v>
      </c>
      <c r="R163" s="2150"/>
      <c r="S163" s="2150"/>
      <c r="T163" s="2095" t="s">
        <v>2340</v>
      </c>
      <c r="U163" s="2095"/>
      <c r="V163" s="2095"/>
      <c r="W163" s="2095"/>
      <c r="X163" s="2095"/>
      <c r="Y163" s="2095"/>
      <c r="Z163" s="2095"/>
      <c r="AA163" s="2095"/>
      <c r="AB163" s="2150" t="s">
        <v>2339</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2338</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2337</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2336</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2335</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170</v>
      </c>
      <c r="D168" s="2154"/>
      <c r="E168" s="2154"/>
      <c r="F168" s="2161" t="s">
        <v>2316</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170</v>
      </c>
      <c r="D169" s="2154"/>
      <c r="E169" s="2154"/>
      <c r="F169" s="2161" t="s">
        <v>2316</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170</v>
      </c>
      <c r="D170" s="2163"/>
      <c r="E170" s="2163"/>
      <c r="F170" s="2164" t="s">
        <v>2316</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2334</v>
      </c>
      <c r="D172" s="2054"/>
      <c r="E172" s="2054"/>
      <c r="F172" s="2054"/>
      <c r="G172" s="2054"/>
      <c r="H172" s="2054"/>
      <c r="I172" s="2054"/>
      <c r="J172" s="2054"/>
      <c r="K172" s="2054"/>
      <c r="L172" s="2054"/>
      <c r="M172" s="2054"/>
      <c r="N172" s="2104"/>
      <c r="O172" s="1190"/>
      <c r="P172" s="2169" t="s">
        <v>2333</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2332</v>
      </c>
      <c r="D173" s="2150"/>
      <c r="E173" s="2150"/>
      <c r="F173" s="2150"/>
      <c r="G173" s="2150"/>
      <c r="H173" s="2150"/>
      <c r="I173" s="2150" t="s">
        <v>2331</v>
      </c>
      <c r="J173" s="2150"/>
      <c r="K173" s="2150"/>
      <c r="L173" s="2150"/>
      <c r="M173" s="2150"/>
      <c r="N173" s="2158"/>
      <c r="O173" s="1190"/>
      <c r="P173" s="2073" t="s">
        <v>2330</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2329</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2327</v>
      </c>
      <c r="D184" s="2054"/>
      <c r="E184" s="2054"/>
      <c r="F184" s="2054"/>
      <c r="G184" s="2054"/>
      <c r="H184" s="2054"/>
      <c r="I184" s="2054"/>
      <c r="J184" s="2054"/>
      <c r="K184" s="2054"/>
      <c r="L184" s="2054"/>
      <c r="M184" s="2054"/>
      <c r="N184" s="2054" t="s">
        <v>2328</v>
      </c>
      <c r="O184" s="2054"/>
      <c r="P184" s="2054"/>
      <c r="Q184" s="2054"/>
      <c r="R184" s="2054"/>
      <c r="S184" s="2054"/>
      <c r="T184" s="2054"/>
      <c r="U184" s="2005" t="s">
        <v>2327</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2326</v>
      </c>
      <c r="D185" s="2178"/>
      <c r="E185" s="2178"/>
      <c r="F185" s="2178"/>
      <c r="G185" s="2178"/>
      <c r="H185" s="2178"/>
      <c r="I185" s="2178"/>
      <c r="J185" s="2178"/>
      <c r="K185" s="2178"/>
      <c r="L185" s="2178"/>
      <c r="M185" s="2178"/>
      <c r="N185" s="2179">
        <f ca="1">'Sources and Uses Budget'!B105</f>
        <v>57056749</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2325</v>
      </c>
      <c r="D186" s="2178"/>
      <c r="E186" s="2178"/>
      <c r="F186" s="2178"/>
      <c r="G186" s="2178"/>
      <c r="H186" s="2178"/>
      <c r="I186" s="2178"/>
      <c r="J186" s="2178"/>
      <c r="K186" s="2178"/>
      <c r="L186" s="2178"/>
      <c r="M186" s="2178"/>
      <c r="N186" s="2179">
        <f ca="1">N185/J29</f>
        <v>713209.36250000005</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2324</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2323</v>
      </c>
      <c r="D188" s="2178"/>
      <c r="E188" s="2178"/>
      <c r="F188" s="2178"/>
      <c r="G188" s="2178"/>
      <c r="H188" s="2178"/>
      <c r="I188" s="2178"/>
      <c r="J188" s="2178"/>
      <c r="K188" s="2178"/>
      <c r="L188" s="2178"/>
      <c r="M188" s="2178"/>
      <c r="N188" s="2195">
        <f>SUM('Sources and Uses Budget'!B85:B86)</f>
        <v>2772557</v>
      </c>
      <c r="O188" s="2195"/>
      <c r="P188" s="2195"/>
      <c r="Q188" s="2195"/>
      <c r="R188" s="2195"/>
      <c r="S188" s="2195"/>
      <c r="T188" s="2195"/>
      <c r="U188" s="2023"/>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2322</v>
      </c>
      <c r="D189" s="2178"/>
      <c r="E189" s="2178"/>
      <c r="F189" s="2178"/>
      <c r="G189" s="2178"/>
      <c r="H189" s="2178"/>
      <c r="I189" s="2178"/>
      <c r="J189" s="2178"/>
      <c r="K189" s="2178"/>
      <c r="L189" s="2178"/>
      <c r="M189" s="2178"/>
      <c r="N189" s="2195">
        <f>'Sources and Uses Budget'!B8</f>
        <v>380000</v>
      </c>
      <c r="O189" s="2195"/>
      <c r="P189" s="2195"/>
      <c r="Q189" s="2195"/>
      <c r="R189" s="2195"/>
      <c r="S189" s="2195"/>
      <c r="T189" s="2195"/>
      <c r="U189" s="2023"/>
      <c r="V189" s="2023"/>
      <c r="W189" s="2023"/>
      <c r="X189" s="2023"/>
      <c r="Y189" s="2023"/>
      <c r="Z189" s="2023"/>
      <c r="AA189" s="2023"/>
      <c r="AB189" s="2023"/>
      <c r="AC189" s="2023"/>
      <c r="AD189" s="2023"/>
      <c r="AE189" s="2024"/>
      <c r="AF189" s="1190"/>
      <c r="AG189" s="1190"/>
      <c r="AH189" s="2199" t="s">
        <v>2320</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2321</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2320</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2319</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2318</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300</v>
      </c>
      <c r="D192" s="2155"/>
      <c r="E192" s="2208" t="s">
        <v>2316</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2317</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300</v>
      </c>
      <c r="D193" s="2011"/>
      <c r="E193" s="2208" t="s">
        <v>2316</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300</v>
      </c>
      <c r="D194" s="2234"/>
      <c r="E194" s="2235" t="s">
        <v>2316</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2315</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2314</v>
      </c>
      <c r="D195" s="2217"/>
      <c r="E195" s="2217"/>
      <c r="F195" s="2217"/>
      <c r="G195" s="2217"/>
      <c r="H195" s="2217"/>
      <c r="I195" s="2217"/>
      <c r="J195" s="2217"/>
      <c r="K195" s="2217"/>
      <c r="L195" s="2217"/>
      <c r="M195" s="2217"/>
      <c r="N195" s="2218">
        <f>SUM(N187:T194)</f>
        <v>3152557</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2313</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2312</v>
      </c>
      <c r="D196" s="2227"/>
      <c r="E196" s="2227"/>
      <c r="F196" s="2227"/>
      <c r="G196" s="2227"/>
      <c r="H196" s="2227"/>
      <c r="I196" s="2227"/>
      <c r="J196" s="2227"/>
      <c r="K196" s="2227"/>
      <c r="L196" s="2227"/>
      <c r="M196" s="2227"/>
      <c r="N196" s="2228">
        <f ca="1">(N185-N195)/J29</f>
        <v>673802.4</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2311</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2310</v>
      </c>
      <c r="D200" s="2253"/>
      <c r="E200" s="2253"/>
      <c r="F200" s="2253"/>
      <c r="G200" s="2253"/>
      <c r="H200" s="2253"/>
      <c r="I200" s="2253"/>
      <c r="J200" s="2253"/>
      <c r="K200" s="2253"/>
      <c r="L200" s="2253"/>
      <c r="M200" s="2253"/>
      <c r="N200" s="2253"/>
      <c r="O200" s="2254" t="s">
        <v>2309</v>
      </c>
      <c r="P200" s="2254"/>
      <c r="Q200" s="2254"/>
      <c r="R200" s="2254"/>
      <c r="S200" s="2254"/>
      <c r="T200" s="2254"/>
      <c r="U200" s="2254"/>
      <c r="V200" s="2254"/>
      <c r="W200" s="2254"/>
      <c r="X200" s="2254" t="s">
        <v>2308</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2307</v>
      </c>
      <c r="D201" s="2245"/>
      <c r="E201" s="2245"/>
      <c r="F201" s="2245"/>
      <c r="G201" s="2245"/>
      <c r="H201" s="2245"/>
      <c r="I201" s="2245"/>
      <c r="J201" s="2245"/>
      <c r="K201" s="2245"/>
      <c r="L201" s="2245"/>
      <c r="M201" s="2245"/>
      <c r="N201" s="2245"/>
      <c r="O201" s="2246" t="s">
        <v>2306</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854</v>
      </c>
      <c r="D202" s="2245"/>
      <c r="E202" s="2245"/>
      <c r="F202" s="2245"/>
      <c r="G202" s="2245"/>
      <c r="H202" s="2245"/>
      <c r="I202" s="2245"/>
      <c r="J202" s="2245"/>
      <c r="K202" s="2245"/>
      <c r="L202" s="2245"/>
      <c r="M202" s="2245"/>
      <c r="N202" s="2245"/>
      <c r="O202" s="2246" t="s">
        <v>2306</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2305</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2304</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2303</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2302</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2301</v>
      </c>
      <c r="D207" s="2260"/>
      <c r="E207" s="2260"/>
      <c r="F207" s="2261"/>
      <c r="G207" s="2265" t="s">
        <v>2300</v>
      </c>
      <c r="H207" s="2260"/>
      <c r="I207" s="2260"/>
      <c r="J207" s="2260"/>
      <c r="K207" s="2260"/>
      <c r="L207" s="2260"/>
      <c r="M207" s="2260"/>
      <c r="N207" s="2260"/>
      <c r="O207" s="2261"/>
      <c r="P207" s="2267" t="s">
        <v>2299</v>
      </c>
      <c r="Q207" s="2268"/>
      <c r="R207" s="2268"/>
      <c r="S207" s="2268"/>
      <c r="T207" s="2269"/>
      <c r="U207" s="2273" t="s">
        <v>2298</v>
      </c>
      <c r="V207" s="2274"/>
      <c r="W207" s="2274"/>
      <c r="X207" s="2275"/>
      <c r="Y207" s="2273" t="s">
        <v>2297</v>
      </c>
      <c r="Z207" s="2274"/>
      <c r="AA207" s="2274"/>
      <c r="AB207" s="2275"/>
      <c r="AC207" s="2273" t="s">
        <v>2296</v>
      </c>
      <c r="AD207" s="2274"/>
      <c r="AE207" s="2274"/>
      <c r="AF207" s="2275"/>
      <c r="AG207" s="2265" t="s">
        <v>2295</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1884</v>
      </c>
      <c r="H209" s="2286"/>
      <c r="I209" s="2286"/>
      <c r="J209" s="2286"/>
      <c r="K209" s="2286"/>
      <c r="L209" s="2286"/>
      <c r="M209" s="2286"/>
      <c r="N209" s="2286"/>
      <c r="O209" s="2286"/>
      <c r="P209" s="2287"/>
      <c r="Q209" s="2290"/>
      <c r="R209" s="2290"/>
      <c r="S209" s="2290"/>
      <c r="T209" s="2290"/>
      <c r="U209" s="2288" t="s">
        <v>1884</v>
      </c>
      <c r="V209" s="2288"/>
      <c r="W209" s="2288"/>
      <c r="X209" s="2288"/>
      <c r="Y209" s="2288" t="s">
        <v>1884</v>
      </c>
      <c r="Z209" s="2288"/>
      <c r="AA209" s="2288"/>
      <c r="AB209" s="2288"/>
      <c r="AC209" s="2289" t="s">
        <v>1884</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1884</v>
      </c>
      <c r="H210" s="2286"/>
      <c r="I210" s="2286"/>
      <c r="J210" s="2286"/>
      <c r="K210" s="2286"/>
      <c r="L210" s="2286"/>
      <c r="M210" s="2286"/>
      <c r="N210" s="2286"/>
      <c r="O210" s="2286"/>
      <c r="P210" s="2287"/>
      <c r="Q210" s="2287"/>
      <c r="R210" s="2287"/>
      <c r="S210" s="2287"/>
      <c r="T210" s="2287"/>
      <c r="U210" s="2288" t="s">
        <v>1884</v>
      </c>
      <c r="V210" s="2288"/>
      <c r="W210" s="2288"/>
      <c r="X210" s="2288"/>
      <c r="Y210" s="2288" t="s">
        <v>1884</v>
      </c>
      <c r="Z210" s="2288"/>
      <c r="AA210" s="2288"/>
      <c r="AB210" s="2288"/>
      <c r="AC210" s="2289" t="s">
        <v>1884</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1884</v>
      </c>
      <c r="H211" s="2286"/>
      <c r="I211" s="2286"/>
      <c r="J211" s="2286"/>
      <c r="K211" s="2286"/>
      <c r="L211" s="2286"/>
      <c r="M211" s="2286"/>
      <c r="N211" s="2286"/>
      <c r="O211" s="2286"/>
      <c r="P211" s="2287"/>
      <c r="Q211" s="2287"/>
      <c r="R211" s="2287"/>
      <c r="S211" s="2287"/>
      <c r="T211" s="2287"/>
      <c r="U211" s="2288" t="s">
        <v>1884</v>
      </c>
      <c r="V211" s="2288"/>
      <c r="W211" s="2288"/>
      <c r="X211" s="2288"/>
      <c r="Y211" s="2288" t="s">
        <v>1884</v>
      </c>
      <c r="Z211" s="2288"/>
      <c r="AA211" s="2288"/>
      <c r="AB211" s="2288"/>
      <c r="AC211" s="2289" t="s">
        <v>1884</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1884</v>
      </c>
      <c r="H212" s="2286"/>
      <c r="I212" s="2286"/>
      <c r="J212" s="2286"/>
      <c r="K212" s="2286"/>
      <c r="L212" s="2286"/>
      <c r="M212" s="2286"/>
      <c r="N212" s="2286"/>
      <c r="O212" s="2286"/>
      <c r="P212" s="2287"/>
      <c r="Q212" s="2287"/>
      <c r="R212" s="2287"/>
      <c r="S212" s="2287"/>
      <c r="T212" s="2287"/>
      <c r="U212" s="2288" t="s">
        <v>1884</v>
      </c>
      <c r="V212" s="2288"/>
      <c r="W212" s="2288"/>
      <c r="X212" s="2288"/>
      <c r="Y212" s="2288" t="s">
        <v>1884</v>
      </c>
      <c r="Z212" s="2288"/>
      <c r="AA212" s="2288"/>
      <c r="AB212" s="2288"/>
      <c r="AC212" s="2289" t="s">
        <v>1884</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1884</v>
      </c>
      <c r="H213" s="2286"/>
      <c r="I213" s="2286"/>
      <c r="J213" s="2286"/>
      <c r="K213" s="2286"/>
      <c r="L213" s="2286"/>
      <c r="M213" s="2286"/>
      <c r="N213" s="2286"/>
      <c r="O213" s="2286"/>
      <c r="P213" s="2287"/>
      <c r="Q213" s="2287"/>
      <c r="R213" s="2287"/>
      <c r="S213" s="2287"/>
      <c r="T213" s="2287"/>
      <c r="U213" s="2288" t="s">
        <v>1884</v>
      </c>
      <c r="V213" s="2288"/>
      <c r="W213" s="2288"/>
      <c r="X213" s="2288"/>
      <c r="Y213" s="2288" t="s">
        <v>1884</v>
      </c>
      <c r="Z213" s="2288"/>
      <c r="AA213" s="2288"/>
      <c r="AB213" s="2288"/>
      <c r="AC213" s="2289" t="s">
        <v>1884</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1884</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1884</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1884</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2294</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2292</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2291</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2290</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2289</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2287</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2286</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2285</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2284</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2283</v>
      </c>
      <c r="I241" s="2311"/>
      <c r="J241" s="2311"/>
      <c r="K241" s="1241"/>
      <c r="L241" s="1239"/>
      <c r="M241" s="1239"/>
      <c r="N241" s="1239"/>
      <c r="O241" s="1239"/>
      <c r="P241" s="1239"/>
      <c r="Q241" s="1239"/>
      <c r="R241" s="1239"/>
      <c r="S241" s="2312"/>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441</v>
      </c>
      <c r="I243" s="2311"/>
      <c r="J243" s="1241"/>
      <c r="K243" s="1241"/>
      <c r="L243" s="1239"/>
      <c r="M243" s="1239"/>
      <c r="N243" s="1239"/>
      <c r="O243" s="1239"/>
      <c r="P243" s="1239"/>
      <c r="Q243" s="1239"/>
      <c r="R243" s="1239"/>
      <c r="S243" s="2312"/>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2282</v>
      </c>
      <c r="I245" s="2315"/>
      <c r="J245" s="2315"/>
      <c r="K245" s="2315"/>
      <c r="L245" s="2315"/>
      <c r="M245" s="2315"/>
      <c r="N245" s="2315"/>
      <c r="O245" s="2315"/>
      <c r="P245" s="1239"/>
      <c r="Q245" s="1239"/>
      <c r="R245" s="1239"/>
      <c r="S245" s="2312"/>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2281</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abSelected="1" topLeftCell="A19" workbookViewId="0">
      <selection activeCell="AL52" sqref="AL52"/>
    </sheetView>
  </sheetViews>
  <sheetFormatPr defaultColWidth="0" defaultRowHeight="13" customHeight="1"/>
  <cols>
    <col min="1" max="1" width="1.54296875" style="402" customWidth="1"/>
    <col min="2" max="2" width="0.81640625" style="402" customWidth="1"/>
    <col min="3" max="18" width="2.54296875" style="402" customWidth="1"/>
    <col min="19" max="19" width="6.1796875" style="402" customWidth="1"/>
    <col min="20" max="39" width="2.81640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56" t="s">
        <v>1280</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3"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3"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3"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 customHeight="1">
      <c r="B11" s="2337" t="s">
        <v>375</v>
      </c>
      <c r="C11" s="2338"/>
      <c r="D11" s="2338"/>
      <c r="E11" s="2338"/>
      <c r="F11" s="2338"/>
      <c r="G11" s="2338"/>
      <c r="H11" s="2338"/>
      <c r="I11" s="2338"/>
      <c r="J11" s="2338"/>
      <c r="K11" s="2338"/>
      <c r="L11" s="2338"/>
      <c r="M11" s="2338"/>
      <c r="N11" s="2338"/>
      <c r="O11" s="2338"/>
      <c r="P11" s="2338"/>
      <c r="Q11" s="2338"/>
      <c r="R11" s="2338"/>
      <c r="S11" s="2339"/>
      <c r="T11" s="2359">
        <f ca="1">IF('Sources and Basis Breakdown'!F107=0,'Sources and Basis Breakdown'!E107,'Sources and Basis Breakdown'!F107)</f>
        <v>53826731</v>
      </c>
      <c r="U11" s="2360"/>
      <c r="V11" s="2360"/>
      <c r="W11" s="2360"/>
      <c r="X11" s="2360"/>
      <c r="Y11" s="2359">
        <f ca="1">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3" customHeight="1">
      <c r="B12" s="2352" t="s">
        <v>497</v>
      </c>
      <c r="C12" s="1286"/>
      <c r="D12" s="1286"/>
      <c r="E12" s="1286"/>
      <c r="F12" s="1286"/>
      <c r="G12" s="1286"/>
      <c r="H12" s="1286"/>
      <c r="I12" s="1286"/>
      <c r="J12" s="1286"/>
      <c r="K12" s="1286"/>
      <c r="L12" s="1286"/>
      <c r="M12" s="1286"/>
      <c r="N12" s="1286"/>
      <c r="O12" s="1286"/>
      <c r="P12" s="1286"/>
      <c r="Q12" s="1286"/>
      <c r="R12" s="1286"/>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3" customHeight="1">
      <c r="B13" s="435"/>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3" customHeight="1">
      <c r="B14" s="435"/>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3" customHeight="1">
      <c r="B15" s="435"/>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3" customHeight="1">
      <c r="B16" s="435"/>
      <c r="C16" s="2354" t="s">
        <v>805</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3" customHeight="1">
      <c r="B17" s="435"/>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3" customHeight="1">
      <c r="A18"/>
      <c r="B18" s="1150"/>
      <c r="C18" s="1810" t="s">
        <v>960</v>
      </c>
      <c r="D18" s="1810"/>
      <c r="E18" s="1810"/>
      <c r="F18" s="1810"/>
      <c r="G18" s="1810"/>
      <c r="H18" s="1810"/>
      <c r="I18" s="1810"/>
      <c r="J18" s="1810"/>
      <c r="K18" s="1810"/>
      <c r="L18" s="1810"/>
      <c r="M18" s="1810"/>
      <c r="N18" s="1810"/>
      <c r="O18" s="1810"/>
      <c r="P18" s="1810"/>
      <c r="Q18" s="1810"/>
      <c r="R18" s="1810"/>
      <c r="S18" s="1811"/>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3" customHeight="1">
      <c r="B19" s="1150"/>
      <c r="C19" s="1810" t="s">
        <v>960</v>
      </c>
      <c r="D19" s="1810"/>
      <c r="E19" s="1810"/>
      <c r="F19" s="1810"/>
      <c r="G19" s="1810"/>
      <c r="H19" s="1810"/>
      <c r="I19" s="1810"/>
      <c r="J19" s="1810"/>
      <c r="K19" s="1810"/>
      <c r="L19" s="1810"/>
      <c r="M19" s="1810"/>
      <c r="N19" s="1810"/>
      <c r="O19" s="1810"/>
      <c r="P19" s="1810"/>
      <c r="Q19" s="1810"/>
      <c r="R19" s="1810"/>
      <c r="S19" s="1811"/>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3"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3" customHeight="1">
      <c r="B21" s="2337" t="s">
        <v>1263</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3"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 customHeight="1">
      <c r="B23" s="2337" t="s">
        <v>504</v>
      </c>
      <c r="C23" s="2338"/>
      <c r="D23" s="2338"/>
      <c r="E23" s="2338"/>
      <c r="F23" s="2338"/>
      <c r="G23" s="2338"/>
      <c r="H23" s="2338"/>
      <c r="I23" s="2338"/>
      <c r="J23" s="2338"/>
      <c r="K23" s="2338"/>
      <c r="L23" s="2338"/>
      <c r="M23" s="2338"/>
      <c r="N23" s="2338"/>
      <c r="O23" s="2338"/>
      <c r="P23" s="2338"/>
      <c r="Q23" s="2338"/>
      <c r="R23" s="2338"/>
      <c r="S23" s="2339"/>
      <c r="T23" s="2330">
        <f ca="1">T11+T22</f>
        <v>53826731</v>
      </c>
      <c r="U23" s="2331"/>
      <c r="V23" s="2331"/>
      <c r="W23" s="2331"/>
      <c r="X23" s="2331"/>
      <c r="Y23" s="2330">
        <f ca="1">Y11+Y22</f>
        <v>0</v>
      </c>
      <c r="Z23" s="2331"/>
      <c r="AA23" s="2331"/>
      <c r="AB23" s="2331"/>
      <c r="AC23" s="2331"/>
      <c r="AD23" s="2330">
        <f>AD11+AD22</f>
        <v>0</v>
      </c>
      <c r="AE23" s="2331"/>
      <c r="AF23" s="2331"/>
      <c r="AG23" s="2331"/>
      <c r="AH23" s="2331"/>
      <c r="AI23" s="2330">
        <f>AI11+AI22</f>
        <v>0</v>
      </c>
      <c r="AJ23" s="2331"/>
      <c r="AK23" s="2331"/>
      <c r="AL23" s="2331"/>
      <c r="AM23" s="2331"/>
    </row>
    <row r="24" spans="1:40" ht="13" customHeight="1">
      <c r="B24" s="2337" t="s">
        <v>961</v>
      </c>
      <c r="C24" s="2338"/>
      <c r="D24" s="2338"/>
      <c r="E24" s="2338"/>
      <c r="F24" s="2338"/>
      <c r="G24" s="2338"/>
      <c r="H24" s="2338"/>
      <c r="I24" s="2338"/>
      <c r="J24" s="2338"/>
      <c r="K24" s="2338"/>
      <c r="L24" s="2338"/>
      <c r="M24" s="2338"/>
      <c r="N24" s="2338"/>
      <c r="O24" s="2338"/>
      <c r="P24" s="2338"/>
      <c r="Q24" s="2338"/>
      <c r="R24" s="2338"/>
      <c r="S24" s="2339"/>
      <c r="T24" s="2332">
        <f>Application!AJ1053</f>
        <v>100743565.39999999</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3" customHeight="1">
      <c r="B25" s="2341" t="s">
        <v>1264</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 customHeight="1">
      <c r="B26" s="2337" t="s">
        <v>505</v>
      </c>
      <c r="C26" s="2338"/>
      <c r="D26" s="2338"/>
      <c r="E26" s="2338"/>
      <c r="F26" s="2338"/>
      <c r="G26" s="2338"/>
      <c r="H26" s="2338"/>
      <c r="I26" s="2338"/>
      <c r="J26" s="2338"/>
      <c r="K26" s="2338"/>
      <c r="L26" s="2338"/>
      <c r="M26" s="2338"/>
      <c r="N26" s="2338"/>
      <c r="O26" s="2338"/>
      <c r="P26" s="2338"/>
      <c r="Q26" s="2338"/>
      <c r="R26" s="2338"/>
      <c r="S26" s="2339"/>
      <c r="T26" s="2330">
        <f ca="1">T23*T25</f>
        <v>69974750.299999997</v>
      </c>
      <c r="U26" s="2331"/>
      <c r="V26" s="2331"/>
      <c r="W26" s="2331"/>
      <c r="X26" s="2331"/>
      <c r="Y26" s="2330">
        <f ca="1">Y23*Y25</f>
        <v>0</v>
      </c>
      <c r="Z26" s="2331"/>
      <c r="AA26" s="2331"/>
      <c r="AB26" s="2331"/>
      <c r="AC26" s="2331"/>
      <c r="AD26" s="2330">
        <f>AD23*AD25</f>
        <v>0</v>
      </c>
      <c r="AE26" s="2331"/>
      <c r="AF26" s="2331"/>
      <c r="AG26" s="2331"/>
      <c r="AH26" s="2331"/>
      <c r="AI26" s="2330">
        <f>AI23*AI25</f>
        <v>0</v>
      </c>
      <c r="AJ26" s="2331"/>
      <c r="AK26" s="2331"/>
      <c r="AL26" s="2331"/>
      <c r="AM26" s="2331"/>
    </row>
    <row r="27" spans="1:40" ht="13" customHeight="1">
      <c r="A27" s="410"/>
      <c r="B27" s="2344" t="s">
        <v>426</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3" customHeight="1">
      <c r="A28" s="404"/>
      <c r="B28" s="2337" t="s">
        <v>506</v>
      </c>
      <c r="C28" s="2338"/>
      <c r="D28" s="2338"/>
      <c r="E28" s="2338"/>
      <c r="F28" s="2338"/>
      <c r="G28" s="2338"/>
      <c r="H28" s="2338"/>
      <c r="I28" s="2338"/>
      <c r="J28" s="2338"/>
      <c r="K28" s="2338"/>
      <c r="L28" s="2338"/>
      <c r="M28" s="2338"/>
      <c r="N28" s="2338"/>
      <c r="O28" s="2338"/>
      <c r="P28" s="2338"/>
      <c r="Q28" s="2338"/>
      <c r="R28" s="2338"/>
      <c r="S28" s="2339"/>
      <c r="T28" s="2330">
        <f ca="1">IF(ISERROR((T26*T27)),0,(T26*T27))</f>
        <v>69974750.299999997</v>
      </c>
      <c r="U28" s="2331"/>
      <c r="V28" s="2331"/>
      <c r="W28" s="2331"/>
      <c r="X28" s="2331"/>
      <c r="Y28" s="2330">
        <f ca="1">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3" customHeight="1">
      <c r="B29" s="2337" t="s">
        <v>523</v>
      </c>
      <c r="C29" s="2338"/>
      <c r="D29" s="2338"/>
      <c r="E29" s="2338"/>
      <c r="F29" s="2338"/>
      <c r="G29" s="2338"/>
      <c r="H29" s="2338"/>
      <c r="I29" s="2338"/>
      <c r="J29" s="2338"/>
      <c r="K29" s="2338"/>
      <c r="L29" s="2338"/>
      <c r="M29" s="2338"/>
      <c r="N29" s="2338"/>
      <c r="O29" s="2338"/>
      <c r="P29" s="2338"/>
      <c r="Q29" s="2338"/>
      <c r="R29" s="2338"/>
      <c r="S29" s="2339"/>
      <c r="T29" s="2332">
        <f ca="1">T28+Y28+AD28+AI28</f>
        <v>69974750.299999997</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3" customHeight="1">
      <c r="B30" s="2340" t="s">
        <v>1266</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3" customHeight="1">
      <c r="B31" s="2340" t="s">
        <v>1265</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1154</v>
      </c>
      <c r="Z35" s="2358"/>
      <c r="AA35" s="2358"/>
      <c r="AB35" s="2358"/>
      <c r="AC35" s="2358"/>
      <c r="AD35" s="2378" t="s">
        <v>369</v>
      </c>
      <c r="AE35" s="2378"/>
      <c r="AF35" s="2378"/>
      <c r="AG35" s="2378"/>
      <c r="AH35" s="2378"/>
    </row>
    <row r="36" spans="1:76" ht="13" customHeight="1">
      <c r="B36" s="407"/>
      <c r="X36" s="412"/>
      <c r="Y36" s="2358"/>
      <c r="Z36" s="2358"/>
      <c r="AA36" s="2358"/>
      <c r="AB36" s="2358"/>
      <c r="AC36" s="2358"/>
      <c r="AD36" s="2378"/>
      <c r="AE36" s="2378"/>
      <c r="AF36" s="2378"/>
      <c r="AG36" s="2378"/>
      <c r="AH36" s="2378"/>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3" customHeight="1">
      <c r="A38" s="404"/>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 ca="1">IF(T24&gt;=(T23+Y23+AD23+AI23),T28+Y28,0)</f>
        <v>69974750.299999997</v>
      </c>
      <c r="Z38" s="2331"/>
      <c r="AA38" s="2331"/>
      <c r="AB38" s="2331"/>
      <c r="AC38" s="2331"/>
      <c r="AD38" s="2331">
        <f ca="1">IF(T24&gt;=(T23+Y23+AD23+AI23),AD28+AI28,0)</f>
        <v>0</v>
      </c>
      <c r="AE38" s="2331"/>
      <c r="AF38" s="2331"/>
      <c r="AG38" s="2331"/>
      <c r="AH38" s="2331"/>
    </row>
    <row r="39" spans="1:76" ht="13"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3" customHeight="1">
      <c r="A40" s="404"/>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 ca="1">ROUND(Y38*Y39,0)</f>
        <v>2798990</v>
      </c>
      <c r="Z40" s="2331"/>
      <c r="AA40" s="2331"/>
      <c r="AB40" s="2331"/>
      <c r="AC40" s="2331"/>
      <c r="AD40" s="2330">
        <f ca="1">ROUND(AD38*AD39,0)</f>
        <v>0</v>
      </c>
      <c r="AE40" s="2331"/>
      <c r="AF40" s="2331"/>
      <c r="AG40" s="2331"/>
      <c r="AH40" s="2331"/>
    </row>
    <row r="41" spans="1:76" ht="13"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 ca="1">Y40+AD40</f>
        <v>2798990</v>
      </c>
      <c r="Z41" s="2333"/>
      <c r="AA41" s="2333"/>
      <c r="AB41" s="2333"/>
      <c r="AC41" s="2333"/>
      <c r="AD41" s="2333"/>
      <c r="AE41" s="2333"/>
      <c r="AF41" s="2333"/>
      <c r="AG41" s="2333"/>
      <c r="AH41" s="2330"/>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5" t="s">
        <v>1276</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3" customHeight="1" thickTop="1"/>
    <row r="46" spans="1:76" ht="13" customHeight="1">
      <c r="A46" s="404" t="s">
        <v>586</v>
      </c>
      <c r="C46" s="404" t="s">
        <v>282</v>
      </c>
    </row>
    <row r="47" spans="1:76" ht="13" customHeight="1">
      <c r="D47" s="404" t="s">
        <v>283</v>
      </c>
      <c r="AB47" s="2347">
        <f ca="1">'Sources and Uses Budget'!B105-MAX(IF('Sources and Uses Budget'!B15="",0,'Sources and Uses Budget'!B15),IF(Application!AG394="",0,Application!AG394))</f>
        <v>57056749</v>
      </c>
      <c r="AC47" s="2348"/>
      <c r="AD47" s="2348"/>
      <c r="AE47" s="2348"/>
      <c r="AF47" s="2349"/>
    </row>
    <row r="48" spans="1:76" ht="13" customHeight="1">
      <c r="D48" s="404" t="s">
        <v>21</v>
      </c>
      <c r="AB48" s="2347">
        <f>Application!AO639-MAX(IF('Sources and Uses Budget'!B15="",0,'Sources and Uses Budget'!B15),IF(Application!AG394="",0,Application!AG394))</f>
        <v>25460200</v>
      </c>
      <c r="AC48" s="2348"/>
      <c r="AD48" s="2348"/>
      <c r="AE48" s="2348"/>
      <c r="AF48" s="2349"/>
    </row>
    <row r="49" spans="1:76" ht="13" customHeight="1">
      <c r="D49" s="404" t="s">
        <v>91</v>
      </c>
      <c r="AB49" s="2347">
        <f ca="1">AB47-AB48</f>
        <v>31596549</v>
      </c>
      <c r="AC49" s="2348"/>
      <c r="AD49" s="2348"/>
      <c r="AE49" s="2348"/>
      <c r="AF49" s="2349"/>
    </row>
    <row r="50" spans="1:76" ht="13" customHeight="1">
      <c r="D50" s="404" t="s">
        <v>681</v>
      </c>
      <c r="AA50" s="415"/>
      <c r="AB50" s="2374">
        <f>[1]budgets!$G$125</f>
        <v>0.80981955993260368</v>
      </c>
      <c r="AC50" s="2375"/>
      <c r="AD50" s="2375"/>
      <c r="AE50" s="2375"/>
      <c r="AF50" s="2376"/>
    </row>
    <row r="51" spans="1:76" s="417" customFormat="1" ht="13" customHeight="1">
      <c r="A51" s="402"/>
      <c r="B51" s="402"/>
      <c r="C51" s="402"/>
      <c r="D51" s="402"/>
      <c r="E51" s="2377" t="s">
        <v>2611</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47">
        <f ca="1">ROUND(IF(ISERROR((AB49/AB50)),0,(AB49/AB50)),0)</f>
        <v>39016777</v>
      </c>
      <c r="AC54" s="2348"/>
      <c r="AD54" s="2348"/>
      <c r="AE54" s="2348"/>
      <c r="AF54" s="2349"/>
    </row>
    <row r="55" spans="1:76" ht="13" customHeight="1">
      <c r="D55" s="404" t="s">
        <v>333</v>
      </c>
      <c r="AB55" s="2347">
        <f ca="1">(AB54/10)</f>
        <v>3901677.7</v>
      </c>
      <c r="AC55" s="2348"/>
      <c r="AD55" s="2348"/>
      <c r="AE55" s="2348"/>
      <c r="AF55" s="2349"/>
    </row>
    <row r="56" spans="1:76" ht="13" customHeight="1">
      <c r="D56" s="404" t="s">
        <v>756</v>
      </c>
      <c r="AB56" s="2347">
        <f ca="1">ROUND((IF((Y41&lt;AB55),Y41,AB55)),0)</f>
        <v>2798990</v>
      </c>
      <c r="AC56" s="2348"/>
      <c r="AD56" s="2348"/>
      <c r="AE56" s="2348"/>
      <c r="AF56" s="2349"/>
    </row>
    <row r="57" spans="1:76" ht="13" customHeight="1">
      <c r="D57" s="404" t="s">
        <v>755</v>
      </c>
      <c r="AB57" s="2347">
        <f ca="1">ROUND((10*AB56*AB50),0)</f>
        <v>22666769</v>
      </c>
      <c r="AC57" s="2348"/>
      <c r="AD57" s="2348"/>
      <c r="AE57" s="2348"/>
      <c r="AF57" s="2349"/>
    </row>
    <row r="58" spans="1:76" ht="13" customHeight="1">
      <c r="D58" s="404"/>
      <c r="AB58" s="423"/>
      <c r="AC58" s="423"/>
      <c r="AD58" s="423"/>
      <c r="AE58" s="423"/>
      <c r="AF58" s="423"/>
    </row>
    <row r="59" spans="1:76" ht="13" customHeight="1">
      <c r="D59" s="404" t="s">
        <v>754</v>
      </c>
      <c r="AB59" s="2370">
        <f ca="1">AB49-AB57</f>
        <v>8929780</v>
      </c>
      <c r="AC59" s="2370"/>
      <c r="AD59" s="2370"/>
      <c r="AE59" s="2370"/>
      <c r="AF59" s="2370"/>
    </row>
    <row r="60" spans="1:76" ht="13" customHeight="1">
      <c r="D60" s="404"/>
      <c r="AB60" s="423"/>
      <c r="AC60" s="423"/>
      <c r="AD60" s="423"/>
      <c r="AE60" s="423"/>
      <c r="AF60" s="423"/>
    </row>
    <row r="61" spans="1:76" s="204" customFormat="1" ht="13"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3" customHeight="1" thickTop="1"/>
    <row r="63" spans="1:76" ht="13" customHeight="1">
      <c r="A63" s="404" t="s">
        <v>589</v>
      </c>
      <c r="C63" s="205" t="s">
        <v>1248</v>
      </c>
      <c r="Y63" s="2371" t="s">
        <v>984</v>
      </c>
      <c r="Z63" s="2371"/>
      <c r="AA63" s="2371"/>
      <c r="AB63" s="2371"/>
      <c r="AC63" s="2371"/>
      <c r="AD63" s="2371" t="s">
        <v>369</v>
      </c>
      <c r="AE63" s="2371"/>
      <c r="AF63" s="2371"/>
      <c r="AG63" s="2371"/>
      <c r="AH63" s="2371"/>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2">
        <f ca="1">IF(Application!$Z$205="(select)",0,((T23*T27)+Y28))</f>
        <v>53826731</v>
      </c>
      <c r="Z64" s="2372"/>
      <c r="AA64" s="2372"/>
      <c r="AB64" s="2372"/>
      <c r="AC64" s="2373"/>
      <c r="AD64" s="2332">
        <f>IF(AND(OR(Application!D211="At-Risk",Application!D211="At-Risk and Special Needs"),Application!M358="yes"),AD28+AI28,0)</f>
        <v>0</v>
      </c>
      <c r="AE64" s="2372"/>
      <c r="AF64" s="2372"/>
      <c r="AG64" s="2372"/>
      <c r="AH64" s="2373"/>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5">
        <f>IF(OR(Application!Z205="State Farmworker Credit",Application!Z205="$500M (Farmworker Housing)"),0.75,IF(Application!Z205="15% set-aside",0.13,IF(Application!Z205="15% set-aside with qualifying low value rehab",0.95,IF(Application!Z205="$500M",0.3,0))))</f>
        <v>0.75</v>
      </c>
      <c r="Z67" s="2385"/>
      <c r="AA67" s="2385"/>
      <c r="AB67" s="2385"/>
      <c r="AC67" s="2385"/>
      <c r="AD67" s="2385">
        <f>IF(Application!Z205="15% set-aside with qualifying low value rehab", 0.95,IF(OR(Application!D211="At-Risk",'Points System'!B13="Yes"),0.13,0))</f>
        <v>0</v>
      </c>
      <c r="AE67" s="2385"/>
      <c r="AF67" s="2385"/>
      <c r="AG67" s="2385"/>
      <c r="AH67" s="2385"/>
    </row>
    <row r="68" spans="1:36" ht="13" customHeight="1">
      <c r="C68" s="404"/>
      <c r="D68" s="205" t="s">
        <v>2224</v>
      </c>
      <c r="Y68" s="2331">
        <f ca="1">ROUND(Y64*Y67,0)</f>
        <v>40370048</v>
      </c>
      <c r="Z68" s="2386"/>
      <c r="AA68" s="2386"/>
      <c r="AB68" s="2386"/>
      <c r="AC68" s="2386"/>
      <c r="AD68" s="2331">
        <f>ROUND(AD64*AD67,0)</f>
        <v>0</v>
      </c>
      <c r="AE68" s="2386"/>
      <c r="AF68" s="2386"/>
      <c r="AG68" s="2386"/>
      <c r="AH68" s="2386"/>
    </row>
    <row r="69" spans="1:36" ht="13" customHeight="1">
      <c r="C69" s="404"/>
      <c r="D69" s="205" t="s">
        <v>2225</v>
      </c>
      <c r="Y69" s="2331">
        <f ca="1">IF(OR(Application!Z205="State Farmworker Credit",Application!Z205="$500M (Farmworker Housing)"),Y68+AD68,MIN(Y68+AD68,200000*(Application!G753+Application!O777)))</f>
        <v>40370048</v>
      </c>
      <c r="Z69" s="2331"/>
      <c r="AA69" s="2331"/>
      <c r="AB69" s="2331"/>
      <c r="AC69" s="2331"/>
      <c r="AD69" s="2331"/>
      <c r="AE69" s="2331"/>
      <c r="AF69" s="2331"/>
      <c r="AG69" s="2331"/>
      <c r="AH69" s="2331"/>
    </row>
    <row r="70" spans="1:36" ht="13" customHeight="1">
      <c r="C70" s="404"/>
      <c r="E70" s="404"/>
      <c r="AB70" s="422"/>
      <c r="AC70" s="422"/>
      <c r="AD70" s="422"/>
      <c r="AE70" s="422"/>
      <c r="AF70" s="422"/>
    </row>
    <row r="71" spans="1:36" ht="13" customHeight="1">
      <c r="A71" s="404" t="s">
        <v>590</v>
      </c>
      <c r="C71" s="205" t="s">
        <v>284</v>
      </c>
    </row>
    <row r="72" spans="1:36" ht="13" customHeight="1">
      <c r="A72" s="404"/>
      <c r="C72" s="404"/>
      <c r="D72" s="205" t="s">
        <v>1250</v>
      </c>
      <c r="AB72" s="2374">
        <f>[1]budgets!$D$126-0.00000025*0</f>
        <v>0.81179820722804286</v>
      </c>
      <c r="AC72" s="2375"/>
      <c r="AD72" s="2375"/>
      <c r="AE72" s="2375"/>
      <c r="AF72" s="2376"/>
    </row>
    <row r="73" spans="1:36" ht="13" customHeight="1">
      <c r="A73" s="404"/>
      <c r="C73" s="404"/>
      <c r="D73" s="404"/>
      <c r="E73" s="2387" t="s">
        <v>1251</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3"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3"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80">
        <f ca="1">ROUND(IF(ISERROR((AB59/AB72)),0,(AB59/AB72)),0)</f>
        <v>11000000</v>
      </c>
      <c r="AC77" s="2380"/>
      <c r="AD77" s="2380"/>
      <c r="AE77" s="2380"/>
      <c r="AF77" s="2380"/>
    </row>
    <row r="78" spans="1:36" ht="13" customHeight="1">
      <c r="C78" s="404"/>
      <c r="D78" s="205" t="s">
        <v>1253</v>
      </c>
      <c r="AB78" s="2381">
        <f ca="1">ROUNDUP(MIN(Y69,AB77),0)</f>
        <v>11000000</v>
      </c>
      <c r="AC78" s="2382"/>
      <c r="AD78" s="2382"/>
      <c r="AE78" s="2382"/>
      <c r="AF78" s="2383"/>
    </row>
    <row r="79" spans="1:36" ht="13" customHeight="1">
      <c r="C79" s="404"/>
      <c r="D79" s="205" t="s">
        <v>1254</v>
      </c>
      <c r="AB79" s="2384">
        <f ca="1">AB78*AB72</f>
        <v>8929780.2795084715</v>
      </c>
      <c r="AC79" s="2384"/>
      <c r="AD79" s="2384"/>
      <c r="AE79" s="2384"/>
      <c r="AF79" s="2384"/>
    </row>
    <row r="80" spans="1:36" ht="13" customHeight="1">
      <c r="C80" s="404"/>
      <c r="D80" s="404"/>
      <c r="AB80" s="425"/>
      <c r="AC80" s="425"/>
      <c r="AD80" s="425"/>
      <c r="AE80" s="425"/>
      <c r="AF80" s="425"/>
    </row>
    <row r="81" spans="1:78" ht="13" customHeight="1">
      <c r="D81" s="404" t="s">
        <v>754</v>
      </c>
      <c r="AB81" s="2370">
        <f ca="1">AB49-(AB57+AB79)</f>
        <v>-0.27950847148895264</v>
      </c>
      <c r="AC81" s="2370"/>
      <c r="AD81" s="2370"/>
      <c r="AE81" s="2370"/>
      <c r="AF81" s="2370"/>
    </row>
    <row r="82" spans="1:78" ht="13" customHeight="1">
      <c r="F82" s="522"/>
      <c r="J82" s="522" t="str">
        <f ca="1">IF(AB81&gt;0,"FUNDING GAP MUST NOT EXCEED ZERO","")</f>
        <v/>
      </c>
    </row>
    <row r="83" spans="1:78" ht="13" customHeight="1">
      <c r="D83" s="523"/>
    </row>
    <row r="84" spans="1:78" ht="13"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3" customHeight="1" thickTop="1"/>
    <row r="86" spans="1:78" ht="13" customHeight="1">
      <c r="A86" s="404"/>
      <c r="C86" s="205"/>
    </row>
    <row r="87" spans="1:78" ht="13" customHeight="1">
      <c r="D87" s="205"/>
      <c r="AB87" s="2336"/>
      <c r="AC87" s="2336"/>
      <c r="AD87" s="2336"/>
      <c r="AE87" s="2336"/>
      <c r="AF87" s="2336"/>
    </row>
    <row r="88" spans="1:78" ht="13"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10" workbookViewId="0">
      <selection activeCell="AK127" sqref="AK127"/>
    </sheetView>
  </sheetViews>
  <sheetFormatPr defaultColWidth="0" defaultRowHeight="12.5" zeroHeight="1"/>
  <cols>
    <col min="1" max="1" width="2.81640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179687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81640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18" t="s">
        <v>1300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1305</v>
      </c>
      <c r="AF7" s="2459"/>
      <c r="AG7" s="2459"/>
      <c r="AH7" s="2459"/>
      <c r="AI7" s="2459"/>
      <c r="AJ7" s="2459"/>
      <c r="AK7" s="2459"/>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591</v>
      </c>
      <c r="C13" s="261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591</v>
      </c>
      <c r="C16" s="2612"/>
      <c r="D16" s="547"/>
      <c r="E16" s="2604" t="s">
        <v>1307</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591</v>
      </c>
      <c r="C22" s="2612"/>
      <c r="D22" s="547"/>
      <c r="E22" s="2622" t="s">
        <v>1310</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591</v>
      </c>
      <c r="C25" s="2612"/>
      <c r="D25" s="547"/>
      <c r="E25" s="2539" t="s">
        <v>2033</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591</v>
      </c>
      <c r="C28" s="2612"/>
      <c r="D28" s="547"/>
      <c r="E28" s="2641" t="s">
        <v>2248</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2" t="s">
        <v>591</v>
      </c>
      <c r="C33" s="2612"/>
      <c r="D33" s="547"/>
      <c r="E33" s="2622" t="s">
        <v>2250</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591</v>
      </c>
      <c r="C36" s="2612"/>
      <c r="D36" s="547"/>
      <c r="E36" s="2539" t="s">
        <v>2251</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591</v>
      </c>
      <c r="C40" s="2612"/>
      <c r="D40" s="547"/>
      <c r="E40" s="2539" t="s">
        <v>2249</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591</v>
      </c>
      <c r="C45" s="2612"/>
      <c r="D45" s="1142"/>
      <c r="E45" s="2539" t="s">
        <v>2008</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591</v>
      </c>
      <c r="C52" s="2612"/>
      <c r="D52" s="540"/>
      <c r="E52" s="2539" t="s">
        <v>2013</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591</v>
      </c>
      <c r="C56" s="2612"/>
      <c r="D56" s="540"/>
      <c r="E56" s="2638" t="s">
        <v>2014</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591</v>
      </c>
      <c r="C58" s="2612"/>
      <c r="D58" s="540"/>
      <c r="E58" s="2539" t="s">
        <v>2015</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1314</v>
      </c>
      <c r="AF65" s="2459"/>
      <c r="AG65" s="2459"/>
      <c r="AH65" s="2459"/>
      <c r="AI65" s="2459"/>
      <c r="AJ65" s="2459"/>
      <c r="AK65" s="2459"/>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591</v>
      </c>
      <c r="C68" s="2612"/>
      <c r="D68" s="547" t="s">
        <v>1315</v>
      </c>
      <c r="E68" s="2604" t="s">
        <v>2016</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10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1316</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545</v>
      </c>
      <c r="C74" s="261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591</v>
      </c>
      <c r="F75" s="261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591</v>
      </c>
      <c r="F76" s="263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591</v>
      </c>
      <c r="F77" s="263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545</v>
      </c>
      <c r="F79" s="261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591</v>
      </c>
      <c r="C81" s="2612"/>
      <c r="D81" s="547" t="s">
        <v>1320</v>
      </c>
      <c r="E81" s="2539" t="s">
        <v>1740</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1305</v>
      </c>
      <c r="AF87" s="2459"/>
      <c r="AG87" s="2459"/>
      <c r="AH87" s="2459"/>
      <c r="AI87" s="2459"/>
      <c r="AJ87" s="2459"/>
      <c r="AK87" s="2459"/>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591</v>
      </c>
      <c r="C90" s="2612"/>
      <c r="D90" s="547" t="s">
        <v>1315</v>
      </c>
      <c r="E90" s="2604" t="s">
        <v>1325</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0.39873417721518989</v>
      </c>
      <c r="F93" s="2601"/>
      <c r="G93" s="2601"/>
      <c r="H93" s="2601"/>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0.19999999999999996</v>
      </c>
      <c r="F94" s="2406"/>
      <c r="G94" s="2406"/>
      <c r="H94" s="2406"/>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20</v>
      </c>
      <c r="F95" s="2617"/>
      <c r="G95" s="2617"/>
      <c r="H95" s="261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545</v>
      </c>
      <c r="C98" s="2612"/>
      <c r="D98" s="547" t="s">
        <v>1317</v>
      </c>
      <c r="E98" s="2604" t="s">
        <v>1725</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0.39873417721518989</v>
      </c>
      <c r="F103" s="2601"/>
      <c r="G103" s="2601"/>
      <c r="H103" s="2601"/>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0.26582278481012656</v>
      </c>
      <c r="F104" s="2601"/>
      <c r="G104" s="2601"/>
      <c r="H104" s="2601"/>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0.73417721518987344</v>
      </c>
      <c r="F105" s="2601"/>
      <c r="G105" s="2601"/>
      <c r="H105" s="2601"/>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1314</v>
      </c>
      <c r="AF112" s="2459"/>
      <c r="AG112" s="2459"/>
      <c r="AH112" s="2459"/>
      <c r="AI112" s="2459"/>
      <c r="AJ112" s="2459"/>
      <c r="AK112" s="2459"/>
      <c r="AL112" s="540"/>
      <c r="AM112" s="540"/>
      <c r="AN112" s="535"/>
      <c r="AO112" s="536" t="str">
        <f>Application!B718</f>
        <v>1 Bedroom</v>
      </c>
      <c r="AQ112" s="536">
        <f>Application!O718</f>
        <v>574</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784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994</v>
      </c>
    </row>
    <row r="115" spans="1:52" s="536" customFormat="1" ht="12.75" customHeight="1">
      <c r="A115" s="540"/>
      <c r="B115" s="2612" t="s">
        <v>545</v>
      </c>
      <c r="C115" s="2612"/>
      <c r="D115" s="547" t="s">
        <v>1315</v>
      </c>
      <c r="E115" s="2604" t="s">
        <v>1857</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2 Bedrooms</v>
      </c>
      <c r="AQ115" s="536">
        <f>Application!O721</f>
        <v>685</v>
      </c>
      <c r="AU115" s="536" t="s">
        <v>1840</v>
      </c>
      <c r="AV115" s="595" t="s">
        <v>1841</v>
      </c>
      <c r="AW115" s="536" t="s">
        <v>1842</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2 Bedrooms</v>
      </c>
      <c r="AQ116" s="536">
        <f>Application!O722</f>
        <v>937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2 Bedrooms</v>
      </c>
      <c r="AQ117" s="536">
        <f>Application!O723</f>
        <v>1188.28</v>
      </c>
      <c r="AU117" s="856" t="str">
        <f>J124</f>
        <v>1-bedroom</v>
      </c>
      <c r="AV117" s="536">
        <f t="array" ref="AV117">SUM(IF(Application!B718:F752="1 Bedroom",Application!G718:J752))</f>
        <v>32</v>
      </c>
      <c r="AW117" s="1011">
        <f>AV117/AV122</f>
        <v>0.4050632911392405</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t="str">
        <f>Application!B724</f>
        <v>3 Bedrooms</v>
      </c>
      <c r="AQ118" s="536">
        <f>Application!O724</f>
        <v>790.56999999999994</v>
      </c>
      <c r="AU118" s="856" t="str">
        <f>O124</f>
        <v>2-bedroom</v>
      </c>
      <c r="AV118" s="536">
        <f t="array" ref="AV118">SUM(IF(Application!B718:F752="2 Bedrooms",Application!G718:J752))</f>
        <v>24</v>
      </c>
      <c r="AW118" s="1011">
        <f>AV118/AV122</f>
        <v>0.30379746835443039</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t="str">
        <f>Application!B725</f>
        <v>3 Bedrooms</v>
      </c>
      <c r="AQ119" s="536">
        <f>Application!O725</f>
        <v>1081.57</v>
      </c>
      <c r="AU119" s="856" t="str">
        <f>T124</f>
        <v>3-bedroom</v>
      </c>
      <c r="AV119" s="536">
        <f t="array" ref="AV119">SUM(IF(Application!B718:F752="3 Bedrooms",Application!G718:J752))</f>
        <v>15</v>
      </c>
      <c r="AW119" s="1011">
        <f>AV119/AV122</f>
        <v>0.189873417721519</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t="str">
        <f>Application!B726</f>
        <v>3 Bedrooms</v>
      </c>
      <c r="AQ120" s="536">
        <f>Application!O726</f>
        <v>1372.57</v>
      </c>
      <c r="AU120" s="856" t="str">
        <f>Y124</f>
        <v>4-bedroom</v>
      </c>
      <c r="AV120" s="536">
        <f t="array" ref="AV120">SUM(IF(Application!B718:F752="4 Bedrooms",Application!G718:J752))</f>
        <v>8</v>
      </c>
      <c r="AW120" s="1011">
        <f>AV120/AV122</f>
        <v>0.10126582278481013</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t="str">
        <f>Application!B727</f>
        <v>4 Bedrooms</v>
      </c>
      <c r="AQ121" s="536">
        <f>Application!O727</f>
        <v>874.15</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t="str">
        <f>Application!B728</f>
        <v>4 Bedrooms</v>
      </c>
      <c r="AQ122" s="536">
        <f>Application!O728</f>
        <v>1199.1500000000001</v>
      </c>
      <c r="AV122" s="536">
        <f>SUM(AV116:AV121)</f>
        <v>79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4 Bedrooms</v>
      </c>
      <c r="AQ123" s="536">
        <f>Application!O729</f>
        <v>1523.15</v>
      </c>
    </row>
    <row r="124" spans="1:52" s="536" customFormat="1" ht="12.75" customHeight="1">
      <c r="A124" s="540"/>
      <c r="B124" s="539"/>
      <c r="C124" s="540"/>
      <c r="D124" s="540"/>
      <c r="E124" s="2600" t="s">
        <v>1588</v>
      </c>
      <c r="F124" s="2601"/>
      <c r="G124" s="2601"/>
      <c r="H124" s="2601"/>
      <c r="I124" s="577"/>
      <c r="J124" s="2601" t="s">
        <v>1631</v>
      </c>
      <c r="K124" s="2601"/>
      <c r="L124" s="2601"/>
      <c r="M124" s="2601"/>
      <c r="N124" s="577"/>
      <c r="O124" s="2601" t="s">
        <v>1632</v>
      </c>
      <c r="P124" s="2601"/>
      <c r="Q124" s="2601"/>
      <c r="R124" s="2601"/>
      <c r="S124" s="577"/>
      <c r="T124" s="2601" t="s">
        <v>1334</v>
      </c>
      <c r="U124" s="2601"/>
      <c r="V124" s="2601"/>
      <c r="W124" s="2601"/>
      <c r="X124" s="577"/>
      <c r="Y124" s="2601" t="s">
        <v>1633</v>
      </c>
      <c r="Z124" s="2601"/>
      <c r="AA124" s="2601"/>
      <c r="AB124" s="2601"/>
      <c r="AC124" s="577"/>
      <c r="AD124" s="2601" t="s">
        <v>1634</v>
      </c>
      <c r="AE124" s="2601"/>
      <c r="AF124" s="2601"/>
      <c r="AG124" s="260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2"/>
      <c r="F127" s="2603"/>
      <c r="G127" s="2603"/>
      <c r="H127" s="2603"/>
      <c r="I127" s="864"/>
      <c r="J127" s="2603">
        <v>1013</v>
      </c>
      <c r="K127" s="2603"/>
      <c r="L127" s="2603"/>
      <c r="M127" s="2603"/>
      <c r="N127" s="864"/>
      <c r="O127" s="2603">
        <v>1152</v>
      </c>
      <c r="P127" s="2603"/>
      <c r="Q127" s="2603"/>
      <c r="R127" s="2603"/>
      <c r="S127" s="864"/>
      <c r="T127" s="2603">
        <v>1332</v>
      </c>
      <c r="U127" s="2603"/>
      <c r="V127" s="2603"/>
      <c r="W127" s="2603"/>
      <c r="X127" s="864"/>
      <c r="Y127" s="2603">
        <v>1475</v>
      </c>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784</v>
      </c>
      <c r="K130" s="2611"/>
      <c r="L130" s="2611"/>
      <c r="M130" s="2611"/>
      <c r="N130" s="864"/>
      <c r="O130" s="2611">
        <f>Application!EH670</f>
        <v>936.79000000000008</v>
      </c>
      <c r="P130" s="2611"/>
      <c r="Q130" s="2611"/>
      <c r="R130" s="2611"/>
      <c r="S130" s="868"/>
      <c r="T130" s="2611">
        <f>Application!EM670</f>
        <v>1062.17</v>
      </c>
      <c r="U130" s="2611"/>
      <c r="V130" s="2611"/>
      <c r="W130" s="2611"/>
      <c r="X130" s="868"/>
      <c r="Y130" s="2611">
        <f>Application!ER670</f>
        <v>1198.9000000000001</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0.22606120434353405</v>
      </c>
      <c r="K133" s="2406"/>
      <c r="L133" s="2406"/>
      <c r="M133" s="2407"/>
      <c r="N133" s="577"/>
      <c r="O133" s="2405">
        <f>(O127-O130)/O127</f>
        <v>0.18681423611111103</v>
      </c>
      <c r="P133" s="2406"/>
      <c r="Q133" s="2406"/>
      <c r="R133" s="2407"/>
      <c r="S133" s="577"/>
      <c r="T133" s="2405">
        <f>(T127-T130)/T127</f>
        <v>0.20257507507507502</v>
      </c>
      <c r="U133" s="2406"/>
      <c r="V133" s="2406"/>
      <c r="W133" s="2407"/>
      <c r="X133" s="577"/>
      <c r="Y133" s="2405">
        <f>(Y127-Y130)/Y127</f>
        <v>0.18718644067796605</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5.1062766316368219E-2</v>
      </c>
      <c r="K136" s="2614"/>
      <c r="L136" s="2614"/>
      <c r="M136" s="2615"/>
      <c r="N136" s="577"/>
      <c r="O136" s="2613">
        <f>IF(((O133-0.1)*AW118)&gt;0,((O133-0.1)*AW118),0)</f>
        <v>2.6373945147679299E-2</v>
      </c>
      <c r="P136" s="2614"/>
      <c r="Q136" s="2614"/>
      <c r="R136" s="2615"/>
      <c r="S136" s="577"/>
      <c r="T136" s="2613">
        <f>IF(((T133-0.1)*AW119)&gt;0,((T133-0.1)*AW119),0)</f>
        <v>1.9476280077545892E-2</v>
      </c>
      <c r="U136" s="2614"/>
      <c r="V136" s="2614"/>
      <c r="W136" s="2615"/>
      <c r="X136" s="577"/>
      <c r="Y136" s="2613">
        <f>IF(((Y133-0.1)*AW120)&gt;0,((Y133-0.1)*AW120),0)</f>
        <v>8.8290066509332712E-3</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0.1</v>
      </c>
      <c r="F138" s="2406"/>
      <c r="G138" s="2406"/>
      <c r="H138" s="2407"/>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9" t="s">
        <v>1314</v>
      </c>
      <c r="AF146" s="2459"/>
      <c r="AG146" s="2459"/>
      <c r="AH146" s="2459"/>
      <c r="AI146" s="2459"/>
      <c r="AJ146" s="2459"/>
      <c r="AK146" s="2459"/>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1338</v>
      </c>
      <c r="AG148" s="2519"/>
      <c r="AH148" s="2519"/>
      <c r="AI148" s="2519"/>
      <c r="AJ148" s="2519"/>
      <c r="AK148" s="2519"/>
      <c r="AL148" s="251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2723</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0" t="s">
        <v>1341</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1" t="s">
        <v>591</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0" t="s">
        <v>1343</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2475</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2476</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2474</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591</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1352</v>
      </c>
      <c r="AG168" s="2519"/>
      <c r="AH168" s="2519"/>
      <c r="AI168" s="2519"/>
      <c r="AJ168" s="2519"/>
      <c r="AK168" s="2519"/>
      <c r="AL168" s="251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1350</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591</v>
      </c>
      <c r="AG172" s="239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0" t="s">
        <v>1343</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1" t="str">
        <f>Application!AA335</f>
        <v>Hyder &amp; Company</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1314</v>
      </c>
      <c r="AF186" s="2459"/>
      <c r="AG186" s="2459"/>
      <c r="AH186" s="2459"/>
      <c r="AI186" s="2459"/>
      <c r="AJ186" s="2459"/>
      <c r="AK186" s="2459"/>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8" t="s">
        <v>1041</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1363</v>
      </c>
      <c r="AG188" s="2519"/>
      <c r="AH188" s="2519"/>
      <c r="AI188" s="2519"/>
      <c r="AJ188" s="2519"/>
      <c r="AK188" s="2519"/>
      <c r="AL188" s="2519"/>
      <c r="AN188" s="597"/>
      <c r="AP188" s="550" t="s">
        <v>1043</v>
      </c>
      <c r="AQ188" s="550">
        <v>10</v>
      </c>
    </row>
    <row r="189" spans="1:73" s="550" customFormat="1" ht="12.75" customHeight="1">
      <c r="A189" s="536"/>
      <c r="B189" s="2390" t="s">
        <v>1726</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6">
        <f>IF(AK84&gt;0,VLOOKUP($B$188,AP185:AQ191,2,FALSE),0)</f>
        <v>10</v>
      </c>
      <c r="AL191" s="2427"/>
      <c r="AM191" s="2428"/>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1372</v>
      </c>
      <c r="AF194" s="2459"/>
      <c r="AG194" s="2459"/>
      <c r="AH194" s="2459"/>
      <c r="AI194" s="2459"/>
      <c r="AJ194" s="2459"/>
      <c r="AK194" s="2459"/>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2724</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5000000</v>
      </c>
      <c r="AE199" s="2572"/>
      <c r="AF199" s="2572"/>
      <c r="AG199" s="2572"/>
      <c r="AH199" s="2572"/>
      <c r="AI199" s="2572"/>
      <c r="AJ199" s="2572"/>
      <c r="AK199" s="610"/>
    </row>
    <row r="200" spans="1:40">
      <c r="A200" s="605"/>
      <c r="B200" s="2582" t="s">
        <v>2725</v>
      </c>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v>10000000</v>
      </c>
      <c r="AE200" s="2572"/>
      <c r="AF200" s="2572"/>
      <c r="AG200" s="2572"/>
      <c r="AH200" s="2572"/>
      <c r="AI200" s="2572"/>
      <c r="AJ200" s="2572"/>
      <c r="AK200" s="610"/>
    </row>
    <row r="201" spans="1:40">
      <c r="A201" s="605"/>
      <c r="B201" s="2582" t="s">
        <v>2697</v>
      </c>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v>7000000</v>
      </c>
      <c r="AE201" s="2572"/>
      <c r="AF201" s="2572"/>
      <c r="AG201" s="2572"/>
      <c r="AH201" s="2572"/>
      <c r="AI201" s="2572"/>
      <c r="AJ201" s="2572"/>
      <c r="AK201" s="610"/>
    </row>
    <row r="202" spans="1:40">
      <c r="A202" s="605"/>
      <c r="B202" s="2582" t="s">
        <v>2700</v>
      </c>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v>355000</v>
      </c>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1627</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0</v>
      </c>
      <c r="AE209" s="2570"/>
      <c r="AF209" s="2570"/>
      <c r="AG209" s="2570"/>
      <c r="AH209" s="2570"/>
      <c r="AI209" s="2570"/>
      <c r="AJ209" s="2570"/>
      <c r="AK209" s="610"/>
    </row>
    <row r="210" spans="1:37">
      <c r="A210" s="605"/>
      <c r="B210" s="2444" t="s">
        <v>1590</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6">
        <f>SUM(AD199:AJ209)-AD210</f>
        <v>22355000</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1607</v>
      </c>
      <c r="J222" s="2595"/>
      <c r="K222" s="2595"/>
      <c r="L222" s="536"/>
      <c r="M222" s="536"/>
      <c r="N222" s="536"/>
      <c r="O222" s="536"/>
      <c r="P222" s="536"/>
      <c r="Q222" s="536"/>
      <c r="R222" s="536"/>
      <c r="S222" s="536"/>
      <c r="T222" s="2410" t="s">
        <v>1601</v>
      </c>
      <c r="U222" s="2410"/>
      <c r="V222" s="2410"/>
      <c r="W222" s="2410"/>
      <c r="X222" s="2410"/>
      <c r="Y222" s="2410"/>
      <c r="Z222" s="849"/>
      <c r="AA222" s="489"/>
      <c r="AB222" s="2592" t="s">
        <v>1602</v>
      </c>
      <c r="AC222" s="2592"/>
      <c r="AD222" s="2592"/>
      <c r="AE222" s="2592"/>
      <c r="AF222" s="2592"/>
      <c r="AG222" s="2592"/>
      <c r="AH222" s="827"/>
      <c r="AI222" s="827"/>
      <c r="AJ222" s="827"/>
      <c r="AK222" s="610"/>
    </row>
    <row r="223" spans="1:37">
      <c r="A223" s="605"/>
      <c r="B223" s="2593" t="s">
        <v>1587</v>
      </c>
      <c r="C223" s="2593"/>
      <c r="D223" s="2593"/>
      <c r="E223" s="2593"/>
      <c r="F223" s="2593"/>
      <c r="G223" s="2593"/>
      <c r="I223" s="2594" t="s">
        <v>1608</v>
      </c>
      <c r="J223" s="2594"/>
      <c r="K223" s="2594"/>
      <c r="L223" s="1008"/>
      <c r="N223" s="2445" t="s">
        <v>1603</v>
      </c>
      <c r="O223" s="2445"/>
      <c r="P223" s="2445"/>
      <c r="Q223" s="2445"/>
      <c r="R223" s="2445"/>
      <c r="T223" s="2445" t="s">
        <v>1604</v>
      </c>
      <c r="U223" s="2445"/>
      <c r="V223" s="2445"/>
      <c r="W223" s="2445"/>
      <c r="X223" s="2445"/>
      <c r="Y223" s="2445"/>
      <c r="Z223" s="850"/>
      <c r="AA223" s="489"/>
      <c r="AB223" s="2460" t="s">
        <v>1605</v>
      </c>
      <c r="AC223" s="2460"/>
      <c r="AD223" s="2460"/>
      <c r="AE223" s="2460"/>
      <c r="AF223" s="2460"/>
      <c r="AG223" s="2460"/>
      <c r="AH223" s="827"/>
      <c r="AI223" s="827"/>
      <c r="AJ223" s="827"/>
      <c r="AK223" s="610"/>
    </row>
    <row r="224" spans="1:37">
      <c r="A224" s="605"/>
      <c r="B224" s="2461" t="s">
        <v>2726</v>
      </c>
      <c r="C224" s="2461"/>
      <c r="D224" s="2461"/>
      <c r="E224" s="2461"/>
      <c r="F224" s="2461"/>
      <c r="G224" s="2461"/>
      <c r="H224" s="852"/>
      <c r="I224" s="2414">
        <v>32</v>
      </c>
      <c r="J224" s="2414"/>
      <c r="K224" s="2414"/>
      <c r="L224" s="1008"/>
      <c r="N224" s="2412"/>
      <c r="O224" s="2412"/>
      <c r="P224" s="2412"/>
      <c r="Q224" s="2412"/>
      <c r="R224" s="2412"/>
      <c r="T224" s="2411"/>
      <c r="U224" s="2411"/>
      <c r="V224" s="2411"/>
      <c r="W224" s="2411"/>
      <c r="X224" s="2411"/>
      <c r="Y224" s="2411"/>
      <c r="Z224" s="851"/>
      <c r="AA224" s="851"/>
      <c r="AB224" s="2409">
        <f t="shared" ref="AB224:AB233" si="0">MAX(($T224-$N224)*$I224*12,0)</f>
        <v>0</v>
      </c>
      <c r="AC224" s="2409"/>
      <c r="AD224" s="2409"/>
      <c r="AE224" s="2409"/>
      <c r="AF224" s="2409"/>
      <c r="AG224" s="2409"/>
      <c r="AH224" s="827"/>
      <c r="AI224" s="827"/>
      <c r="AJ224" s="827"/>
      <c r="AK224" s="610"/>
    </row>
    <row r="225" spans="1:37">
      <c r="A225" s="605"/>
      <c r="B225" s="2461" t="s">
        <v>2727</v>
      </c>
      <c r="C225" s="2461"/>
      <c r="D225" s="2461"/>
      <c r="E225" s="2461"/>
      <c r="F225" s="2461"/>
      <c r="G225" s="2461"/>
      <c r="I225" s="2414">
        <v>24</v>
      </c>
      <c r="J225" s="2414"/>
      <c r="K225" s="2414"/>
      <c r="L225" s="1008"/>
      <c r="N225" s="2412"/>
      <c r="O225" s="2412"/>
      <c r="P225" s="2412"/>
      <c r="Q225" s="2412"/>
      <c r="R225" s="2412"/>
      <c r="T225" s="2411"/>
      <c r="U225" s="2411"/>
      <c r="V225" s="2411"/>
      <c r="W225" s="2411"/>
      <c r="X225" s="2411"/>
      <c r="Y225" s="2411"/>
      <c r="Z225" s="851"/>
      <c r="AA225" s="851"/>
      <c r="AB225" s="2409">
        <f t="shared" si="0"/>
        <v>0</v>
      </c>
      <c r="AC225" s="2409"/>
      <c r="AD225" s="2409"/>
      <c r="AE225" s="2409"/>
      <c r="AF225" s="2409"/>
      <c r="AG225" s="2409"/>
      <c r="AH225" s="827"/>
      <c r="AI225" s="827"/>
      <c r="AJ225" s="827"/>
      <c r="AK225" s="610"/>
    </row>
    <row r="226" spans="1:37">
      <c r="A226" s="605"/>
      <c r="B226" s="2461" t="s">
        <v>2728</v>
      </c>
      <c r="C226" s="2461"/>
      <c r="D226" s="2461"/>
      <c r="E226" s="2461"/>
      <c r="F226" s="2461"/>
      <c r="G226" s="2461"/>
      <c r="I226" s="2414">
        <v>16</v>
      </c>
      <c r="J226" s="2414"/>
      <c r="K226" s="2414"/>
      <c r="L226" s="1008"/>
      <c r="N226" s="2412"/>
      <c r="O226" s="2412"/>
      <c r="P226" s="2412"/>
      <c r="Q226" s="2412"/>
      <c r="R226" s="2412"/>
      <c r="T226" s="2411"/>
      <c r="U226" s="2411"/>
      <c r="V226" s="2411"/>
      <c r="W226" s="2411"/>
      <c r="X226" s="2411"/>
      <c r="Y226" s="2411"/>
      <c r="Z226" s="851"/>
      <c r="AA226" s="851"/>
      <c r="AB226" s="2409">
        <f t="shared" si="0"/>
        <v>0</v>
      </c>
      <c r="AC226" s="2409"/>
      <c r="AD226" s="2409"/>
      <c r="AE226" s="2409"/>
      <c r="AF226" s="2409"/>
      <c r="AG226" s="2409"/>
      <c r="AH226" s="827"/>
      <c r="AI226" s="827"/>
      <c r="AJ226" s="827"/>
      <c r="AK226" s="610"/>
    </row>
    <row r="227" spans="1:37">
      <c r="A227" s="605"/>
      <c r="B227" s="2461" t="s">
        <v>2729</v>
      </c>
      <c r="C227" s="2461"/>
      <c r="D227" s="2461"/>
      <c r="E227" s="2461"/>
      <c r="F227" s="2461"/>
      <c r="G227" s="2461"/>
      <c r="I227" s="2414">
        <v>8</v>
      </c>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1184</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1184</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1184</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1184</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1184</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1184</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9">
        <f>SUM(AB224:AB233)</f>
        <v>0</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c r="AC240" s="2446"/>
      <c r="AD240" s="2446"/>
      <c r="AE240" s="2446"/>
      <c r="AF240" s="2446"/>
      <c r="AG240" s="2446"/>
      <c r="AH240" s="610"/>
      <c r="AI240" s="610"/>
      <c r="AJ240" s="610"/>
      <c r="AK240" s="610"/>
    </row>
    <row r="241" spans="1:37" ht="13">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0</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0</v>
      </c>
      <c r="AC250" s="2409"/>
      <c r="AD250" s="2409"/>
      <c r="AE250" s="2409"/>
      <c r="AF250" s="2409"/>
      <c r="AG250" s="2409"/>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0</v>
      </c>
      <c r="AC252" s="2581"/>
      <c r="AD252" s="2581"/>
      <c r="AE252" s="2581"/>
      <c r="AF252" s="2581"/>
      <c r="AG252" s="258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0</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0</v>
      </c>
      <c r="AC260" s="2574"/>
      <c r="AD260" s="2574"/>
      <c r="AE260" s="2574"/>
      <c r="AF260" s="2574"/>
      <c r="AG260" s="2575"/>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 ca="1">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 ca="1">AD211*(1-AB266)</f>
        <v>22355000</v>
      </c>
      <c r="AH268" s="2423"/>
      <c r="AI268" s="2423"/>
      <c r="AJ268" s="2423"/>
      <c r="AK268" s="2423"/>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 ca="1">'Sources and Uses Budget'!C105</f>
        <v>57056749</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 ca="1">ROUNDDOWN(IF(AND(C292="Yes",AK84=10),((AG268*2)/AG269),AG268/AG269),2)</f>
        <v>0.39</v>
      </c>
      <c r="AH270" s="2569"/>
      <c r="AI270" s="2569"/>
      <c r="AJ270" s="2569"/>
      <c r="AK270" s="2569"/>
    </row>
    <row r="271" spans="1:37" ht="13">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8">
        <f ca="1">IFERROR(IF(AG270=0,0,IF((AG270*100)&gt;8,8,(AG270*100))),0)</f>
        <v>8</v>
      </c>
      <c r="AL273" s="2558"/>
      <c r="AM273" s="2559"/>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0" t="s">
        <v>545</v>
      </c>
      <c r="D278" s="2440"/>
      <c r="E278" s="547"/>
      <c r="F278" s="2392" t="s">
        <v>2024</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1363</v>
      </c>
      <c r="AH278" s="2567"/>
      <c r="AI278" s="2567"/>
      <c r="AJ278" s="2567"/>
      <c r="AK278" s="550"/>
      <c r="AL278" s="550"/>
      <c r="AM278" s="550"/>
      <c r="AO278" s="550"/>
    </row>
    <row r="279" spans="1:52" ht="13.75"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75"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8">
        <f>IF($C$278="yes",10,0)</f>
        <v>10</v>
      </c>
      <c r="AL285" s="2558"/>
      <c r="AM285" s="2559"/>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1380</v>
      </c>
      <c r="B288" s="538" t="s">
        <v>1853</v>
      </c>
      <c r="AH288" s="591" t="s">
        <v>1314</v>
      </c>
    </row>
    <row r="289" spans="1:49" ht="15" customHeight="1">
      <c r="B289" s="539"/>
    </row>
    <row r="290" spans="1:49" ht="15" customHeight="1">
      <c r="B290" s="539" t="s">
        <v>1728</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4" t="s">
        <v>1382</v>
      </c>
      <c r="B292" s="1634"/>
      <c r="C292" s="2391" t="s">
        <v>591</v>
      </c>
      <c r="D292" s="2440"/>
      <c r="E292" s="547"/>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2017</v>
      </c>
      <c r="AH292" s="2563"/>
      <c r="AI292" s="2563"/>
      <c r="AJ292" s="2563"/>
      <c r="AK292" s="2563"/>
      <c r="AL292" s="550"/>
      <c r="AM292" s="550"/>
      <c r="AN292" s="73"/>
      <c r="AO292" s="14"/>
      <c r="AP292" s="30"/>
      <c r="AS292" s="570"/>
      <c r="AT292" s="570"/>
      <c r="AU292" s="570"/>
      <c r="AV292" s="32"/>
      <c r="AW292" s="32"/>
    </row>
    <row r="293" spans="1:49" ht="13">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8" t="s">
        <v>2025</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ht="13">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1384</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1385</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4" t="s">
        <v>1386</v>
      </c>
      <c r="B302" s="1634"/>
      <c r="C302" s="2440" t="s">
        <v>545</v>
      </c>
      <c r="D302" s="2440"/>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2" t="s">
        <v>2019</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4" t="s">
        <v>1389</v>
      </c>
      <c r="B310" s="1634"/>
      <c r="C310" s="2440" t="s">
        <v>591</v>
      </c>
      <c r="D310" s="2440"/>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 hidden="1">
      <c r="A311" s="89"/>
      <c r="B311" s="89"/>
      <c r="C311" s="730"/>
      <c r="D311" s="730"/>
      <c r="E311" s="547"/>
      <c r="F311" s="2418" t="s">
        <v>2026</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1184</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1730</v>
      </c>
    </row>
    <row r="313" spans="1:44" ht="13"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1184</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t="13"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t="13"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t="13"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t="13"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1" t="s">
        <v>1184</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1637</v>
      </c>
    </row>
    <row r="325" spans="1:42" ht="13"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1733</v>
      </c>
    </row>
    <row r="326" spans="1:42" ht="13"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1735</v>
      </c>
    </row>
    <row r="327" spans="1:42" ht="13"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1734</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51" t="s">
        <v>1184</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1184</v>
      </c>
    </row>
    <row r="331" spans="1:42" ht="13"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4" t="s">
        <v>1392</v>
      </c>
      <c r="B333" s="1634"/>
      <c r="C333" s="2440" t="s">
        <v>591</v>
      </c>
      <c r="D333" s="2440"/>
      <c r="E333" s="547"/>
      <c r="F333" s="2539" t="s">
        <v>2027</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6">
        <f>IF(NOT(OR(Application!M355="Yes",Application!M356="Yes")),0,AP295)</f>
        <v>9</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59" t="s">
        <v>1314</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1454</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5"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2092</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2207</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1455</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25"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9"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0</v>
      </c>
      <c r="AS357" s="539" t="s">
        <v>1456</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0</v>
      </c>
      <c r="AS359" s="539" t="s">
        <v>1457</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5</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581</v>
      </c>
      <c r="AP361" s="696">
        <f>IF(C407="Yes",5,0)</f>
        <v>0</v>
      </c>
      <c r="AS361" s="539" t="s">
        <v>1878</v>
      </c>
    </row>
    <row r="362" spans="1:46" s="550" customFormat="1" ht="12.75" customHeight="1">
      <c r="A362" s="603"/>
      <c r="B362" s="611"/>
      <c r="C362" s="2529" t="s">
        <v>2231</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0</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763</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584</v>
      </c>
      <c r="AP364" s="696">
        <f>IF(C421="Yes",5,0)</f>
        <v>5</v>
      </c>
    </row>
    <row r="365" spans="1:46" s="550" customFormat="1" ht="11.9"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5"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227</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5" t="s">
        <v>1458</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456</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461</v>
      </c>
      <c r="AP370" s="696">
        <f>IF(C449="Yes",5,0)</f>
        <v>0</v>
      </c>
    </row>
    <row r="371" spans="1:81" s="550" customFormat="1" ht="68.150000000000006"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6">
        <f>Application!DU802-U374</f>
        <v>157</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0</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8">
        <f>IF(AP375&gt;0,AP375,0)</f>
        <v>0</v>
      </c>
      <c r="AR375" s="2438"/>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9" t="s">
        <v>1460</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591</v>
      </c>
      <c r="D381" s="2440"/>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1462</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9" t="s">
        <v>1463</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591</v>
      </c>
      <c r="D389" s="2440"/>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1462</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9" t="s">
        <v>1465</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591</v>
      </c>
      <c r="D397" s="2440"/>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1467</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545</v>
      </c>
      <c r="D399" s="2440"/>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1462</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9" t="s">
        <v>1471</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591</v>
      </c>
      <c r="D407" s="2440"/>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1462</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591</v>
      </c>
      <c r="D409" s="2440"/>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1474</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591</v>
      </c>
      <c r="D412" s="2440"/>
      <c r="E412" s="715" t="s">
        <v>1475</v>
      </c>
      <c r="F412" s="2429" t="s">
        <v>1476</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1462</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9" t="s">
        <v>1478</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ht="13">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545</v>
      </c>
      <c r="D421" s="2440"/>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1462</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591</v>
      </c>
      <c r="D423" s="2440"/>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1474</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9" t="s">
        <v>1482</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5"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591</v>
      </c>
      <c r="D430" s="2440"/>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1462</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29" t="s">
        <v>1485</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591</v>
      </c>
      <c r="D442" s="2440"/>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1462</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9" t="s">
        <v>1488</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591</v>
      </c>
      <c r="D449" s="2440"/>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1462</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591</v>
      </c>
      <c r="D453" s="2556"/>
      <c r="E453" s="715" t="s">
        <v>1497</v>
      </c>
      <c r="F453" s="2429" t="s">
        <v>1498</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1462</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75"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591</v>
      </c>
      <c r="D457" s="2440"/>
      <c r="E457" s="715" t="s">
        <v>1503</v>
      </c>
      <c r="F457" s="2429" t="s">
        <v>1504</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1462</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9" t="s">
        <v>1507</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591</v>
      </c>
      <c r="D466" s="2440"/>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1462</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1" t="s">
        <v>1511</v>
      </c>
      <c r="AF472" s="2441"/>
      <c r="AG472" s="2441"/>
      <c r="AH472" s="2441"/>
      <c r="AI472" s="2441"/>
      <c r="AJ472" s="2441"/>
      <c r="AK472" s="2441"/>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8" t="s">
        <v>591</v>
      </c>
      <c r="D478" s="2449"/>
      <c r="E478" s="761" t="s">
        <v>507</v>
      </c>
      <c r="F478" s="2526" t="s">
        <v>1517</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5" t="s">
        <v>545</v>
      </c>
      <c r="D482" s="245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4" t="s">
        <v>591</v>
      </c>
      <c r="W485" s="2434"/>
      <c r="X485" s="2434"/>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4" t="s">
        <v>591</v>
      </c>
      <c r="W487" s="2434"/>
      <c r="X487" s="2434"/>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4" t="s">
        <v>591</v>
      </c>
      <c r="W492" s="2434"/>
      <c r="X492" s="2434"/>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3"/>
      <c r="E495" s="245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4" t="s">
        <v>591</v>
      </c>
      <c r="W496" s="2434"/>
      <c r="X496" s="2434"/>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4" t="s">
        <v>591</v>
      </c>
      <c r="W498" s="2434"/>
      <c r="X498" s="2434"/>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591</v>
      </c>
      <c r="D501" s="2449"/>
      <c r="E501" s="761" t="s">
        <v>507</v>
      </c>
      <c r="F501" s="2526" t="s">
        <v>1517</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591</v>
      </c>
      <c r="D505" s="2449"/>
      <c r="E505" s="761" t="s">
        <v>757</v>
      </c>
      <c r="F505" s="2450" t="s">
        <v>1539</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2" t="s">
        <v>591</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48" t="s">
        <v>591</v>
      </c>
      <c r="D510" s="244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68"/>
      <c r="D512" s="245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591</v>
      </c>
      <c r="D515" s="2521"/>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591</v>
      </c>
      <c r="D519" s="2521"/>
      <c r="F519" s="795" t="s">
        <v>1547</v>
      </c>
      <c r="G519" s="2430" t="s">
        <v>1548</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591</v>
      </c>
      <c r="D523" s="2523"/>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1560</v>
      </c>
      <c r="AF538" s="2459"/>
      <c r="AG538" s="2459"/>
      <c r="AH538" s="2459"/>
      <c r="AI538" s="2459"/>
      <c r="AJ538" s="2459"/>
      <c r="AK538" s="2459"/>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545</v>
      </c>
      <c r="D541" s="2440"/>
      <c r="E541" s="551"/>
      <c r="F541" s="2462" t="s">
        <v>1561</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591</v>
      </c>
      <c r="D544" s="2440"/>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1563</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1564</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37252032</v>
      </c>
      <c r="AQ550" s="2417"/>
      <c r="AR550" s="2417"/>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 ca="1">'Sources and Uses Budget'!S107+'Sources and Uses Budget'!T107</f>
        <v>53826731</v>
      </c>
      <c r="AG551" s="2423"/>
      <c r="AH551" s="2423"/>
      <c r="AI551" s="2423"/>
      <c r="AJ551" s="2423"/>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83980151</v>
      </c>
      <c r="AG552" s="2424"/>
      <c r="AH552" s="2424"/>
      <c r="AI552" s="2424"/>
      <c r="AJ552" s="2424"/>
      <c r="AK552" s="595"/>
      <c r="AL552" s="595"/>
      <c r="AM552" s="595"/>
      <c r="AN552" s="597"/>
      <c r="AP552" s="2417">
        <f>Application!AJ1045</f>
        <v>27193983.359999999</v>
      </c>
      <c r="AQ552" s="2417"/>
      <c r="AR552" s="2417"/>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 ca="1">IFERROR(ROUNDDOWN(IF(C544="YES",((1-(AF551/AF552))*2),(1-(AF551/AF552))),2),0)</f>
        <v>0.35</v>
      </c>
      <c r="AG553" s="2425"/>
      <c r="AH553" s="2425"/>
      <c r="AI553" s="2425"/>
      <c r="AJ553" s="2425"/>
      <c r="AK553" s="595"/>
      <c r="AL553" s="595"/>
      <c r="AM553" s="595"/>
      <c r="AN553" s="597"/>
      <c r="AP553" s="2413">
        <f>Application!AJ1049</f>
        <v>19371056.640000001</v>
      </c>
      <c r="AQ553" s="2413"/>
      <c r="AR553" s="241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0.8</v>
      </c>
      <c r="AQ554" s="2432"/>
      <c r="AR554" s="2432"/>
      <c r="AS554" s="550" t="s">
        <v>2171</v>
      </c>
    </row>
    <row r="555" spans="1:49" s="550" customFormat="1" ht="12.75" customHeight="1">
      <c r="A555" s="624"/>
      <c r="B555" s="2499" t="s">
        <v>2031</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54178525.399999991</v>
      </c>
      <c r="AQ556" s="2433"/>
      <c r="AR556" s="2433"/>
      <c r="AS556" s="550" t="s">
        <v>2173</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100743565.39999999</v>
      </c>
      <c r="AQ557" s="2417"/>
      <c r="AR557" s="2417"/>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8">
        <f ca="1">IFERROR(IF(AND(C541="N/A",C544="N/A"),0,IF(AF553=0,0,IF((AF553*100)&gt;12,12,(AF553*100)))),0)</f>
        <v>12</v>
      </c>
      <c r="AL559" s="2508"/>
      <c r="AM559" s="2509"/>
      <c r="AN559" s="597"/>
      <c r="AP559" s="2402">
        <f>AP556+(AP550*AP554)</f>
        <v>83980151</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1314</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2022</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1338</v>
      </c>
      <c r="AG578" s="2519"/>
      <c r="AH578" s="2519"/>
      <c r="AI578" s="2519"/>
      <c r="AJ578" s="2519"/>
      <c r="AK578" s="2519"/>
      <c r="AL578" s="251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1396</v>
      </c>
      <c r="AG585" s="2519"/>
      <c r="AH585" s="2519"/>
      <c r="AI585" s="2519"/>
      <c r="AJ585" s="2519"/>
      <c r="AK585" s="2519"/>
      <c r="AL585" s="251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1378</v>
      </c>
      <c r="AG591" s="2519"/>
      <c r="AH591" s="2519"/>
      <c r="AI591" s="2519"/>
      <c r="AJ591" s="2519"/>
      <c r="AK591" s="2519"/>
      <c r="AL591" s="251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1399</v>
      </c>
      <c r="AG597" s="2519"/>
      <c r="AH597" s="2519"/>
      <c r="AI597" s="2519"/>
      <c r="AJ597" s="2519"/>
      <c r="AK597" s="2519"/>
      <c r="AL597" s="251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5" t="s">
        <v>1184</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1352</v>
      </c>
      <c r="AG603" s="2519"/>
      <c r="AH603" s="2519"/>
      <c r="AI603" s="2519"/>
      <c r="AJ603" s="2519"/>
      <c r="AK603" s="2519"/>
      <c r="AL603" s="251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3" t="s">
        <v>1397</v>
      </c>
      <c r="I606" s="2443"/>
      <c r="J606" s="936"/>
      <c r="K606" s="936"/>
      <c r="L606" s="936"/>
      <c r="N606" s="22"/>
      <c r="O606" s="22"/>
      <c r="P606" s="22"/>
      <c r="Q606" s="1151" t="s">
        <v>2176</v>
      </c>
      <c r="R606" s="2536" t="s">
        <v>2177</v>
      </c>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4" t="s">
        <v>1401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1" t="s">
        <v>591</v>
      </c>
      <c r="C616" s="2391"/>
      <c r="D616" s="642"/>
      <c r="E616" s="2419" t="s">
        <v>1403</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6">
        <f>VLOOKUP($H$606,$AO$586:$AP$591,2,FALSE)+IF(R606=AO594,0,VLOOKUP($I$614,$AO$613:$AP$615,2,FALSE))</f>
        <v>7</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3" t="s">
        <v>1694</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1352</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1" t="s">
        <v>591</v>
      </c>
      <c r="Y634" s="239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1408</v>
      </c>
      <c r="AG636" s="2519"/>
      <c r="AH636" s="2519"/>
      <c r="AI636" s="2519"/>
      <c r="AJ636" s="2519"/>
      <c r="AK636" s="2519"/>
      <c r="AL636" s="251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3" t="s">
        <v>591</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6">
        <f>VLOOKUP($H$638,$AO$605:$AP$607,2,FALSE)</f>
        <v>0</v>
      </c>
      <c r="AK640" s="2428"/>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9" t="s">
        <v>2097</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1352</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1408</v>
      </c>
      <c r="AG647" s="2519"/>
      <c r="AH647" s="2519"/>
      <c r="AI647" s="2519"/>
      <c r="AJ647" s="2519"/>
      <c r="AK647" s="2519"/>
      <c r="AL647" s="251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3" t="s">
        <v>591</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6">
        <f>VLOOKUP(H650,AT605:AU607,2,FALSE)</f>
        <v>0</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9" t="s">
        <v>1418</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1378</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9" t="s">
        <v>1419</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1399</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9" t="s">
        <v>1420</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1352</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591</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19" t="s">
        <v>1421</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1399</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9" t="s">
        <v>1422</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1352</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9" t="s">
        <v>1423</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1408</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19" t="s">
        <v>1424</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1425</v>
      </c>
      <c r="AG681" s="2519"/>
      <c r="AH681" s="2519"/>
      <c r="AI681" s="2519"/>
      <c r="AJ681" s="2519"/>
      <c r="AK681" s="2519"/>
      <c r="AL681" s="2519"/>
      <c r="AM681" s="596"/>
      <c r="AN681" s="597"/>
      <c r="AO681" s="611" t="s">
        <v>687</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3" t="s">
        <v>1398</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6">
        <f>VLOOKUP($H$685,$AO$633:$AP$640,2,FALSE)</f>
        <v>3</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79</v>
      </c>
    </row>
    <row r="691" spans="1:51" s="550" customFormat="1" ht="12.75" customHeight="1">
      <c r="A691" s="679"/>
      <c r="B691" s="536"/>
      <c r="C691" s="948"/>
      <c r="D691" s="663" t="s">
        <v>687</v>
      </c>
      <c r="E691" s="2389" t="s">
        <v>2189</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1352</v>
      </c>
      <c r="AG691" s="2519"/>
      <c r="AH691" s="2519"/>
      <c r="AI691" s="2519"/>
      <c r="AJ691" s="2519"/>
      <c r="AK691" s="2519"/>
      <c r="AL691" s="2519"/>
      <c r="AN691" s="597"/>
      <c r="AW691" s="22" t="s">
        <v>2184</v>
      </c>
      <c r="AX691" s="550">
        <f>Application!DE753</f>
        <v>15</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2185</v>
      </c>
      <c r="AX692" s="550">
        <f>Application!DJ753</f>
        <v>8</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19" t="s">
        <v>2133</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1352</v>
      </c>
      <c r="AG694" s="2519"/>
      <c r="AH694" s="2519"/>
      <c r="AI694" s="2519"/>
      <c r="AJ694" s="2519"/>
      <c r="AK694" s="2519"/>
      <c r="AL694" s="2519"/>
      <c r="AN694" s="597"/>
      <c r="AW694" s="22" t="s">
        <v>2187</v>
      </c>
      <c r="AX694" s="550">
        <f>AX691+AX692+AX693</f>
        <v>23</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2188</v>
      </c>
      <c r="AX695" s="550">
        <f>IFERROR(AX694/AX690,0)</f>
        <v>0.29113924050632911</v>
      </c>
      <c r="AY695" s="550">
        <f>IFERROR(AX694/(AX690-AX689),0)</f>
        <v>0.29113924050632911</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19" t="s">
        <v>2134</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1408</v>
      </c>
      <c r="AG699" s="2519"/>
      <c r="AH699" s="2519"/>
      <c r="AI699" s="2519"/>
      <c r="AJ699" s="2519"/>
      <c r="AK699" s="2519"/>
      <c r="AL699" s="2519"/>
      <c r="AN699" s="597"/>
      <c r="AO699" s="611" t="s">
        <v>509</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3"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9" t="s">
        <v>1693</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3" t="s">
        <v>509</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6">
        <f>VLOOKUP($H$709,$AO$703:$AP$706,2,FALSE)</f>
        <v>3</v>
      </c>
      <c r="AK711" s="2428"/>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1352</v>
      </c>
      <c r="AG715" s="2519"/>
      <c r="AH715" s="2519"/>
      <c r="AI715" s="2519"/>
      <c r="AJ715" s="2519"/>
      <c r="AK715" s="2519"/>
      <c r="AL715" s="2519"/>
      <c r="AM715" s="550"/>
      <c r="AN715" s="684"/>
      <c r="AP715" s="570" t="s">
        <v>1432</v>
      </c>
    </row>
    <row r="716" spans="1:43" s="570" customFormat="1" ht="11.9"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1408</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443" t="s">
        <v>591</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687</v>
      </c>
      <c r="E729" s="2419" t="s">
        <v>1696</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1352</v>
      </c>
      <c r="AG729" s="2519"/>
      <c r="AH729" s="2519"/>
      <c r="AI729" s="2519"/>
      <c r="AJ729" s="2519"/>
      <c r="AK729" s="2519"/>
      <c r="AL729" s="2519"/>
      <c r="AM729" s="550"/>
      <c r="AN729" s="684"/>
      <c r="AT729" s="14"/>
      <c r="AU729" s="14"/>
      <c r="AV729" s="14"/>
      <c r="AW729" s="14"/>
      <c r="AX729" s="14"/>
      <c r="AY729" s="14"/>
      <c r="AZ729" s="14"/>
    </row>
    <row r="730" spans="1:81" s="570" customFormat="1" ht="13">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9" t="s">
        <v>1439</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1408</v>
      </c>
      <c r="AG732" s="2519"/>
      <c r="AH732" s="2519"/>
      <c r="AI732" s="2519"/>
      <c r="AJ732" s="2519"/>
      <c r="AK732" s="2519"/>
      <c r="AL732" s="2519"/>
      <c r="AM732" s="550"/>
      <c r="AN732" s="684"/>
      <c r="AT732" s="14"/>
      <c r="AU732" s="14"/>
      <c r="AV732" s="14"/>
      <c r="AW732" s="14"/>
      <c r="AX732" s="14"/>
      <c r="AY732" s="14"/>
      <c r="AZ732" s="14"/>
    </row>
    <row r="733" spans="1:81" s="570" customFormat="1" ht="13">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3" t="s">
        <v>591</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687</v>
      </c>
      <c r="E741" s="2419" t="s">
        <v>1442</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1352</v>
      </c>
      <c r="AG741" s="2519"/>
      <c r="AH741" s="2519"/>
      <c r="AI741" s="2519"/>
      <c r="AJ741" s="2519"/>
      <c r="AK741" s="2519"/>
      <c r="AL741" s="2519"/>
      <c r="AM741" s="550"/>
      <c r="AN741" s="684"/>
      <c r="AT741" s="14"/>
      <c r="AU741" s="14"/>
      <c r="AV741" s="14"/>
      <c r="AW741" s="14"/>
      <c r="AX741" s="14"/>
      <c r="AY741" s="14"/>
      <c r="AZ741" s="14"/>
    </row>
    <row r="742" spans="1:81" s="570" customFormat="1" ht="13">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19" t="s">
        <v>1443</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1408</v>
      </c>
      <c r="AG746" s="2519"/>
      <c r="AH746" s="2519"/>
      <c r="AI746" s="2519"/>
      <c r="AJ746" s="2519"/>
      <c r="AK746" s="2519"/>
      <c r="AL746" s="2519"/>
      <c r="AM746" s="550"/>
      <c r="AN746" s="684"/>
      <c r="AO746" s="30"/>
      <c r="AP746" s="14"/>
    </row>
    <row r="747" spans="1:81" s="570" customFormat="1" ht="13">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3" t="s">
        <v>591</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6">
        <f>VLOOKUP($H$751,$AO$680:$AP$682,2,FALSE)</f>
        <v>0</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687</v>
      </c>
      <c r="E757" s="2419" t="s">
        <v>1445</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1408</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19" t="s">
        <v>1446</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1425</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3" t="s">
        <v>591</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6">
        <f>VLOOKUP($H$763,$AO$697:$AP$699,2,FALSE)</f>
        <v>0</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19" t="s">
        <v>1692</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1408</v>
      </c>
      <c r="AG769" s="2519"/>
      <c r="AH769" s="2519"/>
      <c r="AI769" s="2519"/>
      <c r="AJ769" s="2519"/>
      <c r="AK769" s="2519"/>
      <c r="AL769" s="2519"/>
      <c r="AM769" s="613"/>
      <c r="AN769" s="684"/>
      <c r="AO769" s="550" t="s">
        <v>591</v>
      </c>
      <c r="AP769" s="673">
        <v>0</v>
      </c>
    </row>
    <row r="770" spans="1:81" s="570" customFormat="1" ht="13.75"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687</v>
      </c>
      <c r="AP770" s="550">
        <v>2</v>
      </c>
    </row>
    <row r="771" spans="1:81" s="570" customFormat="1" ht="13">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0" t="s">
        <v>1697</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1352</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3" t="s">
        <v>591</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6">
        <f>VLOOKUP($H$779,$AO$769:$AP$771,2,FALSE)</f>
        <v>0</v>
      </c>
      <c r="AK781" s="2428"/>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19" t="s">
        <v>2032</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1352</v>
      </c>
      <c r="AG785" s="2519"/>
      <c r="AH785" s="2519"/>
      <c r="AI785" s="2519"/>
      <c r="AJ785" s="2519"/>
      <c r="AK785" s="2519"/>
      <c r="AL785" s="2519"/>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1400</v>
      </c>
      <c r="E790" s="936"/>
      <c r="F790" s="936"/>
      <c r="G790" s="936"/>
      <c r="H790" s="2443" t="s">
        <v>591</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6">
        <f>VLOOKUP($H$790,$AO$784:$AP$785,2,FALSE)</f>
        <v>0</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1568</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ht="13">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3" t="s">
        <v>1569</v>
      </c>
      <c r="U802" s="2514"/>
      <c r="V802" s="2514"/>
      <c r="W802" s="2514"/>
      <c r="X802" s="2514"/>
      <c r="Y802" s="2515"/>
      <c r="Z802" s="2513" t="s">
        <v>1570</v>
      </c>
      <c r="AA802" s="2514"/>
      <c r="AB802" s="2514"/>
      <c r="AC802" s="2514"/>
      <c r="AD802" s="2514"/>
      <c r="AE802" s="2515"/>
      <c r="AF802" s="2513" t="s">
        <v>1571</v>
      </c>
      <c r="AG802" s="2514"/>
      <c r="AH802" s="2514"/>
      <c r="AI802" s="2514"/>
      <c r="AJ802" s="2514"/>
      <c r="AK802" s="2515"/>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ht="13">
      <c r="A804" s="819" t="s">
        <v>757</v>
      </c>
      <c r="B804" s="2470" t="s">
        <v>1304</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ht="13">
      <c r="A805" s="819" t="s">
        <v>1541</v>
      </c>
      <c r="B805" s="2470" t="s">
        <v>1313</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ht="13">
      <c r="A806" s="819" t="s">
        <v>1550</v>
      </c>
      <c r="B806" s="2470" t="s">
        <v>1323</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ht="13">
      <c r="A807" s="819" t="s">
        <v>1572</v>
      </c>
      <c r="B807" s="2470" t="s">
        <v>1333</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ht="13">
      <c r="A808" s="820" t="s">
        <v>1573</v>
      </c>
      <c r="B808" s="2470" t="s">
        <v>1574</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ht="13">
      <c r="A809" s="535"/>
      <c r="B809" s="601"/>
      <c r="C809" s="2476" t="s">
        <v>1575</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ht="13">
      <c r="A810" s="600"/>
      <c r="B810" s="601"/>
      <c r="C810" s="2476" t="s">
        <v>1576</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ht="13">
      <c r="A811" s="820" t="s">
        <v>1361</v>
      </c>
      <c r="B811" s="2470" t="s">
        <v>1577</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ht="13">
      <c r="A812" s="819" t="s">
        <v>1370</v>
      </c>
      <c r="B812" s="2470" t="s">
        <v>1371</v>
      </c>
      <c r="C812" s="2470"/>
      <c r="D812" s="2470"/>
      <c r="E812" s="2470"/>
      <c r="F812" s="2470"/>
      <c r="G812" s="2470"/>
      <c r="H812" s="2470"/>
      <c r="I812" s="2470"/>
      <c r="J812" s="2470"/>
      <c r="K812" s="2470"/>
      <c r="L812" s="2470"/>
      <c r="M812" s="2470"/>
      <c r="N812" s="2470"/>
      <c r="O812" s="2470"/>
      <c r="P812" s="2470"/>
      <c r="Q812" s="2470"/>
      <c r="R812" s="2470"/>
      <c r="S812" s="2471"/>
      <c r="T812" s="2472">
        <f ca="1">AK273</f>
        <v>8</v>
      </c>
      <c r="U812" s="2472"/>
      <c r="V812" s="2472"/>
      <c r="W812" s="2472"/>
      <c r="X812" s="2472"/>
      <c r="Y812" s="2472"/>
      <c r="Z812" s="2473">
        <v>8</v>
      </c>
      <c r="AA812" s="2474"/>
      <c r="AB812" s="2474"/>
      <c r="AC812" s="2474"/>
      <c r="AD812" s="2474"/>
      <c r="AE812" s="2475"/>
      <c r="AF812" s="2438">
        <f ca="1">IF(T812&gt;Z812,Z812,T812)</f>
        <v>8</v>
      </c>
      <c r="AG812" s="2438"/>
      <c r="AH812" s="2438"/>
      <c r="AI812" s="2438"/>
      <c r="AJ812" s="2438"/>
      <c r="AK812" s="2438"/>
      <c r="AL812" s="818"/>
      <c r="AM812" s="596"/>
    </row>
    <row r="813" spans="1:81" s="534" customFormat="1" ht="13" hidden="1">
      <c r="A813" s="820" t="s">
        <v>589</v>
      </c>
      <c r="B813" s="2470" t="s">
        <v>1578</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1376</v>
      </c>
      <c r="B814" s="2470" t="s">
        <v>1579</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1380</v>
      </c>
      <c r="B815" s="2470" t="s">
        <v>1381</v>
      </c>
      <c r="C815" s="2470"/>
      <c r="D815" s="2470"/>
      <c r="E815" s="2470"/>
      <c r="F815" s="2470"/>
      <c r="G815" s="2470"/>
      <c r="H815" s="2470"/>
      <c r="I815" s="2470"/>
      <c r="J815" s="2470"/>
      <c r="K815" s="2470"/>
      <c r="L815" s="2470"/>
      <c r="M815" s="2470"/>
      <c r="N815" s="2470"/>
      <c r="O815" s="2470"/>
      <c r="P815" s="2470"/>
      <c r="Q815" s="2470"/>
      <c r="R815" s="2470"/>
      <c r="S815" s="2471"/>
      <c r="T815" s="2472">
        <f>AK338</f>
        <v>9</v>
      </c>
      <c r="U815" s="2472"/>
      <c r="V815" s="2472"/>
      <c r="W815" s="2472"/>
      <c r="X815" s="2472"/>
      <c r="Y815" s="2472"/>
      <c r="Z815" s="2481">
        <v>10</v>
      </c>
      <c r="AA815" s="2482"/>
      <c r="AB815" s="2482"/>
      <c r="AC815" s="2482"/>
      <c r="AD815" s="2482"/>
      <c r="AE815" s="2483"/>
      <c r="AF815" s="2481">
        <f>IF(T815&gt;Z815,Z815,T815)</f>
        <v>9</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8">
        <f>AK338</f>
        <v>9</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1453</v>
      </c>
      <c r="B817" s="2470" t="s">
        <v>845</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1558</v>
      </c>
      <c r="B818" s="2470" t="s">
        <v>1559</v>
      </c>
      <c r="C818" s="2470"/>
      <c r="D818" s="2470"/>
      <c r="E818" s="2470"/>
      <c r="F818" s="2470"/>
      <c r="G818" s="2470"/>
      <c r="H818" s="2470"/>
      <c r="I818" s="2470"/>
      <c r="J818" s="2470"/>
      <c r="K818" s="2470"/>
      <c r="L818" s="2470"/>
      <c r="M818" s="2470"/>
      <c r="N818" s="2470"/>
      <c r="O818" s="2470"/>
      <c r="P818" s="2470"/>
      <c r="Q818" s="2470"/>
      <c r="R818" s="2470"/>
      <c r="S818" s="2471"/>
      <c r="T818" s="2472">
        <f ca="1">AK559</f>
        <v>12</v>
      </c>
      <c r="U818" s="2472"/>
      <c r="V818" s="2472"/>
      <c r="W818" s="2472"/>
      <c r="X818" s="2472"/>
      <c r="Y818" s="2472"/>
      <c r="Z818" s="2481">
        <v>12</v>
      </c>
      <c r="AA818" s="2482"/>
      <c r="AB818" s="2482"/>
      <c r="AC818" s="2482"/>
      <c r="AD818" s="2482"/>
      <c r="AE818" s="2483"/>
      <c r="AF818" s="2438">
        <f ca="1">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470" t="s">
        <v>1581</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4" t="s">
        <v>1582</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1583</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6" t="s">
        <v>1584</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119</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6" workbookViewId="0">
      <selection activeCell="G130" sqref="G130"/>
    </sheetView>
  </sheetViews>
  <sheetFormatPr defaultColWidth="9.1796875" defaultRowHeight="14"/>
  <cols>
    <col min="1" max="1" width="2.453125" style="1044" customWidth="1"/>
    <col min="2" max="9" width="14.81640625" style="1044" customWidth="1"/>
    <col min="10" max="10" width="2.1796875" style="1044" customWidth="1"/>
    <col min="11" max="11" width="11.81640625" style="1045" customWidth="1"/>
    <col min="12" max="12" width="10.81640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67" t="s">
        <v>1585</v>
      </c>
      <c r="B1" s="2667"/>
      <c r="C1" s="2667"/>
      <c r="D1" s="2667"/>
      <c r="E1" s="2667"/>
      <c r="F1" s="2667"/>
      <c r="G1" s="2667"/>
      <c r="H1" s="2667"/>
      <c r="I1" s="2667"/>
      <c r="J1" s="2667"/>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35380952</v>
      </c>
      <c r="I3" s="1105"/>
    </row>
    <row r="4" spans="1:13" s="1051" customFormat="1" ht="20.149999999999999" customHeight="1">
      <c r="B4" s="1094"/>
      <c r="D4" s="1108"/>
      <c r="F4" s="1092" t="s">
        <v>1991</v>
      </c>
      <c r="G4" s="1091" t="s">
        <v>1990</v>
      </c>
      <c r="H4" s="1093">
        <f ca="1">I18</f>
        <v>22989382.524015792</v>
      </c>
      <c r="I4" s="1095"/>
      <c r="K4" s="1055"/>
    </row>
    <row r="5" spans="1:13" s="1051" customFormat="1" ht="20.149999999999999" customHeight="1" thickBot="1">
      <c r="B5" s="1096"/>
      <c r="C5" s="1097"/>
      <c r="D5" s="1109"/>
      <c r="E5" s="1098"/>
      <c r="F5" s="1109" t="s">
        <v>1941</v>
      </c>
      <c r="G5" s="1110"/>
      <c r="H5" s="1106">
        <f ca="1">IFERROR(H3/H4,0)</f>
        <v>1.5390127143710532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1939</v>
      </c>
      <c r="C8" s="2671"/>
      <c r="D8" s="2671"/>
      <c r="E8" s="2672"/>
      <c r="G8" s="2647" t="s">
        <v>1940</v>
      </c>
      <c r="H8" s="2648"/>
      <c r="I8" s="2649"/>
      <c r="K8" s="1057"/>
    </row>
    <row r="9" spans="1:13" ht="15" customHeight="1">
      <c r="A9" s="1046"/>
      <c r="B9" s="2668" t="s">
        <v>1973</v>
      </c>
      <c r="C9" s="2668"/>
      <c r="D9" s="2668"/>
      <c r="E9" s="1059">
        <f>G33</f>
        <v>4900000</v>
      </c>
      <c r="G9" s="2660" t="s">
        <v>1971</v>
      </c>
      <c r="H9" s="2660"/>
      <c r="I9" s="1060">
        <f>SUMIF(Application!M554:M565,"Loan, Tax-Exempt",Application!AM554:AM565)</f>
        <v>15448918.328221949</v>
      </c>
      <c r="K9" s="1061"/>
      <c r="M9" s="1062"/>
    </row>
    <row r="10" spans="1:13" ht="15" customHeight="1" thickBot="1">
      <c r="A10" s="1046"/>
      <c r="B10" s="2668" t="s">
        <v>1974</v>
      </c>
      <c r="C10" s="2668"/>
      <c r="D10" s="2668"/>
      <c r="E10" s="1060">
        <f>G47</f>
        <v>23690952</v>
      </c>
      <c r="G10" s="2674" t="s">
        <v>1942</v>
      </c>
      <c r="H10" s="2674"/>
      <c r="I10" s="1140">
        <f ca="1">'Basis &amp; Credits'!AB78</f>
        <v>11000000</v>
      </c>
      <c r="M10" s="1062"/>
    </row>
    <row r="11" spans="1:13" ht="15" customHeight="1">
      <c r="A11" s="1046"/>
      <c r="B11" s="2661" t="s">
        <v>2262</v>
      </c>
      <c r="C11" s="2662"/>
      <c r="D11" s="2663"/>
      <c r="E11" s="1060">
        <f>SUM(E12,E13)</f>
        <v>420000</v>
      </c>
      <c r="G11" s="2659" t="s">
        <v>1982</v>
      </c>
      <c r="H11" s="2659"/>
      <c r="I11" s="1139">
        <f ca="1">I9+I10</f>
        <v>26448918.328221947</v>
      </c>
      <c r="M11" s="1062"/>
    </row>
    <row r="12" spans="1:13" ht="15" customHeight="1">
      <c r="A12" s="1063"/>
      <c r="B12" s="2669" t="s">
        <v>2264</v>
      </c>
      <c r="C12" s="2669"/>
      <c r="D12" s="2669"/>
      <c r="E12" s="1165">
        <f>G56</f>
        <v>0</v>
      </c>
      <c r="M12" s="1062"/>
    </row>
    <row r="13" spans="1:13" ht="15" customHeight="1">
      <c r="A13" s="1049"/>
      <c r="B13" s="2669" t="s">
        <v>2265</v>
      </c>
      <c r="C13" s="2669"/>
      <c r="D13" s="2669"/>
      <c r="E13" s="1165">
        <f>G65</f>
        <v>420000</v>
      </c>
      <c r="G13" s="2647" t="s">
        <v>2005</v>
      </c>
      <c r="H13" s="2648"/>
      <c r="I13" s="2649"/>
      <c r="M13" s="1062"/>
    </row>
    <row r="14" spans="1:13" ht="15" customHeight="1">
      <c r="A14" s="1049"/>
      <c r="B14" s="2661" t="s">
        <v>2263</v>
      </c>
      <c r="C14" s="2662"/>
      <c r="D14" s="2663"/>
      <c r="E14" s="1167">
        <f>MAX(E15,E16)+E17</f>
        <v>6370000</v>
      </c>
      <c r="G14" s="2660" t="s">
        <v>139</v>
      </c>
      <c r="H14" s="2660"/>
      <c r="I14" s="1064">
        <f>15%*(AND(G120="Yes",G122&lt;&gt;""))</f>
        <v>0.15</v>
      </c>
      <c r="M14" s="1062"/>
    </row>
    <row r="15" spans="1:13" ht="15" customHeight="1">
      <c r="A15" s="1049"/>
      <c r="B15" s="2644" t="s">
        <v>2269</v>
      </c>
      <c r="C15" s="2645"/>
      <c r="D15" s="2646"/>
      <c r="E15" s="1165">
        <f>G80</f>
        <v>0</v>
      </c>
      <c r="G15" s="1137" t="s">
        <v>1983</v>
      </c>
      <c r="H15" s="1137"/>
      <c r="I15" s="1064">
        <f>IF(Application!AJ1032&gt;0,10%,IF(Application!AJ1036&gt;0,5%,0))</f>
        <v>0</v>
      </c>
      <c r="M15" s="1062"/>
    </row>
    <row r="16" spans="1:13" ht="15" customHeight="1">
      <c r="A16" s="1049"/>
      <c r="B16" s="2644" t="s">
        <v>2268</v>
      </c>
      <c r="C16" s="2645"/>
      <c r="D16" s="2646"/>
      <c r="E16" s="1165">
        <f>G90</f>
        <v>1960000</v>
      </c>
      <c r="G16" s="2660" t="s">
        <v>1984</v>
      </c>
      <c r="H16" s="2660"/>
      <c r="I16" s="1064">
        <f>G132</f>
        <v>-1.9199346405228759E-2</v>
      </c>
    </row>
    <row r="17" spans="1:21" ht="15" customHeight="1" thickBot="1">
      <c r="A17" s="1049"/>
      <c r="B17" s="2644" t="s">
        <v>2267</v>
      </c>
      <c r="C17" s="2645"/>
      <c r="D17" s="2646"/>
      <c r="E17" s="1165">
        <f>G115</f>
        <v>4410000</v>
      </c>
      <c r="G17" s="2660" t="s">
        <v>2277</v>
      </c>
      <c r="H17" s="2660"/>
      <c r="I17" s="1064">
        <f>IF(AND(G139="Yes",OR(G136,G137)),IF(G143&gt;15%,15%,G143),0)</f>
        <v>0</v>
      </c>
    </row>
    <row r="18" spans="1:21" ht="15" customHeight="1">
      <c r="A18" s="1046"/>
      <c r="B18" s="2673" t="s">
        <v>1938</v>
      </c>
      <c r="C18" s="2673"/>
      <c r="D18" s="2673"/>
      <c r="E18" s="1111">
        <f>SUM(E9:E11,E14)</f>
        <v>35380952</v>
      </c>
      <c r="G18" s="1138" t="s">
        <v>1972</v>
      </c>
      <c r="H18" s="1138"/>
      <c r="I18" s="1112">
        <f ca="1">I11-((I11*I14)+(I11*I15)+(I11*I16)+(I11*I17))</f>
        <v>22989382.524015792</v>
      </c>
      <c r="M18" s="1065">
        <f>SUM(Cdlac[Quantity])</f>
        <v>79</v>
      </c>
      <c r="O18" s="1084" t="s">
        <v>582</v>
      </c>
      <c r="P18" s="1044">
        <f>MATCH(Application!T189,Application!CB160:CB217,0)</f>
        <v>33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629.4</v>
      </c>
      <c r="Q20" s="1164"/>
      <c r="R20" s="1065" cm="1">
        <f t="array" ref="R20">IF(Cdlac[[#This Row],[Quantity]]&gt;0,INDEX(HudFmrs,$P$18,Cdlac[[#This Row],[Bedrooms]]+1),"")</f>
        <v>1852</v>
      </c>
      <c r="S20" s="1065">
        <f>IF(Cdlac[[#This Row],[Quantity]]&gt;0,MAX(0,Cdlac[[#This Row],[Fair Market Rent]]-IF(AND($G$37,$G$38,$G$38&lt;&gt;"",NOT(Cdlac[[#This Row],[Federal]]),Cdlac[[#This Row],[Preservation Rent]]&lt;&gt;""),Cdlac[[#This Row],[Preservation Rent]],Cdlac[[#This Row],[Restricted Rent]])),"")</f>
        <v>1222.5999999999999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20</v>
      </c>
      <c r="N21" s="1071">
        <f>Application!AC719</f>
        <v>0.4</v>
      </c>
      <c r="O21" s="1071">
        <f>IF(Cdlac[[#This Row],[Quantity]]&gt;0,IF(Cdlac[[#This Row],[Federal]],30%,IF(AND(OR(NOT($G$38),$G$38=""),$G$43),40%,Cdlac[[#This Row],[iAMI]])),"")</f>
        <v>0.3</v>
      </c>
      <c r="P21" s="1065" cm="1">
        <f t="array" ref="P21">IF(Cdlac[[#This Row],[Quantity]]&gt;0,INDEX(TcacRents,$P$18,Cdlac[[#This Row],[Bedrooms]]+1)*Cdlac[[#This Row],[AMI]],"")</f>
        <v>629.4</v>
      </c>
      <c r="Q21" s="1164"/>
      <c r="R21" s="1065" cm="1">
        <f t="array" ref="R21">IF(Cdlac[[#This Row],[Quantity]]&gt;0,INDEX(HudFmrs,$P$18,Cdlac[[#This Row],[Bedrooms]]+1),"")</f>
        <v>1852</v>
      </c>
      <c r="S21" s="1065">
        <f>IF(Cdlac[[#This Row],[Quantity]]&gt;0,MAX(0,Cdlac[[#This Row],[Fair Market Rent]]-IF(AND($G$37,$G$38,$G$38&lt;&gt;"",NOT(Cdlac[[#This Row],[Federal]]),Cdlac[[#This Row],[Preservation Rent]]&lt;&gt;""),Cdlac[[#This Row],[Preservation Rent]],Cdlac[[#This Row],[Restricted Rent]])),"")</f>
        <v>1222.5999999999999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1" t="s">
        <v>1986</v>
      </c>
      <c r="D22" s="2651" t="s">
        <v>1987</v>
      </c>
      <c r="E22" s="2651" t="s">
        <v>1988</v>
      </c>
      <c r="F22" s="2651" t="s">
        <v>2608</v>
      </c>
      <c r="G22" s="2651" t="s">
        <v>1985</v>
      </c>
      <c r="H22" s="1070"/>
      <c r="I22" s="1069"/>
      <c r="L22" s="1044">
        <f>IFERROR(MIN(4,MATCH(Application!B720,UnitSizes,0)-1),"")</f>
        <v>1</v>
      </c>
      <c r="M22" s="1065">
        <f>Application!G720</f>
        <v>6</v>
      </c>
      <c r="N22" s="1071">
        <f>Application!AC720</f>
        <v>0.5</v>
      </c>
      <c r="O22" s="1071">
        <f>IF(Cdlac[[#This Row],[Quantity]]&gt;0,IF(Cdlac[[#This Row],[Federal]],30%,IF(AND(OR(NOT($G$38),$G$38=""),$G$43),40%,Cdlac[[#This Row],[iAMI]])),"")</f>
        <v>0.3</v>
      </c>
      <c r="P22" s="1065" cm="1">
        <f t="array" ref="P22">IF(Cdlac[[#This Row],[Quantity]]&gt;0,INDEX(TcacRents,$P$18,Cdlac[[#This Row],[Bedrooms]]+1)*Cdlac[[#This Row],[AMI]],"")</f>
        <v>629.4</v>
      </c>
      <c r="Q22" s="1164"/>
      <c r="R22" s="1065" cm="1">
        <f t="array" ref="R22">IF(Cdlac[[#This Row],[Quantity]]&gt;0,INDEX(HudFmrs,$P$18,Cdlac[[#This Row],[Bedrooms]]+1),"")</f>
        <v>1852</v>
      </c>
      <c r="S22" s="1065">
        <f>IF(Cdlac[[#This Row],[Quantity]]&gt;0,MAX(0,Cdlac[[#This Row],[Fair Market Rent]]-IF(AND($G$37,$G$38,$G$38&lt;&gt;"",NOT(Cdlac[[#This Row],[Federal]]),Cdlac[[#This Row],[Preservation Rent]]&lt;&gt;""),Cdlac[[#This Row],[Preservation Rent]],Cdlac[[#This Row],[Restricted Rent]])),"")</f>
        <v>1222.5999999999999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2"/>
      <c r="D23" s="2652"/>
      <c r="E23" s="2652"/>
      <c r="F23" s="2652"/>
      <c r="G23" s="2652"/>
      <c r="H23" s="1070"/>
      <c r="I23" s="1069"/>
      <c r="L23" s="1044">
        <f>IFERROR(MIN(4,MATCH(Application!B721,UnitSizes,0)-1),"")</f>
        <v>2</v>
      </c>
      <c r="M23" s="1065">
        <f>Application!G721</f>
        <v>7</v>
      </c>
      <c r="N23" s="1071">
        <f>Application!AC721</f>
        <v>0.3</v>
      </c>
      <c r="O23" s="1071">
        <f>IF(Cdlac[[#This Row],[Quantity]]&gt;0,IF(Cdlac[[#This Row],[Federal]],30%,IF(AND(OR(NOT($G$38),$G$38=""),$G$43),40%,Cdlac[[#This Row],[iAMI]])),"")</f>
        <v>0.3</v>
      </c>
      <c r="P23" s="1065" cm="1">
        <f t="array" ref="P23">IF(Cdlac[[#This Row],[Quantity]]&gt;0,INDEX(TcacRents,$P$18,Cdlac[[#This Row],[Bedrooms]]+1)*Cdlac[[#This Row],[AMI]],"")</f>
        <v>754.8</v>
      </c>
      <c r="Q23" s="1164"/>
      <c r="R23" s="1065" cm="1">
        <f t="array" ref="R23">IF(Cdlac[[#This Row],[Quantity]]&gt;0,INDEX(HudFmrs,$P$18,Cdlac[[#This Row],[Bedrooms]]+1),"")</f>
        <v>2306</v>
      </c>
      <c r="S23" s="1065">
        <f>IF(Cdlac[[#This Row],[Quantity]]&gt;0,MAX(0,Cdlac[[#This Row],[Fair Market Rent]]-IF(AND($G$37,$G$38,$G$38&lt;&gt;"",NOT(Cdlac[[#This Row],[Federal]]),Cdlac[[#This Row],[Preservation Rent]]&lt;&gt;""),Cdlac[[#This Row],[Preservation Rent]],Cdlac[[#This Row],[Restricted Rent]])),"")</f>
        <v>1551.2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10</v>
      </c>
      <c r="N24" s="1071">
        <f>Application!AC722</f>
        <v>0.4</v>
      </c>
      <c r="O24" s="1071">
        <f>IF(Cdlac[[#This Row],[Quantity]]&gt;0,IF(Cdlac[[#This Row],[Federal]],30%,IF(AND(OR(NOT($G$38),$G$38=""),$G$43),40%,Cdlac[[#This Row],[iAMI]])),"")</f>
        <v>0.3</v>
      </c>
      <c r="P24" s="1065" cm="1">
        <f t="array" ref="P24">IF(Cdlac[[#This Row],[Quantity]]&gt;0,INDEX(TcacRents,$P$18,Cdlac[[#This Row],[Bedrooms]]+1)*Cdlac[[#This Row],[AMI]],"")</f>
        <v>754.8</v>
      </c>
      <c r="Q24" s="1164"/>
      <c r="R24" s="1065" cm="1">
        <f t="array" ref="R24">IF(Cdlac[[#This Row],[Quantity]]&gt;0,INDEX(HudFmrs,$P$18,Cdlac[[#This Row],[Bedrooms]]+1),"")</f>
        <v>2306</v>
      </c>
      <c r="S24" s="1065">
        <f>IF(Cdlac[[#This Row],[Quantity]]&gt;0,MAX(0,Cdlac[[#This Row],[Fair Market Rent]]-IF(AND($G$37,$G$38,$G$38&lt;&gt;"",NOT(Cdlac[[#This Row],[Federal]]),Cdlac[[#This Row],[Preservation Rent]]&lt;&gt;""),Cdlac[[#This Row],[Preservation Rent]],Cdlac[[#This Row],[Restricted Rent]])),"")</f>
        <v>1551.2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32</v>
      </c>
      <c r="F25" s="1072">
        <f>E25</f>
        <v>32</v>
      </c>
      <c r="G25" s="1072">
        <f>D25*F25</f>
        <v>32</v>
      </c>
      <c r="L25" s="1044">
        <f>IFERROR(MIN(4,MATCH(Application!B723,UnitSizes,0)-1),"")</f>
        <v>2</v>
      </c>
      <c r="M25" s="1065">
        <f>Application!G723</f>
        <v>7</v>
      </c>
      <c r="N25" s="1071">
        <f>Application!AC723</f>
        <v>0.5</v>
      </c>
      <c r="O25" s="1071">
        <f>IF(Cdlac[[#This Row],[Quantity]]&gt;0,IF(Cdlac[[#This Row],[Federal]],30%,IF(AND(OR(NOT($G$38),$G$38=""),$G$43),40%,Cdlac[[#This Row],[iAMI]])),"")</f>
        <v>0.3</v>
      </c>
      <c r="P25" s="1065" cm="1">
        <f t="array" ref="P25">IF(Cdlac[[#This Row],[Quantity]]&gt;0,INDEX(TcacRents,$P$18,Cdlac[[#This Row],[Bedrooms]]+1)*Cdlac[[#This Row],[AMI]],"")</f>
        <v>754.8</v>
      </c>
      <c r="Q25" s="1164"/>
      <c r="R25" s="1065" cm="1">
        <f t="array" ref="R25">IF(Cdlac[[#This Row],[Quantity]]&gt;0,INDEX(HudFmrs,$P$18,Cdlac[[#This Row],[Bedrooms]]+1),"")</f>
        <v>2306</v>
      </c>
      <c r="S25" s="1065">
        <f>IF(Cdlac[[#This Row],[Quantity]]&gt;0,MAX(0,Cdlac[[#This Row],[Fair Market Rent]]-IF(AND($G$37,$G$38,$G$38&lt;&gt;"",NOT(Cdlac[[#This Row],[Federal]]),Cdlac[[#This Row],[Preservation Rent]]&lt;&gt;""),Cdlac[[#This Row],[Preservation Rent]],Cdlac[[#This Row],[Restricted Rent]])),"")</f>
        <v>1551.2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24</v>
      </c>
      <c r="F26" s="1075">
        <f>SUM(E26:E28)-SUM(F27:F28)</f>
        <v>25</v>
      </c>
      <c r="G26" s="1072">
        <f>D26*F26</f>
        <v>31.25</v>
      </c>
      <c r="H26" s="1074"/>
      <c r="I26" s="1074"/>
      <c r="L26" s="1044">
        <f>IFERROR(MIN(4,MATCH(Application!B724,UnitSizes,0)-1),"")</f>
        <v>3</v>
      </c>
      <c r="M26" s="1065">
        <f>Application!G724</f>
        <v>6</v>
      </c>
      <c r="N26" s="1071">
        <f>Application!AC724</f>
        <v>0.3</v>
      </c>
      <c r="O26" s="1071">
        <f>IF(Cdlac[[#This Row],[Quantity]]&gt;0,IF(Cdlac[[#This Row],[Federal]],30%,IF(AND(OR(NOT($G$38),$G$38=""),$G$43),40%,Cdlac[[#This Row],[iAMI]])),"")</f>
        <v>0.3</v>
      </c>
      <c r="P26" s="1065" cm="1">
        <f t="array" ref="P26">IF(Cdlac[[#This Row],[Quantity]]&gt;0,INDEX(TcacRents,$P$18,Cdlac[[#This Row],[Bedrooms]]+1)*Cdlac[[#This Row],[AMI]],"")</f>
        <v>873</v>
      </c>
      <c r="Q26" s="1164"/>
      <c r="R26" s="1065" cm="1">
        <f t="array" ref="R26">IF(Cdlac[[#This Row],[Quantity]]&gt;0,INDEX(HudFmrs,$P$18,Cdlac[[#This Row],[Bedrooms]]+1),"")</f>
        <v>3079</v>
      </c>
      <c r="S26" s="1065">
        <f>IF(Cdlac[[#This Row],[Quantity]]&gt;0,MAX(0,Cdlac[[#This Row],[Fair Market Rent]]-IF(AND($G$37,$G$38,$G$38&lt;&gt;"",NOT(Cdlac[[#This Row],[Federal]]),Cdlac[[#This Row],[Preservation Rent]]&lt;&gt;""),Cdlac[[#This Row],[Preservation Rent]],Cdlac[[#This Row],[Restricted Rent]])),"")</f>
        <v>2206</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15</v>
      </c>
      <c r="F27" s="1075">
        <f>MIN(E27,ROUNDDOWN(E29*30%,0))</f>
        <v>15</v>
      </c>
      <c r="G27" s="1072">
        <f>D27*F27</f>
        <v>22.5</v>
      </c>
      <c r="H27" s="1074"/>
      <c r="I27" s="1074"/>
      <c r="L27" s="1044">
        <f>IFERROR(MIN(4,MATCH(Application!B725,UnitSizes,0)-1),"")</f>
        <v>3</v>
      </c>
      <c r="M27" s="1065">
        <f>Application!G725</f>
        <v>4</v>
      </c>
      <c r="N27" s="1071">
        <f>Application!AC725</f>
        <v>0.4</v>
      </c>
      <c r="O27" s="1071">
        <f>IF(Cdlac[[#This Row],[Quantity]]&gt;0,IF(Cdlac[[#This Row],[Federal]],30%,IF(AND(OR(NOT($G$38),$G$38=""),$G$43),40%,Cdlac[[#This Row],[iAMI]])),"")</f>
        <v>0.3</v>
      </c>
      <c r="P27" s="1065" cm="1">
        <f t="array" ref="P27">IF(Cdlac[[#This Row],[Quantity]]&gt;0,INDEX(TcacRents,$P$18,Cdlac[[#This Row],[Bedrooms]]+1)*Cdlac[[#This Row],[AMI]],"")</f>
        <v>873</v>
      </c>
      <c r="Q27" s="1164"/>
      <c r="R27" s="1065" cm="1">
        <f t="array" ref="R27">IF(Cdlac[[#This Row],[Quantity]]&gt;0,INDEX(HudFmrs,$P$18,Cdlac[[#This Row],[Bedrooms]]+1),"")</f>
        <v>3079</v>
      </c>
      <c r="S27" s="1065">
        <f>IF(Cdlac[[#This Row],[Quantity]]&gt;0,MAX(0,Cdlac[[#This Row],[Fair Market Rent]]-IF(AND($G$37,$G$38,$G$38&lt;&gt;"",NOT(Cdlac[[#This Row],[Federal]]),Cdlac[[#This Row],[Preservation Rent]]&lt;&gt;""),Cdlac[[#This Row],[Preservation Rent]],Cdlac[[#This Row],[Restricted Rent]])),"")</f>
        <v>2206</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8</v>
      </c>
      <c r="F28" s="1086">
        <f>MIN(E28,ROUNDDOWN(E29*10%,0))</f>
        <v>7</v>
      </c>
      <c r="G28" s="1088">
        <f>D28*F28</f>
        <v>12.25</v>
      </c>
      <c r="H28" s="1074"/>
      <c r="I28" s="1074"/>
      <c r="L28" s="1044">
        <f>IFERROR(MIN(4,MATCH(Application!B726,UnitSizes,0)-1),"")</f>
        <v>3</v>
      </c>
      <c r="M28" s="1065">
        <f>Application!G726</f>
        <v>5</v>
      </c>
      <c r="N28" s="1071">
        <f>Application!AC726</f>
        <v>0.5</v>
      </c>
      <c r="O28" s="1071">
        <f>IF(Cdlac[[#This Row],[Quantity]]&gt;0,IF(Cdlac[[#This Row],[Federal]],30%,IF(AND(OR(NOT($G$38),$G$38=""),$G$43),40%,Cdlac[[#This Row],[iAMI]])),"")</f>
        <v>0.3</v>
      </c>
      <c r="P28" s="1065" cm="1">
        <f t="array" ref="P28">IF(Cdlac[[#This Row],[Quantity]]&gt;0,INDEX(TcacRents,$P$18,Cdlac[[#This Row],[Bedrooms]]+1)*Cdlac[[#This Row],[AMI]],"")</f>
        <v>873</v>
      </c>
      <c r="Q28" s="1164"/>
      <c r="R28" s="1065" cm="1">
        <f t="array" ref="R28">IF(Cdlac[[#This Row],[Quantity]]&gt;0,INDEX(HudFmrs,$P$18,Cdlac[[#This Row],[Bedrooms]]+1),"")</f>
        <v>3079</v>
      </c>
      <c r="S28" s="1065">
        <f>IF(Cdlac[[#This Row],[Quantity]]&gt;0,MAX(0,Cdlac[[#This Row],[Fair Market Rent]]-IF(AND($G$37,$G$38,$G$38&lt;&gt;"",NOT(Cdlac[[#This Row],[Federal]]),Cdlac[[#This Row],[Preservation Rent]]&lt;&gt;""),Cdlac[[#This Row],[Preservation Rent]],Cdlac[[#This Row],[Restricted Rent]])),"")</f>
        <v>2206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53" t="s">
        <v>1586</v>
      </c>
      <c r="D29" s="2654"/>
      <c r="E29" s="1089">
        <f>SUM(E24:E28)</f>
        <v>79</v>
      </c>
      <c r="F29" s="1089">
        <f>SUM(F24:F28)</f>
        <v>79</v>
      </c>
      <c r="G29" s="1090">
        <f>SUMPRODUCT(D24:D28,F24:F28)</f>
        <v>98</v>
      </c>
      <c r="H29" s="1074"/>
      <c r="I29" s="1074"/>
      <c r="L29" s="1044">
        <f>IFERROR(MIN(4,MATCH(Application!B727,UnitSizes,0)-1),"")</f>
        <v>4</v>
      </c>
      <c r="M29" s="1065">
        <f>Application!G727</f>
        <v>2</v>
      </c>
      <c r="N29" s="1071">
        <f>Application!AC727</f>
        <v>0.3</v>
      </c>
      <c r="O29" s="1071">
        <f>IF(Cdlac[[#This Row],[Quantity]]&gt;0,IF(Cdlac[[#This Row],[Federal]],30%,IF(AND(OR(NOT($G$38),$G$38=""),$G$43),40%,Cdlac[[#This Row],[iAMI]])),"")</f>
        <v>0.3</v>
      </c>
      <c r="P29" s="1065" cm="1">
        <f t="array" ref="P29">IF(Cdlac[[#This Row],[Quantity]]&gt;0,INDEX(TcacRents,$P$18,Cdlac[[#This Row],[Bedrooms]]+1)*Cdlac[[#This Row],[AMI]],"")</f>
        <v>973.19999999999993</v>
      </c>
      <c r="Q29" s="1164"/>
      <c r="R29" s="1065" cm="1">
        <f t="array" ref="R29">IF(Cdlac[[#This Row],[Quantity]]&gt;0,INDEX(HudFmrs,$P$18,Cdlac[[#This Row],[Bedrooms]]+1),"")</f>
        <v>3745</v>
      </c>
      <c r="S29" s="1065">
        <f>IF(Cdlac[[#This Row],[Quantity]]&gt;0,MAX(0,Cdlac[[#This Row],[Fair Market Rent]]-IF(AND($G$37,$G$38,$G$38&lt;&gt;"",NOT(Cdlac[[#This Row],[Federal]]),Cdlac[[#This Row],[Preservation Rent]]&lt;&gt;""),Cdlac[[#This Row],[Preservation Rent]],Cdlac[[#This Row],[Restricted Rent]])),"")</f>
        <v>2771.8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1</v>
      </c>
    </row>
    <row r="30" spans="1:21" ht="15" customHeight="1">
      <c r="A30" s="1074"/>
      <c r="C30" s="1074"/>
      <c r="D30" s="1074"/>
      <c r="E30" s="1074"/>
      <c r="F30" s="1074"/>
      <c r="G30" s="1074"/>
      <c r="H30" s="1074"/>
      <c r="I30" s="1074"/>
      <c r="L30" s="1044">
        <f>IFERROR(MIN(4,MATCH(Application!B728,UnitSizes,0)-1),"")</f>
        <v>4</v>
      </c>
      <c r="M30" s="1065">
        <f>Application!G728</f>
        <v>4</v>
      </c>
      <c r="N30" s="1071">
        <f>Application!AC728</f>
        <v>0.4</v>
      </c>
      <c r="O30" s="1071">
        <f>IF(Cdlac[[#This Row],[Quantity]]&gt;0,IF(Cdlac[[#This Row],[Federal]],30%,IF(AND(OR(NOT($G$38),$G$38=""),$G$43),40%,Cdlac[[#This Row],[iAMI]])),"")</f>
        <v>0.3</v>
      </c>
      <c r="P30" s="1065" cm="1">
        <f t="array" ref="P30">IF(Cdlac[[#This Row],[Quantity]]&gt;0,INDEX(TcacRents,$P$18,Cdlac[[#This Row],[Bedrooms]]+1)*Cdlac[[#This Row],[AMI]],"")</f>
        <v>973.19999999999993</v>
      </c>
      <c r="Q30" s="1164"/>
      <c r="R30" s="1065" cm="1">
        <f t="array" ref="R30">IF(Cdlac[[#This Row],[Quantity]]&gt;0,INDEX(HudFmrs,$P$18,Cdlac[[#This Row],[Bedrooms]]+1),"")</f>
        <v>3745</v>
      </c>
      <c r="S30" s="1065">
        <f>IF(Cdlac[[#This Row],[Quantity]]&gt;0,MAX(0,Cdlac[[#This Row],[Fair Market Rent]]-IF(AND($G$37,$G$38,$G$38&lt;&gt;"",NOT(Cdlac[[#This Row],[Federal]]),Cdlac[[#This Row],[Preservation Rent]]&lt;&gt;""),Cdlac[[#This Row],[Preservation Rent]],Cdlac[[#This Row],[Restricted Rent]])),"")</f>
        <v>2771.8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1985</v>
      </c>
      <c r="G31" s="1114">
        <f>G29</f>
        <v>98</v>
      </c>
      <c r="H31" s="1074"/>
      <c r="I31" s="1074"/>
      <c r="L31" s="1044">
        <f>IFERROR(MIN(4,MATCH(Application!B729,UnitSizes,0)-1),"")</f>
        <v>4</v>
      </c>
      <c r="M31" s="1065">
        <f>Application!G729</f>
        <v>2</v>
      </c>
      <c r="N31" s="1071">
        <f>Application!AC729</f>
        <v>0.5</v>
      </c>
      <c r="O31" s="1071">
        <f>IF(Cdlac[[#This Row],[Quantity]]&gt;0,IF(Cdlac[[#This Row],[Federal]],30%,IF(AND(OR(NOT($G$38),$G$38=""),$G$43),40%,Cdlac[[#This Row],[iAMI]])),"")</f>
        <v>0.3</v>
      </c>
      <c r="P31" s="1065" cm="1">
        <f t="array" ref="P31">IF(Cdlac[[#This Row],[Quantity]]&gt;0,INDEX(TcacRents,$P$18,Cdlac[[#This Row],[Bedrooms]]+1)*Cdlac[[#This Row],[AMI]],"")</f>
        <v>973.19999999999993</v>
      </c>
      <c r="Q31" s="1164"/>
      <c r="R31" s="1065" cm="1">
        <f t="array" ref="R31">IF(Cdlac[[#This Row],[Quantity]]&gt;0,INDEX(HudFmrs,$P$18,Cdlac[[#This Row],[Bedrooms]]+1),"")</f>
        <v>3745</v>
      </c>
      <c r="S31" s="1065">
        <f>IF(Cdlac[[#This Row],[Quantity]]&gt;0,MAX(0,Cdlac[[#This Row],[Fair Market Rent]]-IF(AND($G$37,$G$38,$G$38&lt;&gt;"",NOT(Cdlac[[#This Row],[Federal]]),Cdlac[[#This Row],[Preservation Rent]]&lt;&gt;""),Cdlac[[#This Row],[Preservation Rent]],Cdlac[[#This Row],[Restricted Rent]])),"")</f>
        <v>2771.8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1</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4900000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131616.4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23690952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21</v>
      </c>
    </row>
    <row r="61" spans="2:21" ht="15" customHeight="1">
      <c r="E61" s="1117" t="s">
        <v>1994</v>
      </c>
      <c r="G61" s="1079">
        <f>ROUNDDOWN(E29*50%,0)</f>
        <v>39</v>
      </c>
    </row>
    <row r="62" spans="2:21" ht="15" customHeight="1">
      <c r="E62" s="1117"/>
      <c r="G62" s="1079"/>
    </row>
    <row r="63" spans="2:21" ht="15" customHeight="1">
      <c r="E63" s="1117" t="s">
        <v>1954</v>
      </c>
      <c r="G63" s="1114">
        <f>MIN(G60:G61)</f>
        <v>21</v>
      </c>
    </row>
    <row r="64" spans="2:21" ht="15" customHeight="1">
      <c r="E64" s="1117" t="s">
        <v>1944</v>
      </c>
      <c r="F64" s="1113" t="s">
        <v>1992</v>
      </c>
      <c r="G64" s="1124">
        <v>20000</v>
      </c>
    </row>
    <row r="65" spans="2:14" ht="15" customHeight="1">
      <c r="E65" s="1118" t="s">
        <v>1976</v>
      </c>
      <c r="F65" s="1046"/>
      <c r="G65" s="1123">
        <f>G63*G64</f>
        <v>420000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row>
    <row r="72" spans="2:14" ht="15" customHeight="1">
      <c r="C72" s="1077" t="s">
        <v>1968</v>
      </c>
      <c r="G72" s="1044" t="str">
        <f>Application!T193</f>
        <v>Low Resource</v>
      </c>
      <c r="L72" s="2664" t="s">
        <v>1969</v>
      </c>
      <c r="M72" s="2665"/>
      <c r="N72" s="1131">
        <v>30000</v>
      </c>
    </row>
    <row r="73" spans="2:14" ht="15" customHeight="1">
      <c r="C73" s="2666" t="s">
        <v>2261</v>
      </c>
      <c r="D73" s="2666"/>
      <c r="E73" s="2666"/>
      <c r="F73" s="2666"/>
      <c r="G73" s="1043"/>
      <c r="L73" s="2675" t="s">
        <v>1937</v>
      </c>
      <c r="M73" s="2676"/>
      <c r="N73" s="1132">
        <v>20000</v>
      </c>
    </row>
    <row r="74" spans="2:14" ht="15" customHeight="1" thickBot="1">
      <c r="C74" s="2666"/>
      <c r="D74" s="2666"/>
      <c r="E74" s="2666"/>
      <c r="F74" s="2666"/>
      <c r="L74" s="2677" t="s">
        <v>1970</v>
      </c>
      <c r="M74" s="2678"/>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98</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545</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98</v>
      </c>
    </row>
    <row r="89" spans="2:9" ht="15" customHeight="1">
      <c r="E89" s="1084" t="s">
        <v>1944</v>
      </c>
      <c r="F89" s="1113" t="s">
        <v>1992</v>
      </c>
      <c r="G89" s="1050">
        <v>20000</v>
      </c>
    </row>
    <row r="90" spans="2:9" ht="15" customHeight="1">
      <c r="E90" s="1118" t="s">
        <v>2270</v>
      </c>
      <c r="F90" s="1046"/>
      <c r="G90" s="1123">
        <f>G86*G89*G88</f>
        <v>1960000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98</v>
      </c>
    </row>
    <row r="97" spans="2:14" ht="15" customHeight="1">
      <c r="E97" s="1118" t="s">
        <v>1961</v>
      </c>
      <c r="F97" s="1046"/>
      <c r="G97" s="1123">
        <f>G94*G95*G96</f>
        <v>1568000</v>
      </c>
      <c r="L97" s="1127" t="str">
        <f>'Points System'!H638</f>
        <v>N/A</v>
      </c>
      <c r="M97" s="2683" t="s">
        <v>1405</v>
      </c>
      <c r="N97" s="2684"/>
    </row>
    <row r="98" spans="2:14" ht="15" customHeight="1">
      <c r="C98" s="1077"/>
      <c r="G98" s="1114"/>
      <c r="L98" s="1128" t="str">
        <f>'Points System'!H650</f>
        <v>N/A</v>
      </c>
      <c r="M98" s="2679" t="s">
        <v>1956</v>
      </c>
      <c r="N98" s="2680"/>
    </row>
    <row r="99" spans="2:14" ht="15" customHeight="1">
      <c r="E99" s="1084" t="s">
        <v>1997</v>
      </c>
      <c r="G99" s="1126">
        <f>COUNTIFS(L97:L104,"(i)")</f>
        <v>1</v>
      </c>
      <c r="L99" s="1128" t="str">
        <f>'Points System'!H685</f>
        <v>(v)</v>
      </c>
      <c r="M99" s="2679" t="s">
        <v>1957</v>
      </c>
      <c r="N99" s="2680"/>
    </row>
    <row r="100" spans="2:14" ht="15" customHeight="1">
      <c r="E100" s="1084" t="s">
        <v>1944</v>
      </c>
      <c r="F100" s="1113" t="s">
        <v>1992</v>
      </c>
      <c r="G100" s="1124">
        <v>4000</v>
      </c>
      <c r="L100" s="1128" t="str">
        <f>IF(OR('Points System'!H709="(ii)",'Points System'!H709="(i)"),"(i)","N/A")</f>
        <v>(i)</v>
      </c>
      <c r="M100" s="2679" t="s">
        <v>1958</v>
      </c>
      <c r="N100" s="2680"/>
    </row>
    <row r="101" spans="2:14" ht="15" customHeight="1">
      <c r="E101" s="1118" t="s">
        <v>1962</v>
      </c>
      <c r="F101" s="1046"/>
      <c r="G101" s="1123">
        <f>G96*G99*G100</f>
        <v>392000</v>
      </c>
      <c r="L101" s="1129" t="str">
        <f>'Points System'!H723</f>
        <v>N/A</v>
      </c>
      <c r="M101" s="2679" t="s">
        <v>1431</v>
      </c>
      <c r="N101" s="2680"/>
    </row>
    <row r="102" spans="2:14" ht="15" customHeight="1">
      <c r="L102" s="1128" t="str">
        <f>'Points System'!H735</f>
        <v>N/A</v>
      </c>
      <c r="M102" s="2679" t="s">
        <v>1959</v>
      </c>
      <c r="N102" s="2680"/>
    </row>
    <row r="103" spans="2:14" ht="15" customHeight="1">
      <c r="C103" s="1080" t="s">
        <v>1964</v>
      </c>
      <c r="L103" s="1128" t="str">
        <f>'Points System'!H751</f>
        <v>N/A</v>
      </c>
      <c r="M103" s="2679" t="s">
        <v>1960</v>
      </c>
      <c r="N103" s="2680"/>
    </row>
    <row r="104" spans="2:14" ht="15" customHeight="1" thickBot="1">
      <c r="C104" s="1077" t="s">
        <v>1965</v>
      </c>
      <c r="G104" s="1043"/>
      <c r="L104" s="1130" t="str">
        <f>'Points System'!H763</f>
        <v>N/A</v>
      </c>
      <c r="M104" s="2681" t="s">
        <v>1434</v>
      </c>
      <c r="N104" s="2682"/>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98</v>
      </c>
    </row>
    <row r="112" spans="2:14" ht="15" customHeight="1">
      <c r="E112" s="1084" t="s">
        <v>1944</v>
      </c>
      <c r="F112" s="1113" t="s">
        <v>1992</v>
      </c>
      <c r="G112" s="1124">
        <v>25000</v>
      </c>
    </row>
    <row r="113" spans="2:9" ht="15" customHeight="1">
      <c r="E113" s="1118" t="s">
        <v>1963</v>
      </c>
      <c r="F113" s="1046"/>
      <c r="G113" s="1123">
        <f>G109*G112*G96</f>
        <v>2450000</v>
      </c>
    </row>
    <row r="114" spans="2:9" ht="15" customHeight="1">
      <c r="C114" s="1077"/>
      <c r="E114" s="1077"/>
    </row>
    <row r="115" spans="2:9" ht="15" customHeight="1">
      <c r="E115" s="1118" t="s">
        <v>2271</v>
      </c>
      <c r="G115" s="1123">
        <f>G113+G101+G97</f>
        <v>4410000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2226</v>
      </c>
      <c r="D119" s="2655"/>
      <c r="E119" s="2655"/>
      <c r="F119" s="2655"/>
    </row>
    <row r="120" spans="2:9" ht="15" customHeight="1">
      <c r="C120" s="2655"/>
      <c r="D120" s="2655"/>
      <c r="E120" s="2655"/>
      <c r="F120" s="2655"/>
      <c r="G120" s="1043" t="s">
        <v>545</v>
      </c>
    </row>
    <row r="121" spans="2:9" ht="15" customHeight="1"/>
    <row r="122" spans="2:9" ht="15" customHeight="1">
      <c r="C122" s="1044" t="s">
        <v>2228</v>
      </c>
      <c r="G122" s="2657" t="s">
        <v>2698</v>
      </c>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Riverside</v>
      </c>
    </row>
    <row r="129" spans="2:9">
      <c r="E129" s="1084"/>
      <c r="G129" s="1078"/>
    </row>
    <row r="130" spans="2:9">
      <c r="E130" s="1084" t="str">
        <f>"2-Bedroom "&amp;G128&amp;" County Basis Limit"</f>
        <v>2-Bedroom Riverside County Basis Limit</v>
      </c>
      <c r="G130" s="1078">
        <f>Application!R988</f>
        <v>452000</v>
      </c>
    </row>
    <row r="131" spans="2:9">
      <c r="E131" s="1084" t="s">
        <v>2000</v>
      </c>
      <c r="G131" s="1078">
        <f>MEDIAN((Application!CU160:CU217))</f>
        <v>489600</v>
      </c>
    </row>
    <row r="132" spans="2:9">
      <c r="D132" s="1046"/>
      <c r="E132" s="1118" t="s">
        <v>2002</v>
      </c>
      <c r="F132" s="1134"/>
      <c r="G132" s="1135">
        <f>((G130-G131)/G131)*0.25</f>
        <v>-1.9199346405228759E-2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0" t="s">
        <v>2274</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2317337.7492332924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6" sqref="F16"/>
    </sheetView>
  </sheetViews>
  <sheetFormatPr defaultColWidth="9.1796875" defaultRowHeight="14" zeroHeight="1"/>
  <cols>
    <col min="1" max="2" width="15.81640625" style="304" customWidth="1"/>
    <col min="3" max="3" width="11" style="304" customWidth="1"/>
    <col min="4" max="4" width="15.81640625" style="304" customWidth="1"/>
    <col min="5" max="5" width="3.81640625" style="304" customWidth="1"/>
    <col min="6" max="7" width="15.81640625" style="304" customWidth="1"/>
    <col min="8" max="8" width="3.81640625" style="304" customWidth="1"/>
    <col min="9" max="10" width="15.81640625" style="304" customWidth="1"/>
    <col min="11" max="11" width="3.1796875" style="304" customWidth="1"/>
    <col min="12" max="17" width="15.81640625" style="304" customWidth="1"/>
    <col min="18" max="16384" width="9.179687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84.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6</v>
      </c>
      <c r="C4" s="1162" t="s">
        <v>385</v>
      </c>
      <c r="D4" s="428">
        <f>Application!O718</f>
        <v>574</v>
      </c>
      <c r="E4" s="429"/>
      <c r="F4" s="1083">
        <f>[1]budgets!$AD$10</f>
        <v>994.5</v>
      </c>
      <c r="G4" s="428">
        <f>F4*B4</f>
        <v>5967</v>
      </c>
      <c r="H4" s="429"/>
      <c r="I4" s="428">
        <f t="shared" ref="I4:I27" si="0">IF(F4=0,"",(F4-D4))</f>
        <v>420.5</v>
      </c>
      <c r="J4" s="428">
        <f t="shared" ref="J4:J27" si="1">IF(F4=0,"",(I4*B4))</f>
        <v>2523</v>
      </c>
      <c r="K4" s="204"/>
      <c r="L4" s="305"/>
    </row>
    <row r="5" spans="1:12">
      <c r="A5" s="428" t="str">
        <f>Application!B719</f>
        <v>1 Bedroom</v>
      </c>
      <c r="B5" s="1082">
        <f>Application!G719</f>
        <v>20</v>
      </c>
      <c r="C5" s="1162" t="s">
        <v>385</v>
      </c>
      <c r="D5" s="428">
        <f>Application!O719</f>
        <v>784</v>
      </c>
      <c r="E5" s="429"/>
      <c r="F5" s="1083">
        <f>F4</f>
        <v>994.5</v>
      </c>
      <c r="G5" s="428">
        <f t="shared" ref="G5:G38" si="2">F5*B5</f>
        <v>19890</v>
      </c>
      <c r="H5" s="429"/>
      <c r="I5" s="428">
        <f t="shared" si="0"/>
        <v>210.5</v>
      </c>
      <c r="J5" s="428">
        <f t="shared" si="1"/>
        <v>4210</v>
      </c>
      <c r="K5" s="204"/>
      <c r="L5" s="305"/>
    </row>
    <row r="6" spans="1:12">
      <c r="A6" s="428" t="str">
        <f>Application!B720</f>
        <v>1 Bedroom</v>
      </c>
      <c r="B6" s="1082">
        <f>Application!G720</f>
        <v>6</v>
      </c>
      <c r="C6" s="1162" t="s">
        <v>385</v>
      </c>
      <c r="D6" s="428">
        <f>Application!O720</f>
        <v>994</v>
      </c>
      <c r="E6" s="429"/>
      <c r="F6" s="1083">
        <f>F5</f>
        <v>994.5</v>
      </c>
      <c r="G6" s="428">
        <f t="shared" si="2"/>
        <v>5967</v>
      </c>
      <c r="H6" s="429"/>
      <c r="I6" s="428">
        <f t="shared" si="0"/>
        <v>0.5</v>
      </c>
      <c r="J6" s="428">
        <f t="shared" si="1"/>
        <v>3</v>
      </c>
      <c r="K6" s="204"/>
      <c r="L6" s="305"/>
    </row>
    <row r="7" spans="1:12">
      <c r="A7" s="428" t="str">
        <f>Application!B721</f>
        <v>2 Bedrooms</v>
      </c>
      <c r="B7" s="1082">
        <f>Application!G721</f>
        <v>7</v>
      </c>
      <c r="C7" s="1162" t="s">
        <v>385</v>
      </c>
      <c r="D7" s="428">
        <f>Application!O721</f>
        <v>685</v>
      </c>
      <c r="E7" s="429"/>
      <c r="F7" s="1083">
        <f>[1]budgets!$AD$14</f>
        <v>1188.28</v>
      </c>
      <c r="G7" s="428">
        <f t="shared" si="2"/>
        <v>8317.9599999999991</v>
      </c>
      <c r="H7" s="429"/>
      <c r="I7" s="428">
        <f t="shared" si="0"/>
        <v>503.28</v>
      </c>
      <c r="J7" s="428">
        <f t="shared" si="1"/>
        <v>3522.96</v>
      </c>
      <c r="K7" s="204"/>
      <c r="L7" s="305"/>
    </row>
    <row r="8" spans="1:12">
      <c r="A8" s="428" t="str">
        <f>Application!B722</f>
        <v>2 Bedrooms</v>
      </c>
      <c r="B8" s="1082">
        <f>Application!G722</f>
        <v>10</v>
      </c>
      <c r="C8" s="1162" t="s">
        <v>385</v>
      </c>
      <c r="D8" s="428">
        <f>Application!O722</f>
        <v>937</v>
      </c>
      <c r="E8" s="429"/>
      <c r="F8" s="1083">
        <f>F7</f>
        <v>1188.28</v>
      </c>
      <c r="G8" s="428">
        <f t="shared" si="2"/>
        <v>11882.8</v>
      </c>
      <c r="H8" s="429"/>
      <c r="I8" s="428">
        <f t="shared" si="0"/>
        <v>251.27999999999997</v>
      </c>
      <c r="J8" s="428">
        <f t="shared" si="1"/>
        <v>2512.7999999999997</v>
      </c>
      <c r="K8" s="204"/>
      <c r="L8" s="305"/>
    </row>
    <row r="9" spans="1:12">
      <c r="A9" s="428" t="str">
        <f>Application!B723</f>
        <v>2 Bedrooms</v>
      </c>
      <c r="B9" s="1082">
        <f>Application!G723</f>
        <v>7</v>
      </c>
      <c r="C9" s="1162" t="s">
        <v>385</v>
      </c>
      <c r="D9" s="428">
        <f>Application!O723</f>
        <v>1188.28</v>
      </c>
      <c r="E9" s="429"/>
      <c r="F9" s="1083">
        <f>F8</f>
        <v>1188.28</v>
      </c>
      <c r="G9" s="428">
        <f t="shared" si="2"/>
        <v>8317.9599999999991</v>
      </c>
      <c r="H9" s="429"/>
      <c r="I9" s="428">
        <f t="shared" si="0"/>
        <v>0</v>
      </c>
      <c r="J9" s="428">
        <f t="shared" si="1"/>
        <v>0</v>
      </c>
      <c r="K9" s="204"/>
      <c r="L9" s="305"/>
    </row>
    <row r="10" spans="1:12">
      <c r="A10" s="428" t="str">
        <f>Application!B724</f>
        <v>3 Bedrooms</v>
      </c>
      <c r="B10" s="1082">
        <f>Application!G724</f>
        <v>6</v>
      </c>
      <c r="C10" s="1162" t="s">
        <v>385</v>
      </c>
      <c r="D10" s="428">
        <f>Application!O724</f>
        <v>790.56999999999994</v>
      </c>
      <c r="E10" s="429"/>
      <c r="F10" s="1083">
        <f>[1]budgets!$AD$18</f>
        <v>1372.57</v>
      </c>
      <c r="G10" s="428">
        <f t="shared" si="2"/>
        <v>8235.42</v>
      </c>
      <c r="H10" s="429"/>
      <c r="I10" s="428">
        <f t="shared" si="0"/>
        <v>582</v>
      </c>
      <c r="J10" s="428">
        <f t="shared" si="1"/>
        <v>3492</v>
      </c>
      <c r="K10" s="204"/>
      <c r="L10" s="305"/>
    </row>
    <row r="11" spans="1:12">
      <c r="A11" s="428" t="str">
        <f>Application!B725</f>
        <v>3 Bedrooms</v>
      </c>
      <c r="B11" s="1082">
        <f>Application!G725</f>
        <v>4</v>
      </c>
      <c r="C11" s="1162" t="s">
        <v>385</v>
      </c>
      <c r="D11" s="428">
        <f>Application!O725</f>
        <v>1081.57</v>
      </c>
      <c r="E11" s="429"/>
      <c r="F11" s="1083">
        <f>F10</f>
        <v>1372.57</v>
      </c>
      <c r="G11" s="428">
        <f t="shared" si="2"/>
        <v>5490.28</v>
      </c>
      <c r="H11" s="429"/>
      <c r="I11" s="428">
        <f t="shared" si="0"/>
        <v>291</v>
      </c>
      <c r="J11" s="428">
        <f t="shared" si="1"/>
        <v>1164</v>
      </c>
      <c r="K11" s="204"/>
      <c r="L11" s="305"/>
    </row>
    <row r="12" spans="1:12">
      <c r="A12" s="428" t="str">
        <f>Application!B726</f>
        <v>3 Bedrooms</v>
      </c>
      <c r="B12" s="1082">
        <f>Application!G726</f>
        <v>5</v>
      </c>
      <c r="C12" s="1162" t="s">
        <v>385</v>
      </c>
      <c r="D12" s="428">
        <f>Application!O726</f>
        <v>1372.57</v>
      </c>
      <c r="E12" s="429"/>
      <c r="F12" s="1083">
        <f>F11</f>
        <v>1372.57</v>
      </c>
      <c r="G12" s="428">
        <f t="shared" si="2"/>
        <v>6862.8499999999995</v>
      </c>
      <c r="H12" s="429"/>
      <c r="I12" s="428">
        <f t="shared" si="0"/>
        <v>0</v>
      </c>
      <c r="J12" s="428">
        <f t="shared" si="1"/>
        <v>0</v>
      </c>
      <c r="K12" s="204"/>
      <c r="L12" s="305"/>
    </row>
    <row r="13" spans="1:12">
      <c r="A13" s="428" t="str">
        <f>Application!B727</f>
        <v>4 Bedrooms</v>
      </c>
      <c r="B13" s="1082">
        <f>Application!G727</f>
        <v>2</v>
      </c>
      <c r="C13" s="1162" t="s">
        <v>385</v>
      </c>
      <c r="D13" s="428">
        <f>Application!O727</f>
        <v>874.15</v>
      </c>
      <c r="E13" s="429"/>
      <c r="F13" s="1083">
        <f>[1]budgets!$AD$22</f>
        <v>1523.15</v>
      </c>
      <c r="G13" s="428">
        <f t="shared" si="2"/>
        <v>3046.3</v>
      </c>
      <c r="H13" s="429"/>
      <c r="I13" s="428">
        <f t="shared" si="0"/>
        <v>649.00000000000011</v>
      </c>
      <c r="J13" s="428">
        <f t="shared" si="1"/>
        <v>1298.0000000000002</v>
      </c>
      <c r="K13" s="204"/>
      <c r="L13" s="305"/>
    </row>
    <row r="14" spans="1:12">
      <c r="A14" s="428" t="str">
        <f>Application!B728</f>
        <v>4 Bedrooms</v>
      </c>
      <c r="B14" s="1082">
        <f>Application!G728</f>
        <v>4</v>
      </c>
      <c r="C14" s="1162" t="s">
        <v>385</v>
      </c>
      <c r="D14" s="428">
        <f>Application!O728</f>
        <v>1199.1500000000001</v>
      </c>
      <c r="E14" s="429"/>
      <c r="F14" s="1083">
        <f>F13</f>
        <v>1523.15</v>
      </c>
      <c r="G14" s="428">
        <f t="shared" si="2"/>
        <v>6092.6</v>
      </c>
      <c r="H14" s="429"/>
      <c r="I14" s="428">
        <f t="shared" si="0"/>
        <v>324</v>
      </c>
      <c r="J14" s="428">
        <f t="shared" si="1"/>
        <v>1296</v>
      </c>
      <c r="K14" s="204"/>
      <c r="L14" s="305"/>
    </row>
    <row r="15" spans="1:12">
      <c r="A15" s="428" t="str">
        <f>Application!B729</f>
        <v>4 Bedrooms</v>
      </c>
      <c r="B15" s="1082">
        <f>Application!G729</f>
        <v>2</v>
      </c>
      <c r="C15" s="1162" t="s">
        <v>385</v>
      </c>
      <c r="D15" s="428">
        <f>Application!O729</f>
        <v>1523.15</v>
      </c>
      <c r="E15" s="429"/>
      <c r="F15" s="1083">
        <f>F14</f>
        <v>1523.15</v>
      </c>
      <c r="G15" s="428">
        <f t="shared" si="2"/>
        <v>3046.3</v>
      </c>
      <c r="H15" s="429"/>
      <c r="I15" s="428">
        <f t="shared" si="0"/>
        <v>0</v>
      </c>
      <c r="J15" s="428">
        <f t="shared" si="1"/>
        <v>0</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73094.710000000006</v>
      </c>
      <c r="E40" s="429"/>
      <c r="F40" s="429"/>
      <c r="G40" s="432">
        <f>SUM(G4:G38)*12</f>
        <v>1117397.6400000001</v>
      </c>
      <c r="H40" s="433"/>
      <c r="I40" s="431"/>
      <c r="J40" s="432">
        <f>SUM(J4:J38)*12</f>
        <v>240261.12</v>
      </c>
      <c r="K40" s="204"/>
      <c r="L40" s="306"/>
    </row>
    <row r="41" spans="1:12">
      <c r="A41" s="430"/>
      <c r="B41" s="431"/>
      <c r="C41" s="431"/>
      <c r="D41" s="433"/>
      <c r="E41" s="429"/>
      <c r="F41" s="429"/>
      <c r="G41" s="433"/>
      <c r="H41" s="433"/>
      <c r="I41" s="431"/>
      <c r="J41" s="433"/>
      <c r="K41" s="204"/>
      <c r="L41" s="306"/>
    </row>
    <row r="42" spans="1:12">
      <c r="A42" s="304" t="s">
        <v>2256</v>
      </c>
    </row>
    <row r="43" spans="1:12">
      <c r="A43" s="2686" t="s">
        <v>2495</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2257</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I16" sqref="I16"/>
    </sheetView>
  </sheetViews>
  <sheetFormatPr defaultColWidth="0" defaultRowHeight="12.5" zeroHeight="1"/>
  <cols>
    <col min="1" max="1" width="3.81640625" customWidth="1"/>
    <col min="2" max="2" width="30.54296875" customWidth="1"/>
    <col min="3" max="3" width="9.1796875" style="214"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211" t="s">
        <v>2093</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877136.52</v>
      </c>
      <c r="G4" s="219">
        <f>E4*$C$4</f>
        <v>899064.93299999996</v>
      </c>
      <c r="I4" s="219">
        <f>G4*$C$4</f>
        <v>921541.5563249999</v>
      </c>
      <c r="K4" s="219">
        <f>I4*$C$4</f>
        <v>944580.0952331248</v>
      </c>
      <c r="M4" s="219">
        <f>K4*$C$4</f>
        <v>968194.59761395282</v>
      </c>
      <c r="O4" s="219">
        <f>M4*$C$4</f>
        <v>992399.4625543016</v>
      </c>
      <c r="Q4" s="219">
        <f>O4*$C$4</f>
        <v>1017209.449118159</v>
      </c>
      <c r="S4" s="219">
        <f>Q4*$C$4</f>
        <v>1042639.6853461129</v>
      </c>
      <c r="U4" s="219">
        <f>S4*$C$4</f>
        <v>1068705.6774797656</v>
      </c>
      <c r="W4" s="219">
        <f>U4*$C$4</f>
        <v>1095423.3194167598</v>
      </c>
      <c r="Y4" s="219">
        <f>W4*$C$4</f>
        <v>1122808.9024021786</v>
      </c>
      <c r="AA4" s="219">
        <f>Y4*$C$4</f>
        <v>1150879.124962233</v>
      </c>
      <c r="AC4" s="219">
        <f>AA4*$C$4</f>
        <v>1179651.1030862888</v>
      </c>
      <c r="AE4" s="219">
        <f>AC4*$C$4</f>
        <v>1209142.3806634459</v>
      </c>
      <c r="AG4" s="219">
        <f>AE4*$C$4</f>
        <v>1239370.940180032</v>
      </c>
    </row>
    <row r="5" spans="1:34" s="210" customFormat="1" ht="14">
      <c r="B5" s="210" t="s">
        <v>838</v>
      </c>
      <c r="C5" s="238">
        <f>IF(Application!$D$211="Special Needs",(((0.1*Application!$T$212)+(0.05*(1-Application!$T$212)))),0.05)</f>
        <v>0.05</v>
      </c>
      <c r="E5" s="221">
        <f>-E4*$C$5</f>
        <v>-43856.826000000001</v>
      </c>
      <c r="F5" s="221"/>
      <c r="G5" s="221">
        <f>-G4*$C$5</f>
        <v>-44953.246650000001</v>
      </c>
      <c r="H5" s="221"/>
      <c r="I5" s="221">
        <f>-I4*$C$5</f>
        <v>-46077.077816249999</v>
      </c>
      <c r="J5" s="221"/>
      <c r="K5" s="221">
        <f>-K4*$C$5</f>
        <v>-47229.004761656244</v>
      </c>
      <c r="L5" s="221"/>
      <c r="M5" s="221">
        <f>-M4*$C$5</f>
        <v>-48409.729880697647</v>
      </c>
      <c r="N5" s="221"/>
      <c r="O5" s="221">
        <f>-O4*$C$5</f>
        <v>-49619.973127715086</v>
      </c>
      <c r="P5" s="221"/>
      <c r="Q5" s="221">
        <f>-Q4*$C$5</f>
        <v>-50860.472455907955</v>
      </c>
      <c r="R5" s="221"/>
      <c r="S5" s="221">
        <f>-S4*$C$5</f>
        <v>-52131.984267305648</v>
      </c>
      <c r="T5" s="221"/>
      <c r="U5" s="221">
        <f>-U4*$C$5</f>
        <v>-53435.283873988286</v>
      </c>
      <c r="V5" s="221"/>
      <c r="W5" s="221">
        <f>-W4*$C$5</f>
        <v>-54771.165970837988</v>
      </c>
      <c r="X5" s="221"/>
      <c r="Y5" s="221">
        <f>-Y4*$C$5</f>
        <v>-56140.445120108932</v>
      </c>
      <c r="Z5" s="221"/>
      <c r="AA5" s="221">
        <f>-AA4*$C$5</f>
        <v>-57543.956248111652</v>
      </c>
      <c r="AB5" s="221"/>
      <c r="AC5" s="221">
        <f>-AC4*$C$5</f>
        <v>-58982.555154314439</v>
      </c>
      <c r="AD5" s="221"/>
      <c r="AE5" s="221">
        <f>-AE4*$C$5</f>
        <v>-60457.119033172297</v>
      </c>
      <c r="AF5" s="221"/>
      <c r="AG5" s="221">
        <f>-AG4*$C$5</f>
        <v>-61968.547009001602</v>
      </c>
    </row>
    <row r="6" spans="1:34" s="210" customFormat="1" ht="14">
      <c r="A6" s="210" t="s">
        <v>836</v>
      </c>
      <c r="C6" s="237">
        <v>1.0249999999999999</v>
      </c>
      <c r="E6" s="222">
        <f>Application!Z809</f>
        <v>240261.12</v>
      </c>
      <c r="F6" s="222"/>
      <c r="G6" s="222">
        <f>E6*$C$6</f>
        <v>246267.64799999999</v>
      </c>
      <c r="H6" s="222"/>
      <c r="I6" s="222">
        <f>G6*$C$6</f>
        <v>252424.33919999996</v>
      </c>
      <c r="J6" s="222"/>
      <c r="K6" s="222">
        <f>I6*$C$6</f>
        <v>258734.94767999992</v>
      </c>
      <c r="L6" s="222"/>
      <c r="M6" s="222">
        <f>K6*$C$6</f>
        <v>265203.32137199992</v>
      </c>
      <c r="N6" s="222"/>
      <c r="O6" s="222">
        <f>M6*$C$6</f>
        <v>271833.40440629987</v>
      </c>
      <c r="P6" s="222"/>
      <c r="Q6" s="222">
        <f>O6*$C$6</f>
        <v>278629.23951645737</v>
      </c>
      <c r="R6" s="222"/>
      <c r="S6" s="222">
        <f>Q6*$C$6</f>
        <v>285594.97050436877</v>
      </c>
      <c r="T6" s="222"/>
      <c r="U6" s="222">
        <f>S6*$C$6</f>
        <v>292734.84476697794</v>
      </c>
      <c r="V6" s="222"/>
      <c r="W6" s="222">
        <f>U6*$C$6</f>
        <v>300053.21588615235</v>
      </c>
      <c r="X6" s="222"/>
      <c r="Y6" s="222">
        <f>W6*$C$6</f>
        <v>307554.54628330615</v>
      </c>
      <c r="Z6" s="222"/>
      <c r="AA6" s="222">
        <f>Y6*$C$6</f>
        <v>315243.40994038875</v>
      </c>
      <c r="AB6" s="222"/>
      <c r="AC6" s="222">
        <f>AA6*$C$6</f>
        <v>323124.49518889847</v>
      </c>
      <c r="AD6" s="222"/>
      <c r="AE6" s="222">
        <f>AC6*$C$6</f>
        <v>331202.60756862088</v>
      </c>
      <c r="AF6" s="222"/>
      <c r="AG6" s="222">
        <f>AE6*$C$6</f>
        <v>339482.67275783635</v>
      </c>
    </row>
    <row r="7" spans="1:34" s="210" customFormat="1" ht="14">
      <c r="B7" s="210" t="s">
        <v>838</v>
      </c>
      <c r="C7" s="238">
        <f>IF(Application!$D$211="Special Needs",(((0.1*Application!$T$212)+(0.05*(1-Application!$T$212)))),0.05)</f>
        <v>0.05</v>
      </c>
      <c r="E7" s="221">
        <f>-E6*$C$7</f>
        <v>-12013.056</v>
      </c>
      <c r="F7" s="221"/>
      <c r="G7" s="221">
        <f>-G6*$C$7</f>
        <v>-12313.3824</v>
      </c>
      <c r="H7" s="221"/>
      <c r="I7" s="221">
        <f>-I6*$C$7</f>
        <v>-12621.216959999998</v>
      </c>
      <c r="J7" s="221"/>
      <c r="K7" s="221">
        <f>-K6*$C$7</f>
        <v>-12936.747383999997</v>
      </c>
      <c r="L7" s="221"/>
      <c r="M7" s="221">
        <f>-M6*$C$7</f>
        <v>-13260.166068599996</v>
      </c>
      <c r="N7" s="221"/>
      <c r="O7" s="221">
        <f>-O6*$C$7</f>
        <v>-13591.670220314994</v>
      </c>
      <c r="P7" s="221"/>
      <c r="Q7" s="221">
        <f>-Q6*$C$7</f>
        <v>-13931.461975822869</v>
      </c>
      <c r="R7" s="221"/>
      <c r="S7" s="221">
        <f>-S6*$C$7</f>
        <v>-14279.74852521844</v>
      </c>
      <c r="T7" s="221"/>
      <c r="U7" s="221">
        <f>-U6*$C$7</f>
        <v>-14636.742238348897</v>
      </c>
      <c r="V7" s="221"/>
      <c r="W7" s="221">
        <f>-W6*$C$7</f>
        <v>-15002.660794307618</v>
      </c>
      <c r="X7" s="221"/>
      <c r="Y7" s="221">
        <f>-Y6*$C$7</f>
        <v>-15377.727314165308</v>
      </c>
      <c r="Z7" s="221"/>
      <c r="AA7" s="221">
        <f>-AA6*$C$7</f>
        <v>-15762.170497019439</v>
      </c>
      <c r="AB7" s="221"/>
      <c r="AC7" s="221">
        <f>-AC6*$C$7</f>
        <v>-16156.224759444924</v>
      </c>
      <c r="AD7" s="221"/>
      <c r="AE7" s="221">
        <f>-AE6*$C$7</f>
        <v>-16560.130378431044</v>
      </c>
      <c r="AF7" s="221"/>
      <c r="AG7" s="221">
        <f>-AG6*$C$7</f>
        <v>-16974.133637891817</v>
      </c>
    </row>
    <row r="8" spans="1:34" s="210" customFormat="1" ht="14">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
      <c r="B9" s="210" t="s">
        <v>838</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1061527.7579999999</v>
      </c>
      <c r="G11" s="223">
        <f>SUM(G4:G10)</f>
        <v>1088065.9519499999</v>
      </c>
      <c r="I11" s="223">
        <f>SUM(I4:I10)</f>
        <v>1115267.6007487497</v>
      </c>
      <c r="K11" s="223">
        <f>SUM(K4:K10)</f>
        <v>1143149.2907674683</v>
      </c>
      <c r="M11" s="223">
        <f>SUM(M4:M10)</f>
        <v>1171728.023036655</v>
      </c>
      <c r="O11" s="223">
        <f>SUM(O4:O10)</f>
        <v>1201021.2236125714</v>
      </c>
      <c r="Q11" s="223">
        <f>SUM(Q4:Q10)</f>
        <v>1231046.7542028856</v>
      </c>
      <c r="S11" s="223">
        <f>SUM(S4:S10)</f>
        <v>1261822.9230579578</v>
      </c>
      <c r="U11" s="223">
        <f>SUM(U4:U10)</f>
        <v>1293368.4961344064</v>
      </c>
      <c r="W11" s="223">
        <f>SUM(W4:W10)</f>
        <v>1325702.7085377665</v>
      </c>
      <c r="Y11" s="223">
        <f>SUM(Y4:Y10)</f>
        <v>1358845.2762512104</v>
      </c>
      <c r="AA11" s="223">
        <f>SUM(AA4:AA10)</f>
        <v>1392816.4081574907</v>
      </c>
      <c r="AC11" s="223">
        <f>SUM(AC4:AC10)</f>
        <v>1427636.8183614279</v>
      </c>
      <c r="AE11" s="223">
        <f>SUM(AE4:AE10)</f>
        <v>1463327.7388204637</v>
      </c>
      <c r="AG11" s="223">
        <f>SUM(AG4:AG10)</f>
        <v>1499910.932290975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50400</v>
      </c>
      <c r="G15" s="219">
        <f>E15*$C$14</f>
        <v>52163.999999999993</v>
      </c>
      <c r="I15" s="219">
        <f>G15*$C$14</f>
        <v>53989.739999999991</v>
      </c>
      <c r="K15" s="219">
        <f>I15*$C$14</f>
        <v>55879.380899999989</v>
      </c>
      <c r="M15" s="219">
        <f>K15*$C$14</f>
        <v>57835.159231499987</v>
      </c>
      <c r="O15" s="219">
        <f>M15*$C$14</f>
        <v>59859.389804602484</v>
      </c>
      <c r="Q15" s="219">
        <f>O15*$C$14</f>
        <v>61954.468447763567</v>
      </c>
      <c r="S15" s="219">
        <f>Q15*$C$14</f>
        <v>64122.874843435289</v>
      </c>
      <c r="U15" s="219">
        <f>S15*$C$14</f>
        <v>66367.175462955522</v>
      </c>
      <c r="W15" s="219">
        <f>U15*$C$14</f>
        <v>68690.026604158964</v>
      </c>
      <c r="Y15" s="219">
        <f>W15*$C$14</f>
        <v>71094.177535304523</v>
      </c>
      <c r="AA15" s="219">
        <f>Y15*$C$14</f>
        <v>73582.473749040175</v>
      </c>
      <c r="AC15" s="219">
        <f>AA15*$C$14</f>
        <v>76157.860330256575</v>
      </c>
      <c r="AE15" s="219">
        <f>AC15*$C$14</f>
        <v>78823.385441815553</v>
      </c>
      <c r="AG15" s="219">
        <f>AE15*$C$14</f>
        <v>81582.203932279095</v>
      </c>
    </row>
    <row r="16" spans="1:34" s="210" customFormat="1" ht="14">
      <c r="A16" s="210" t="s">
        <v>344</v>
      </c>
      <c r="C16" s="233"/>
      <c r="E16" s="222">
        <f>Application!W849</f>
        <v>48000</v>
      </c>
      <c r="F16" s="222"/>
      <c r="G16" s="222">
        <f t="shared" ref="G16:AG21" si="0">E16*$C$14</f>
        <v>49679.999999999993</v>
      </c>
      <c r="H16" s="222"/>
      <c r="I16" s="222">
        <f t="shared" si="0"/>
        <v>51418.799999999988</v>
      </c>
      <c r="J16" s="222"/>
      <c r="K16" s="222">
        <f t="shared" si="0"/>
        <v>53218.457999999984</v>
      </c>
      <c r="L16" s="222"/>
      <c r="M16" s="222">
        <f t="shared" si="0"/>
        <v>55081.10402999998</v>
      </c>
      <c r="N16" s="222"/>
      <c r="O16" s="222">
        <f t="shared" si="0"/>
        <v>57008.942671049976</v>
      </c>
      <c r="P16" s="222"/>
      <c r="Q16" s="222">
        <f t="shared" si="0"/>
        <v>59004.255664536722</v>
      </c>
      <c r="R16" s="222"/>
      <c r="S16" s="222">
        <f t="shared" si="0"/>
        <v>61069.404612795501</v>
      </c>
      <c r="T16" s="222"/>
      <c r="U16" s="222">
        <f t="shared" si="0"/>
        <v>63206.833774243336</v>
      </c>
      <c r="V16" s="222"/>
      <c r="W16" s="222">
        <f t="shared" si="0"/>
        <v>65419.07295634185</v>
      </c>
      <c r="X16" s="222"/>
      <c r="Y16" s="222">
        <f t="shared" si="0"/>
        <v>67708.740509813812</v>
      </c>
      <c r="Z16" s="222"/>
      <c r="AA16" s="222">
        <f t="shared" si="0"/>
        <v>70078.546427657289</v>
      </c>
      <c r="AB16" s="222"/>
      <c r="AC16" s="222">
        <f t="shared" si="0"/>
        <v>72531.295552625292</v>
      </c>
      <c r="AD16" s="222"/>
      <c r="AE16" s="222">
        <f t="shared" si="0"/>
        <v>75069.890896967176</v>
      </c>
      <c r="AF16" s="222"/>
      <c r="AG16" s="222">
        <f t="shared" si="0"/>
        <v>77697.337078361015</v>
      </c>
    </row>
    <row r="17" spans="1:33" s="210" customFormat="1" ht="14">
      <c r="A17" s="210" t="s">
        <v>561</v>
      </c>
      <c r="C17" s="233"/>
      <c r="E17" s="222">
        <f>Application!W855</f>
        <v>68540</v>
      </c>
      <c r="F17" s="222"/>
      <c r="G17" s="222">
        <f t="shared" si="0"/>
        <v>70938.899999999994</v>
      </c>
      <c r="H17" s="222"/>
      <c r="I17" s="222">
        <f t="shared" si="0"/>
        <v>73421.761499999993</v>
      </c>
      <c r="J17" s="222"/>
      <c r="K17" s="222">
        <f t="shared" si="0"/>
        <v>75991.523152499984</v>
      </c>
      <c r="L17" s="222"/>
      <c r="M17" s="222">
        <f t="shared" si="0"/>
        <v>78651.226462837483</v>
      </c>
      <c r="N17" s="222"/>
      <c r="O17" s="222">
        <f t="shared" si="0"/>
        <v>81404.019389036795</v>
      </c>
      <c r="P17" s="222"/>
      <c r="Q17" s="222">
        <f t="shared" si="0"/>
        <v>84253.16006765308</v>
      </c>
      <c r="R17" s="222"/>
      <c r="S17" s="222">
        <f t="shared" si="0"/>
        <v>87202.020670020924</v>
      </c>
      <c r="T17" s="222"/>
      <c r="U17" s="222">
        <f t="shared" si="0"/>
        <v>90254.091393471652</v>
      </c>
      <c r="V17" s="222"/>
      <c r="W17" s="222">
        <f t="shared" si="0"/>
        <v>93412.984592243156</v>
      </c>
      <c r="X17" s="222"/>
      <c r="Y17" s="222">
        <f t="shared" si="0"/>
        <v>96682.439052971662</v>
      </c>
      <c r="Z17" s="222"/>
      <c r="AA17" s="222">
        <f t="shared" si="0"/>
        <v>100066.32441982566</v>
      </c>
      <c r="AB17" s="222"/>
      <c r="AC17" s="222">
        <f t="shared" si="0"/>
        <v>103568.64577451955</v>
      </c>
      <c r="AD17" s="222"/>
      <c r="AE17" s="222">
        <f t="shared" si="0"/>
        <v>107193.54837662773</v>
      </c>
      <c r="AF17" s="222"/>
      <c r="AG17" s="222">
        <f t="shared" si="0"/>
        <v>110945.32256980969</v>
      </c>
    </row>
    <row r="18" spans="1:33" s="210" customFormat="1" ht="14">
      <c r="A18" s="210" t="s">
        <v>842</v>
      </c>
      <c r="C18" s="233"/>
      <c r="E18" s="222">
        <f>Application!W862</f>
        <v>123420</v>
      </c>
      <c r="F18" s="222"/>
      <c r="G18" s="222">
        <f t="shared" si="0"/>
        <v>127739.7</v>
      </c>
      <c r="H18" s="222"/>
      <c r="I18" s="222">
        <f t="shared" si="0"/>
        <v>132210.58949999997</v>
      </c>
      <c r="J18" s="222"/>
      <c r="K18" s="222">
        <f t="shared" si="0"/>
        <v>136837.96013249995</v>
      </c>
      <c r="L18" s="222"/>
      <c r="M18" s="222">
        <f t="shared" si="0"/>
        <v>141627.28873713745</v>
      </c>
      <c r="N18" s="222"/>
      <c r="O18" s="222">
        <f t="shared" si="0"/>
        <v>146584.24384293726</v>
      </c>
      <c r="P18" s="222"/>
      <c r="Q18" s="222">
        <f t="shared" si="0"/>
        <v>151714.69237744005</v>
      </c>
      <c r="R18" s="222"/>
      <c r="S18" s="222">
        <f t="shared" si="0"/>
        <v>157024.70661065044</v>
      </c>
      <c r="T18" s="222"/>
      <c r="U18" s="222">
        <f t="shared" si="0"/>
        <v>162520.57134202318</v>
      </c>
      <c r="V18" s="222"/>
      <c r="W18" s="222">
        <f t="shared" si="0"/>
        <v>168208.79133899396</v>
      </c>
      <c r="X18" s="222"/>
      <c r="Y18" s="222">
        <f t="shared" si="0"/>
        <v>174096.09903585873</v>
      </c>
      <c r="Z18" s="222"/>
      <c r="AA18" s="222">
        <f t="shared" si="0"/>
        <v>180189.46250211378</v>
      </c>
      <c r="AB18" s="222"/>
      <c r="AC18" s="222">
        <f t="shared" si="0"/>
        <v>186496.09368968775</v>
      </c>
      <c r="AD18" s="222"/>
      <c r="AE18" s="222">
        <f t="shared" si="0"/>
        <v>193023.45696882682</v>
      </c>
      <c r="AF18" s="222"/>
      <c r="AG18" s="222">
        <f t="shared" si="0"/>
        <v>199779.27796273574</v>
      </c>
    </row>
    <row r="19" spans="1:33" s="210" customFormat="1" ht="14">
      <c r="A19" s="210" t="s">
        <v>155</v>
      </c>
      <c r="C19" s="233"/>
      <c r="E19" s="222">
        <f>Application!W863</f>
        <v>43200</v>
      </c>
      <c r="F19" s="222"/>
      <c r="G19" s="222">
        <f t="shared" si="0"/>
        <v>44712</v>
      </c>
      <c r="H19" s="222"/>
      <c r="I19" s="222">
        <f t="shared" si="0"/>
        <v>46276.92</v>
      </c>
      <c r="J19" s="222"/>
      <c r="K19" s="222">
        <f t="shared" si="0"/>
        <v>47896.612199999996</v>
      </c>
      <c r="L19" s="222"/>
      <c r="M19" s="222">
        <f t="shared" si="0"/>
        <v>49572.993626999989</v>
      </c>
      <c r="N19" s="222"/>
      <c r="O19" s="222">
        <f t="shared" si="0"/>
        <v>51308.048403944988</v>
      </c>
      <c r="P19" s="222"/>
      <c r="Q19" s="222">
        <f t="shared" si="0"/>
        <v>53103.830098083061</v>
      </c>
      <c r="R19" s="222"/>
      <c r="S19" s="222">
        <f t="shared" si="0"/>
        <v>54962.464151515967</v>
      </c>
      <c r="T19" s="222"/>
      <c r="U19" s="222">
        <f t="shared" si="0"/>
        <v>56886.150396819023</v>
      </c>
      <c r="V19" s="222"/>
      <c r="W19" s="222">
        <f t="shared" si="0"/>
        <v>58877.165660707687</v>
      </c>
      <c r="X19" s="222"/>
      <c r="Y19" s="222">
        <f t="shared" si="0"/>
        <v>60937.866458832454</v>
      </c>
      <c r="Z19" s="222"/>
      <c r="AA19" s="222">
        <f t="shared" si="0"/>
        <v>63070.691784891584</v>
      </c>
      <c r="AB19" s="222"/>
      <c r="AC19" s="222">
        <f t="shared" si="0"/>
        <v>65278.165997362783</v>
      </c>
      <c r="AD19" s="222"/>
      <c r="AE19" s="222">
        <f t="shared" si="0"/>
        <v>67562.901807270478</v>
      </c>
      <c r="AF19" s="222"/>
      <c r="AG19" s="222">
        <f t="shared" si="0"/>
        <v>69927.603370524943</v>
      </c>
    </row>
    <row r="20" spans="1:33" s="210" customFormat="1" ht="14">
      <c r="A20" s="210" t="s">
        <v>390</v>
      </c>
      <c r="C20" s="233"/>
      <c r="E20" s="222">
        <f>Application!W872</f>
        <v>117040</v>
      </c>
      <c r="F20" s="222"/>
      <c r="G20" s="222">
        <f t="shared" si="0"/>
        <v>121136.4</v>
      </c>
      <c r="H20" s="222"/>
      <c r="I20" s="222">
        <f t="shared" si="0"/>
        <v>125376.17399999998</v>
      </c>
      <c r="J20" s="222"/>
      <c r="K20" s="222">
        <f t="shared" si="0"/>
        <v>129764.34008999997</v>
      </c>
      <c r="L20" s="222"/>
      <c r="M20" s="222">
        <f t="shared" si="0"/>
        <v>134306.09199314995</v>
      </c>
      <c r="N20" s="222"/>
      <c r="O20" s="222">
        <f t="shared" si="0"/>
        <v>139006.8052129102</v>
      </c>
      <c r="P20" s="222"/>
      <c r="Q20" s="222">
        <f t="shared" si="0"/>
        <v>143872.04339536204</v>
      </c>
      <c r="R20" s="222"/>
      <c r="S20" s="222">
        <f t="shared" si="0"/>
        <v>148907.5649141997</v>
      </c>
      <c r="T20" s="222"/>
      <c r="U20" s="222">
        <f t="shared" si="0"/>
        <v>154119.32968619667</v>
      </c>
      <c r="V20" s="222"/>
      <c r="W20" s="222">
        <f t="shared" si="0"/>
        <v>159513.50622521352</v>
      </c>
      <c r="X20" s="222"/>
      <c r="Y20" s="222">
        <f t="shared" si="0"/>
        <v>165096.47894309598</v>
      </c>
      <c r="Z20" s="222"/>
      <c r="AA20" s="222">
        <f t="shared" si="0"/>
        <v>170874.85570610434</v>
      </c>
      <c r="AB20" s="222"/>
      <c r="AC20" s="222">
        <f t="shared" si="0"/>
        <v>176855.47565581798</v>
      </c>
      <c r="AD20" s="222"/>
      <c r="AE20" s="222">
        <f t="shared" si="0"/>
        <v>183045.4173037716</v>
      </c>
      <c r="AF20" s="222"/>
      <c r="AG20" s="222">
        <f t="shared" si="0"/>
        <v>189452.0069094036</v>
      </c>
    </row>
    <row r="21" spans="1:33" s="210" customFormat="1" ht="14">
      <c r="A21" s="226" t="s">
        <v>962</v>
      </c>
      <c r="B21" s="226"/>
      <c r="C21" s="233"/>
      <c r="E21" s="232">
        <f>Application!W879</f>
        <v>3400</v>
      </c>
      <c r="F21" s="222"/>
      <c r="G21" s="232">
        <f t="shared" si="0"/>
        <v>3518.9999999999995</v>
      </c>
      <c r="H21" s="222"/>
      <c r="I21" s="232">
        <f t="shared" si="0"/>
        <v>3642.1649999999991</v>
      </c>
      <c r="J21" s="222"/>
      <c r="K21" s="232">
        <f t="shared" si="0"/>
        <v>3769.6407749999989</v>
      </c>
      <c r="L21" s="222"/>
      <c r="M21" s="232">
        <f t="shared" si="0"/>
        <v>3901.5782021249988</v>
      </c>
      <c r="N21" s="222"/>
      <c r="O21" s="232">
        <f t="shared" si="0"/>
        <v>4038.1334391993737</v>
      </c>
      <c r="P21" s="222"/>
      <c r="Q21" s="232">
        <f t="shared" si="0"/>
        <v>4179.4681095713513</v>
      </c>
      <c r="R21" s="222"/>
      <c r="S21" s="232">
        <f t="shared" si="0"/>
        <v>4325.7494934063479</v>
      </c>
      <c r="T21" s="222"/>
      <c r="U21" s="232">
        <f t="shared" si="0"/>
        <v>4477.1507256755694</v>
      </c>
      <c r="V21" s="222"/>
      <c r="W21" s="232">
        <f t="shared" si="0"/>
        <v>4633.8510010742139</v>
      </c>
      <c r="X21" s="222"/>
      <c r="Y21" s="232">
        <f t="shared" si="0"/>
        <v>4796.0357861118109</v>
      </c>
      <c r="Z21" s="222"/>
      <c r="AA21" s="232">
        <f t="shared" si="0"/>
        <v>4963.8970386257242</v>
      </c>
      <c r="AB21" s="222"/>
      <c r="AC21" s="232">
        <f t="shared" si="0"/>
        <v>5137.6334349776243</v>
      </c>
      <c r="AD21" s="222"/>
      <c r="AE21" s="232">
        <f t="shared" si="0"/>
        <v>5317.4506052018405</v>
      </c>
      <c r="AF21" s="222"/>
      <c r="AG21" s="232">
        <f t="shared" si="0"/>
        <v>5503.5613763839046</v>
      </c>
    </row>
    <row r="22" spans="1:33" s="223" customFormat="1" ht="14">
      <c r="A22" s="223" t="s">
        <v>843</v>
      </c>
      <c r="C22" s="233"/>
      <c r="E22" s="223">
        <f>SUM(E15:E21)</f>
        <v>454000</v>
      </c>
      <c r="G22" s="223">
        <f>SUM(G15:G21)</f>
        <v>469890</v>
      </c>
      <c r="I22" s="223">
        <f>SUM(I15:I21)</f>
        <v>486336.14999999991</v>
      </c>
      <c r="K22" s="223">
        <f>SUM(K15:K21)</f>
        <v>503357.91524999985</v>
      </c>
      <c r="M22" s="223">
        <f>SUM(M15:M21)</f>
        <v>520975.44228374987</v>
      </c>
      <c r="O22" s="223">
        <f>SUM(O15:O21)</f>
        <v>539209.58276368119</v>
      </c>
      <c r="Q22" s="223">
        <f>SUM(Q15:Q21)</f>
        <v>558081.9181604099</v>
      </c>
      <c r="S22" s="223">
        <f>SUM(S15:S21)</f>
        <v>577614.78529602429</v>
      </c>
      <c r="U22" s="223">
        <f>SUM(U15:U21)</f>
        <v>597831.30278138479</v>
      </c>
      <c r="W22" s="223">
        <f>SUM(W15:W21)</f>
        <v>618755.39837873343</v>
      </c>
      <c r="Y22" s="223">
        <f>SUM(Y15:Y21)</f>
        <v>640411.83732198901</v>
      </c>
      <c r="AA22" s="223">
        <f>SUM(AA15:AA21)</f>
        <v>662826.2516282585</v>
      </c>
      <c r="AC22" s="223">
        <f>SUM(AC15:AC21)</f>
        <v>686025.17043524759</v>
      </c>
      <c r="AE22" s="223">
        <f>SUM(AE15:AE21)</f>
        <v>710036.05140048126</v>
      </c>
      <c r="AG22" s="223">
        <f>SUM(AG15:AG21)</f>
        <v>734887.31319949799</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28800</v>
      </c>
      <c r="F26" s="222"/>
      <c r="G26" s="222">
        <f>E26*$C$26</f>
        <v>29807.999999999996</v>
      </c>
      <c r="H26" s="222"/>
      <c r="I26" s="222">
        <f>G26*$C$26</f>
        <v>30851.279999999995</v>
      </c>
      <c r="J26" s="222"/>
      <c r="K26" s="222">
        <f>I26*$C$26</f>
        <v>31931.074799999991</v>
      </c>
      <c r="L26" s="222"/>
      <c r="M26" s="222">
        <f>K26*$C$26</f>
        <v>33048.662417999985</v>
      </c>
      <c r="N26" s="222"/>
      <c r="O26" s="222">
        <f>M26*$C$26</f>
        <v>34205.36560262998</v>
      </c>
      <c r="P26" s="222"/>
      <c r="Q26" s="222">
        <f>O26*$C$26</f>
        <v>35402.553398722026</v>
      </c>
      <c r="R26" s="222"/>
      <c r="S26" s="222">
        <f>Q26*$C$26</f>
        <v>36641.642767677295</v>
      </c>
      <c r="T26" s="222"/>
      <c r="U26" s="222">
        <f>S26*$C$26</f>
        <v>37924.100264545996</v>
      </c>
      <c r="V26" s="222"/>
      <c r="W26" s="222">
        <f>U26*$C$26</f>
        <v>39251.443773805106</v>
      </c>
      <c r="X26" s="222"/>
      <c r="Y26" s="222">
        <f>W26*$C$26</f>
        <v>40625.244305888278</v>
      </c>
      <c r="Z26" s="222"/>
      <c r="AA26" s="222">
        <f>Y26*$C$26</f>
        <v>42047.127856594365</v>
      </c>
      <c r="AB26" s="222"/>
      <c r="AC26" s="222">
        <f>AA26*$C$26</f>
        <v>43518.777331575162</v>
      </c>
      <c r="AD26" s="222"/>
      <c r="AE26" s="222">
        <f>AC26*$C$26</f>
        <v>45041.934538180292</v>
      </c>
      <c r="AF26" s="222"/>
      <c r="AG26" s="222">
        <f>AE26*$C$26</f>
        <v>46618.402247016602</v>
      </c>
    </row>
    <row r="27" spans="1:33" s="210" customFormat="1" ht="14">
      <c r="A27" s="210" t="s">
        <v>845</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4">
      <c r="A28" s="210" t="s">
        <v>846</v>
      </c>
      <c r="C28" s="237"/>
      <c r="E28" s="222">
        <f>Application!AC889</f>
        <v>48000</v>
      </c>
      <c r="F28" s="222"/>
      <c r="G28" s="222">
        <f>$E$28</f>
        <v>48000</v>
      </c>
      <c r="H28" s="222"/>
      <c r="I28" s="222">
        <f>$E$28</f>
        <v>48000</v>
      </c>
      <c r="J28" s="222"/>
      <c r="K28" s="222">
        <f>$E$28</f>
        <v>48000</v>
      </c>
      <c r="L28" s="222"/>
      <c r="M28" s="222">
        <f>$E$28</f>
        <v>48000</v>
      </c>
      <c r="N28" s="222"/>
      <c r="O28" s="222">
        <f>$E$28</f>
        <v>48000</v>
      </c>
      <c r="P28" s="222"/>
      <c r="Q28" s="222">
        <f>$E$28</f>
        <v>48000</v>
      </c>
      <c r="R28" s="222"/>
      <c r="S28" s="222">
        <f>$E$28</f>
        <v>48000</v>
      </c>
      <c r="T28" s="222"/>
      <c r="U28" s="222">
        <f>$E$28</f>
        <v>48000</v>
      </c>
      <c r="V28" s="222"/>
      <c r="W28" s="222">
        <f>$E$28</f>
        <v>48000</v>
      </c>
      <c r="X28" s="222"/>
      <c r="Y28" s="222">
        <f>$E$28</f>
        <v>48000</v>
      </c>
      <c r="Z28" s="222"/>
      <c r="AA28" s="222">
        <f>$E$28</f>
        <v>48000</v>
      </c>
      <c r="AB28" s="222"/>
      <c r="AC28" s="222">
        <f>$E$28</f>
        <v>48000</v>
      </c>
      <c r="AD28" s="222"/>
      <c r="AE28" s="222">
        <f>$E$28</f>
        <v>48000</v>
      </c>
      <c r="AF28" s="222"/>
      <c r="AG28" s="222">
        <f>$E$28</f>
        <v>48000</v>
      </c>
    </row>
    <row r="29" spans="1:33" s="210" customFormat="1" ht="14">
      <c r="A29" s="210" t="s">
        <v>1680</v>
      </c>
      <c r="C29" s="237"/>
      <c r="E29" s="222">
        <f>Application!AC890</f>
        <v>12000</v>
      </c>
      <c r="F29" s="222"/>
      <c r="G29" s="222">
        <f>$E$29</f>
        <v>12000</v>
      </c>
      <c r="H29" s="222"/>
      <c r="I29" s="222">
        <f>$E$29</f>
        <v>12000</v>
      </c>
      <c r="J29" s="222"/>
      <c r="K29" s="222">
        <f>$E$29</f>
        <v>12000</v>
      </c>
      <c r="L29" s="222"/>
      <c r="M29" s="222">
        <f>$E$29</f>
        <v>12000</v>
      </c>
      <c r="N29" s="222"/>
      <c r="O29" s="222">
        <f>$E$29</f>
        <v>12000</v>
      </c>
      <c r="P29" s="222"/>
      <c r="Q29" s="222">
        <f>$E$29</f>
        <v>12000</v>
      </c>
      <c r="R29" s="222"/>
      <c r="S29" s="222">
        <f>$E$29</f>
        <v>12000</v>
      </c>
      <c r="T29" s="222"/>
      <c r="U29" s="222">
        <f>$E$29</f>
        <v>12000</v>
      </c>
      <c r="V29" s="222"/>
      <c r="W29" s="222">
        <f>$E$29</f>
        <v>12000</v>
      </c>
      <c r="X29" s="222"/>
      <c r="Y29" s="222">
        <f>$E$29</f>
        <v>12000</v>
      </c>
      <c r="Z29" s="222"/>
      <c r="AA29" s="222">
        <f>$E$29</f>
        <v>12000</v>
      </c>
      <c r="AB29" s="222"/>
      <c r="AC29" s="222">
        <f>$E$29</f>
        <v>12000</v>
      </c>
      <c r="AD29" s="222"/>
      <c r="AE29" s="222">
        <f>$E$29</f>
        <v>12000</v>
      </c>
      <c r="AF29" s="222"/>
      <c r="AG29" s="222">
        <f>$E$29</f>
        <v>12000</v>
      </c>
    </row>
    <row r="30" spans="1:33" s="210" customFormat="1" ht="14">
      <c r="A30" s="210" t="s">
        <v>844</v>
      </c>
      <c r="C30" s="237">
        <v>1.02</v>
      </c>
      <c r="E30" s="222">
        <f>Application!AC891</f>
        <v>5200</v>
      </c>
      <c r="F30" s="222"/>
      <c r="G30" s="222">
        <f>E30*$C$30</f>
        <v>5304</v>
      </c>
      <c r="H30" s="222"/>
      <c r="I30" s="222">
        <f>G30*$C$30</f>
        <v>5410.08</v>
      </c>
      <c r="J30" s="222"/>
      <c r="K30" s="222">
        <f>I30*$C$30</f>
        <v>5518.2816000000003</v>
      </c>
      <c r="L30" s="222"/>
      <c r="M30" s="222">
        <f>K30*$C$30</f>
        <v>5628.6472320000003</v>
      </c>
      <c r="N30" s="222"/>
      <c r="O30" s="222">
        <f>M30*$C$30</f>
        <v>5741.2201766400003</v>
      </c>
      <c r="P30" s="222"/>
      <c r="Q30" s="222">
        <f>O30*$C$30</f>
        <v>5856.0445801728001</v>
      </c>
      <c r="R30" s="222"/>
      <c r="S30" s="222">
        <f>Q30*$C$30</f>
        <v>5973.1654717762558</v>
      </c>
      <c r="T30" s="222"/>
      <c r="U30" s="222">
        <f>S30*$C$30</f>
        <v>6092.6287812117807</v>
      </c>
      <c r="V30" s="222"/>
      <c r="W30" s="222">
        <f>U30*$C$30</f>
        <v>6214.4813568360169</v>
      </c>
      <c r="X30" s="222"/>
      <c r="Y30" s="222">
        <f>W30*$C$30</f>
        <v>6338.7709839727377</v>
      </c>
      <c r="Z30" s="222"/>
      <c r="AA30" s="222">
        <f>Y30*$C$30</f>
        <v>6465.5464036521926</v>
      </c>
      <c r="AB30" s="222"/>
      <c r="AC30" s="222">
        <f>AA30*$C$30</f>
        <v>6594.8573317252367</v>
      </c>
      <c r="AD30" s="222"/>
      <c r="AE30" s="222">
        <f>AC30*$C$30</f>
        <v>6726.7544783597414</v>
      </c>
      <c r="AF30" s="222"/>
      <c r="AG30" s="222">
        <f>AE30*$C$30</f>
        <v>6861.2895679269359</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548000</v>
      </c>
      <c r="G35" s="223">
        <f>SUM(G22:G33)</f>
        <v>565002</v>
      </c>
      <c r="I35" s="223">
        <f>SUM(I22:I33)</f>
        <v>582597.50999999989</v>
      </c>
      <c r="K35" s="223">
        <f>SUM(K22:K33)</f>
        <v>600807.27164999978</v>
      </c>
      <c r="M35" s="223">
        <f>SUM(M22:M33)</f>
        <v>619652.75193374988</v>
      </c>
      <c r="O35" s="223">
        <f>SUM(O22:O33)</f>
        <v>639156.16854295111</v>
      </c>
      <c r="Q35" s="223">
        <f>SUM(Q22:Q33)</f>
        <v>659340.51613930473</v>
      </c>
      <c r="S35" s="223">
        <f>SUM(S22:S33)</f>
        <v>680229.59353547788</v>
      </c>
      <c r="U35" s="223">
        <f>SUM(U22:U33)</f>
        <v>701848.03182714258</v>
      </c>
      <c r="W35" s="223">
        <f>SUM(W22:W33)</f>
        <v>724221.32350937452</v>
      </c>
      <c r="Y35" s="223">
        <f>SUM(Y22:Y33)</f>
        <v>747375.85261185002</v>
      </c>
      <c r="AA35" s="223">
        <f>SUM(AA22:AA33)</f>
        <v>771338.92588850507</v>
      </c>
      <c r="AC35" s="223">
        <f>SUM(AC22:AC33)</f>
        <v>796138.80509854795</v>
      </c>
      <c r="AE35" s="223">
        <f>SUM(AE22:AE33)</f>
        <v>821804.74041702121</v>
      </c>
      <c r="AG35" s="223">
        <f>SUM(AG22:AG33)</f>
        <v>848367.00501444144</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513527.75799999991</v>
      </c>
      <c r="G37" s="223">
        <f>G11-G35</f>
        <v>523063.9519499999</v>
      </c>
      <c r="I37" s="223">
        <f>I11-I35</f>
        <v>532670.09074874979</v>
      </c>
      <c r="K37" s="223">
        <f>K11-K35</f>
        <v>542342.0191174685</v>
      </c>
      <c r="M37" s="223">
        <f>M11-M35</f>
        <v>552075.27110290516</v>
      </c>
      <c r="O37" s="223">
        <f>O11-O35</f>
        <v>561865.05506962026</v>
      </c>
      <c r="Q37" s="223">
        <f>Q11-Q35</f>
        <v>571706.23806358082</v>
      </c>
      <c r="S37" s="223">
        <f>S11-S35</f>
        <v>581593.32952247991</v>
      </c>
      <c r="U37" s="223">
        <f>U11-U35</f>
        <v>591520.46430726384</v>
      </c>
      <c r="W37" s="223">
        <f>W11-W35</f>
        <v>601481.38502839196</v>
      </c>
      <c r="Y37" s="223">
        <f>Y11-Y35</f>
        <v>611469.42363936035</v>
      </c>
      <c r="AA37" s="223">
        <f>AA11-AA35</f>
        <v>621477.48226898559</v>
      </c>
      <c r="AC37" s="223">
        <f>AC11-AC35</f>
        <v>631498.01326287992</v>
      </c>
      <c r="AE37" s="223">
        <f>AE11-AE35</f>
        <v>641522.99840344244</v>
      </c>
      <c r="AG37" s="223">
        <f>AG11-AG35</f>
        <v>651543.92727653356</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Bank of America, N.A.</v>
      </c>
      <c r="B40" s="226"/>
      <c r="C40" s="220"/>
      <c r="E40" s="222">
        <f>Application!AF627</f>
        <v>207989.52725289698</v>
      </c>
      <c r="F40" s="222"/>
      <c r="G40" s="222">
        <f>$E$40</f>
        <v>207989.52725289698</v>
      </c>
      <c r="H40" s="222"/>
      <c r="I40" s="222">
        <f>$E$40</f>
        <v>207989.52725289698</v>
      </c>
      <c r="J40" s="222"/>
      <c r="K40" s="222">
        <f>$E$40</f>
        <v>207989.52725289698</v>
      </c>
      <c r="L40" s="222"/>
      <c r="M40" s="222">
        <f>$E$40</f>
        <v>207989.52725289698</v>
      </c>
      <c r="N40" s="222"/>
      <c r="O40" s="222">
        <f>$E$40</f>
        <v>207989.52725289698</v>
      </c>
      <c r="P40" s="222"/>
      <c r="Q40" s="222">
        <f>$E$40</f>
        <v>207989.52725289698</v>
      </c>
      <c r="R40" s="222"/>
      <c r="S40" s="222">
        <f>$E$40</f>
        <v>207989.52725289698</v>
      </c>
      <c r="T40" s="222"/>
      <c r="U40" s="222">
        <f>$E$40</f>
        <v>207989.52725289698</v>
      </c>
      <c r="V40" s="222"/>
      <c r="W40" s="222">
        <f>$E$40</f>
        <v>207989.52725289698</v>
      </c>
      <c r="X40" s="222"/>
      <c r="Y40" s="222">
        <f>$E$40</f>
        <v>207989.52725289698</v>
      </c>
      <c r="Z40" s="222"/>
      <c r="AA40" s="222">
        <f>$E$40</f>
        <v>207989.52725289698</v>
      </c>
      <c r="AB40" s="222"/>
      <c r="AC40" s="222">
        <f>$E$40</f>
        <v>207989.52725289698</v>
      </c>
      <c r="AD40" s="222"/>
      <c r="AE40" s="222">
        <f>$E$40</f>
        <v>207989.52725289698</v>
      </c>
      <c r="AF40" s="222"/>
      <c r="AG40" s="222">
        <f>$E$40</f>
        <v>207989.52725289698</v>
      </c>
    </row>
    <row r="41" spans="1:33" s="210" customFormat="1" ht="14">
      <c r="A41" s="225"/>
      <c r="B41" s="226" t="s">
        <v>2743</v>
      </c>
      <c r="C41" s="220"/>
      <c r="E41" s="222">
        <f>Application!AF628</f>
        <v>177950.21539643875</v>
      </c>
      <c r="F41" s="222"/>
      <c r="G41" s="222">
        <f>$E$41</f>
        <v>177950.21539643875</v>
      </c>
      <c r="H41" s="222"/>
      <c r="I41" s="222">
        <f>$E$41</f>
        <v>177950.21539643875</v>
      </c>
      <c r="J41" s="222"/>
      <c r="K41" s="222">
        <f>$E$41</f>
        <v>177950.21539643875</v>
      </c>
      <c r="L41" s="222"/>
      <c r="M41" s="222">
        <f>$E$41</f>
        <v>177950.21539643875</v>
      </c>
      <c r="N41" s="222"/>
      <c r="O41" s="222">
        <f>$E$41</f>
        <v>177950.21539643875</v>
      </c>
      <c r="P41" s="222"/>
      <c r="Q41" s="222">
        <f>$E$41</f>
        <v>177950.21539643875</v>
      </c>
      <c r="R41" s="222"/>
      <c r="S41" s="222">
        <f>$E$41</f>
        <v>177950.21539643875</v>
      </c>
      <c r="T41" s="222"/>
      <c r="U41" s="222">
        <f>$E$41</f>
        <v>177950.21539643875</v>
      </c>
      <c r="V41" s="222"/>
      <c r="W41" s="222">
        <f>$E$41</f>
        <v>177950.21539643875</v>
      </c>
      <c r="X41" s="222"/>
      <c r="Y41" s="222">
        <f>$E$41</f>
        <v>177950.21539643875</v>
      </c>
      <c r="Z41" s="222"/>
      <c r="AA41" s="222">
        <f>$E$41</f>
        <v>177950.21539643875</v>
      </c>
      <c r="AB41" s="222"/>
      <c r="AC41" s="222">
        <f>$E$41</f>
        <v>177950.21539643875</v>
      </c>
      <c r="AD41" s="222"/>
      <c r="AE41" s="222">
        <f>$E$41</f>
        <v>177950.21539643875</v>
      </c>
      <c r="AF41" s="222"/>
      <c r="AG41" s="222">
        <f>$E$41</f>
        <v>177950.21539643875</v>
      </c>
    </row>
    <row r="42" spans="1:33" s="210" customFormat="1" ht="14">
      <c r="A42" s="225"/>
      <c r="B42" s="226" t="s">
        <v>2744</v>
      </c>
      <c r="C42" s="220"/>
      <c r="E42" s="232">
        <v>42000</v>
      </c>
      <c r="F42" s="222"/>
      <c r="G42" s="232">
        <f>$E$42</f>
        <v>42000</v>
      </c>
      <c r="H42" s="222"/>
      <c r="I42" s="232">
        <f>$E$42</f>
        <v>42000</v>
      </c>
      <c r="J42" s="222"/>
      <c r="K42" s="232">
        <f>$E$42</f>
        <v>42000</v>
      </c>
      <c r="L42" s="222"/>
      <c r="M42" s="232">
        <f>$E$42</f>
        <v>42000</v>
      </c>
      <c r="N42" s="222"/>
      <c r="O42" s="232">
        <f>$E$42</f>
        <v>42000</v>
      </c>
      <c r="P42" s="222"/>
      <c r="Q42" s="232">
        <f>$E$42</f>
        <v>42000</v>
      </c>
      <c r="R42" s="222"/>
      <c r="S42" s="232">
        <f>$E$42</f>
        <v>42000</v>
      </c>
      <c r="T42" s="222"/>
      <c r="U42" s="232">
        <f>$E$42</f>
        <v>42000</v>
      </c>
      <c r="V42" s="222"/>
      <c r="W42" s="232">
        <f>$E$42</f>
        <v>42000</v>
      </c>
      <c r="X42" s="222"/>
      <c r="Y42" s="232">
        <f>$E$42</f>
        <v>42000</v>
      </c>
      <c r="Z42" s="222"/>
      <c r="AA42" s="232">
        <f>$E$42</f>
        <v>42000</v>
      </c>
      <c r="AB42" s="222"/>
      <c r="AC42" s="232">
        <f>$E$42</f>
        <v>42000</v>
      </c>
      <c r="AD42" s="222"/>
      <c r="AE42" s="232">
        <f>$E$42</f>
        <v>42000</v>
      </c>
      <c r="AF42" s="222"/>
      <c r="AG42" s="232">
        <f>$E$42</f>
        <v>42000</v>
      </c>
    </row>
    <row r="43" spans="1:33" s="223" customFormat="1" ht="14">
      <c r="A43" s="223" t="s">
        <v>848</v>
      </c>
      <c r="C43" s="224"/>
      <c r="E43" s="223">
        <f>SUM(E40:E42)</f>
        <v>427939.74264933576</v>
      </c>
      <c r="G43" s="223">
        <f>SUM(G40:G42)</f>
        <v>427939.74264933576</v>
      </c>
      <c r="I43" s="223">
        <f>SUM(I40:I42)</f>
        <v>427939.74264933576</v>
      </c>
      <c r="K43" s="223">
        <f>SUM(K40:K42)</f>
        <v>427939.74264933576</v>
      </c>
      <c r="M43" s="223">
        <f>SUM(M40:M42)</f>
        <v>427939.74264933576</v>
      </c>
      <c r="O43" s="223">
        <f>SUM(O40:O42)</f>
        <v>427939.74264933576</v>
      </c>
      <c r="Q43" s="223">
        <f>SUM(Q40:Q42)</f>
        <v>427939.74264933576</v>
      </c>
      <c r="S43" s="223">
        <f>SUM(S40:S42)</f>
        <v>427939.74264933576</v>
      </c>
      <c r="U43" s="223">
        <f>SUM(U40:U42)</f>
        <v>427939.74264933576</v>
      </c>
      <c r="W43" s="223">
        <f>SUM(W40:W42)</f>
        <v>427939.74264933576</v>
      </c>
      <c r="Y43" s="223">
        <f>SUM(Y40:Y42)</f>
        <v>427939.74264933576</v>
      </c>
      <c r="AA43" s="223">
        <f>SUM(AA40:AA42)</f>
        <v>427939.74264933576</v>
      </c>
      <c r="AC43" s="223">
        <f>SUM(AC40:AC42)</f>
        <v>427939.74264933576</v>
      </c>
      <c r="AE43" s="223">
        <f>SUM(AE40:AE42)</f>
        <v>427939.74264933576</v>
      </c>
      <c r="AG43" s="223">
        <f>SUM(AG40:AG42)</f>
        <v>427939.74264933576</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85588.015350664151</v>
      </c>
      <c r="G45" s="223">
        <f>G37-G43</f>
        <v>95124.209300664137</v>
      </c>
      <c r="I45" s="223">
        <f>I37-I43</f>
        <v>104730.34809941403</v>
      </c>
      <c r="K45" s="223">
        <f>K37-K43</f>
        <v>114402.27646813274</v>
      </c>
      <c r="M45" s="223">
        <f>M37-M43</f>
        <v>124135.52845356939</v>
      </c>
      <c r="O45" s="223">
        <f>O37-O43</f>
        <v>133925.31242028449</v>
      </c>
      <c r="Q45" s="223">
        <f>Q37-Q43</f>
        <v>143766.49541424506</v>
      </c>
      <c r="S45" s="223">
        <f>S37-S43</f>
        <v>153653.58687314414</v>
      </c>
      <c r="U45" s="223">
        <f>U37-U43</f>
        <v>163580.72165792808</v>
      </c>
      <c r="W45" s="223">
        <f>W37-W43</f>
        <v>173541.6423790562</v>
      </c>
      <c r="Y45" s="223">
        <f>Y37-Y43</f>
        <v>183529.68099002459</v>
      </c>
      <c r="AA45" s="223">
        <f>AA37-AA43</f>
        <v>193537.73961964983</v>
      </c>
      <c r="AC45" s="223">
        <f>AC37-AC43</f>
        <v>203558.27061354415</v>
      </c>
      <c r="AE45" s="223">
        <f>AE37-AE43</f>
        <v>213583.25575410668</v>
      </c>
      <c r="AG45" s="223">
        <f>AG37-AG43</f>
        <v>223604.1846271978</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7.6595844027972121E-2</v>
      </c>
      <c r="G47" s="227">
        <f>G45/(G4+G6+G8)</f>
        <v>8.3053787937832302E-2</v>
      </c>
      <c r="I47" s="227">
        <f>I45/(I4+I6+I8)</f>
        <v>8.9210724518175563E-2</v>
      </c>
      <c r="K47" s="227">
        <f>K45/(K4+K6+K8)</f>
        <v>9.5072588963214855E-2</v>
      </c>
      <c r="M47" s="227">
        <f>M45/(M4+M6+M8)</f>
        <v>0.10064515801650481</v>
      </c>
      <c r="O47" s="227">
        <f>O45/(O4+O6+O8)</f>
        <v>0.10593405370187875</v>
      </c>
      <c r="Q47" s="227">
        <f>Q45/(Q4+Q6+Q8)</f>
        <v>0.11094474696208308</v>
      </c>
      <c r="S47" s="227">
        <f>S45/(S4+S6+S8)</f>
        <v>0.11568256120734799</v>
      </c>
      <c r="U47" s="227">
        <f>U45/(U4+U6+U8)</f>
        <v>0.12015267577607858</v>
      </c>
      <c r="W47" s="227">
        <f>W45/(W4+W6+W8)</f>
        <v>0.12436012930979595</v>
      </c>
      <c r="Y47" s="227">
        <f>Y45/(Y4+Y6+Y8)</f>
        <v>0.12830982304440861</v>
      </c>
      <c r="AA47" s="227">
        <f>AA45/(AA4+AA6+AA8)</f>
        <v>0.13200652401983876</v>
      </c>
      <c r="AC47" s="227">
        <f>AC45/(AC4+AC6+AC8)</f>
        <v>0.1354548682099832</v>
      </c>
      <c r="AE47" s="227">
        <f>AE45/(AE4+AE6+AE8)</f>
        <v>0.13865936357493991</v>
      </c>
      <c r="AG47" s="227">
        <f>AG45/(AG4+AG6+AG8)</f>
        <v>0.14162439303737853</v>
      </c>
    </row>
    <row r="48" spans="1:33" s="227" customFormat="1" ht="14">
      <c r="A48" s="227" t="s">
        <v>852</v>
      </c>
      <c r="C48" s="220"/>
      <c r="E48" s="227">
        <f>E45/E43</f>
        <v>0.20000015614534089</v>
      </c>
      <c r="G48" s="227">
        <f>G45/G43</f>
        <v>0.22228412045060097</v>
      </c>
      <c r="I48" s="227">
        <f>I45/I43</f>
        <v>0.24473153031087516</v>
      </c>
      <c r="K48" s="227">
        <f>K45/K43</f>
        <v>0.26733267576383235</v>
      </c>
      <c r="M48" s="227">
        <f>M45/M43</f>
        <v>0.29007712087000309</v>
      </c>
      <c r="O48" s="227">
        <f>O45/O43</f>
        <v>0.31295366864307844</v>
      </c>
      <c r="Q48" s="227">
        <f>Q45/Q43</f>
        <v>0.33595032451110957</v>
      </c>
      <c r="S48" s="227">
        <f>S45/S43</f>
        <v>0.35905425825114734</v>
      </c>
      <c r="U48" s="227">
        <f>U45/U43</f>
        <v>0.38225176433769581</v>
      </c>
      <c r="W48" s="227">
        <f>W45/W43</f>
        <v>0.4055282206431115</v>
      </c>
      <c r="Y48" s="227">
        <f>Y45/Y43</f>
        <v>0.42886804542576284</v>
      </c>
      <c r="AA48" s="227">
        <f>AA45/AA43</f>
        <v>0.45225465253933977</v>
      </c>
      <c r="AC48" s="227">
        <f>AC45/AC43</f>
        <v>0.47567040479422068</v>
      </c>
      <c r="AE48" s="227">
        <f>AE45/AE43</f>
        <v>0.49909656539921321</v>
      </c>
      <c r="AG48" s="227">
        <f>AG45/AG43</f>
        <v>0.52251324740928418</v>
      </c>
    </row>
    <row r="49" spans="1:34" s="228" customFormat="1" ht="14">
      <c r="A49" s="228" t="s">
        <v>850</v>
      </c>
      <c r="C49" s="229"/>
      <c r="E49" s="228">
        <f>E37/E43</f>
        <v>1.2000001561453408</v>
      </c>
      <c r="G49" s="228">
        <f>G37/G43</f>
        <v>1.222284120450601</v>
      </c>
      <c r="I49" s="228">
        <f>I37/I43</f>
        <v>1.2447315303108752</v>
      </c>
      <c r="K49" s="228">
        <f>K37/K43</f>
        <v>1.2673326757638324</v>
      </c>
      <c r="M49" s="228">
        <f>M37/M43</f>
        <v>1.290077120870003</v>
      </c>
      <c r="O49" s="228">
        <f>O37/O43</f>
        <v>1.3129536686430785</v>
      </c>
      <c r="Q49" s="228">
        <f>Q37/Q43</f>
        <v>1.3359503245111095</v>
      </c>
      <c r="S49" s="228">
        <f>S37/S43</f>
        <v>1.3590542582511473</v>
      </c>
      <c r="U49" s="228">
        <f>U37/U43</f>
        <v>1.3822517643376957</v>
      </c>
      <c r="W49" s="228">
        <f>W37/W43</f>
        <v>1.4055282206431114</v>
      </c>
      <c r="Y49" s="228">
        <f>Y37/Y43</f>
        <v>1.4288680454257627</v>
      </c>
      <c r="AA49" s="228">
        <f>AA37/AA43</f>
        <v>1.4522546525393398</v>
      </c>
      <c r="AC49" s="228">
        <f>AC37/AC43</f>
        <v>1.4756704047942206</v>
      </c>
      <c r="AE49" s="228">
        <f>AE37/AE43</f>
        <v>1.4990965653992132</v>
      </c>
      <c r="AG49" s="228">
        <f>AG37/AG43</f>
        <v>1.5225132474092842</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1184</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85588.015350664151</v>
      </c>
      <c r="G60" s="962">
        <f>G45-G58</f>
        <v>95124.209300664137</v>
      </c>
      <c r="I60" s="962">
        <f>I45-I58</f>
        <v>104730.34809941403</v>
      </c>
      <c r="K60" s="962">
        <f>K45-K58</f>
        <v>114402.27646813274</v>
      </c>
      <c r="M60" s="962">
        <f>M45-M58</f>
        <v>124135.52845356939</v>
      </c>
      <c r="O60" s="962">
        <f>O45-O58</f>
        <v>133925.31242028449</v>
      </c>
      <c r="Q60" s="962">
        <f>Q45-Q58</f>
        <v>143766.49541424506</v>
      </c>
      <c r="S60" s="962">
        <f>S45-S58</f>
        <v>153653.58687314414</v>
      </c>
      <c r="U60" s="962">
        <f>U45-U58</f>
        <v>163580.72165792808</v>
      </c>
      <c r="W60" s="962">
        <f>W45-W58</f>
        <v>173541.6423790562</v>
      </c>
      <c r="Y60" s="962">
        <f>Y45-Y58</f>
        <v>183529.68099002459</v>
      </c>
      <c r="AA60" s="962">
        <f>AA45-AA58</f>
        <v>193537.73961964983</v>
      </c>
      <c r="AC60" s="962">
        <f>AC45-AC58</f>
        <v>203558.27061354415</v>
      </c>
      <c r="AE60" s="962">
        <f>AE45-AE58</f>
        <v>213583.25575410668</v>
      </c>
      <c r="AG60" s="962">
        <f>AG45-AG58</f>
        <v>223604.1846271978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42794.007675332075</v>
      </c>
      <c r="G62" s="962">
        <f>G60*$C$62</f>
        <v>47562.104650332069</v>
      </c>
      <c r="I62" s="962">
        <f>I60*$C$62</f>
        <v>52365.174049707013</v>
      </c>
      <c r="K62" s="962">
        <f>K60*$C$62</f>
        <v>57201.138234066369</v>
      </c>
      <c r="M62" s="962">
        <f>M60*$C$62</f>
        <v>62067.764226784697</v>
      </c>
      <c r="O62" s="962">
        <f>O60*$C$62</f>
        <v>66962.656210142246</v>
      </c>
      <c r="Q62" s="962">
        <f>Q60*$C$62</f>
        <v>71883.247707122529</v>
      </c>
      <c r="S62" s="962">
        <f>S60*$C$62</f>
        <v>76826.793436572072</v>
      </c>
      <c r="U62" s="962">
        <f>U60*$C$62</f>
        <v>81790.36082896404</v>
      </c>
      <c r="W62" s="962">
        <f>W60*$C$62</f>
        <v>86770.821189528098</v>
      </c>
      <c r="Y62" s="962">
        <f>Y60*$C$62</f>
        <v>91764.840495012293</v>
      </c>
      <c r="AA62" s="962">
        <f>AA60*$C$62</f>
        <v>96768.869809824915</v>
      </c>
      <c r="AC62" s="962">
        <f>AC60*$C$62</f>
        <v>101779.13530677208</v>
      </c>
      <c r="AE62" s="962">
        <f>AE60*$C$62</f>
        <v>106791.62787705334</v>
      </c>
      <c r="AG62" s="962">
        <f>AG60*$C$62</f>
        <v>111802.0923135989</v>
      </c>
    </row>
    <row r="63" spans="1:34" s="962" customFormat="1">
      <c r="A63" s="2689" t="s">
        <v>1184</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21397.003837666038</v>
      </c>
      <c r="G66" s="960">
        <f>G60*$C$65</f>
        <v>23781.052325166034</v>
      </c>
      <c r="I66" s="960">
        <f>I60*$C$65</f>
        <v>26182.587024853507</v>
      </c>
      <c r="K66" s="960">
        <f>K60*$C$65</f>
        <v>28600.569117033185</v>
      </c>
      <c r="M66" s="960">
        <f>M60*$C$65</f>
        <v>31033.882113392348</v>
      </c>
      <c r="O66" s="960">
        <f>O60*$C$65</f>
        <v>33481.328105071123</v>
      </c>
      <c r="Q66" s="960">
        <f>Q60*$C$65</f>
        <v>35941.623853561265</v>
      </c>
      <c r="S66" s="960">
        <f>S60*$C$65</f>
        <v>38413.396718286036</v>
      </c>
      <c r="U66" s="960">
        <f>U60*$C$65</f>
        <v>40895.18041448202</v>
      </c>
      <c r="W66" s="960">
        <f>W60*$C$65</f>
        <v>43385.410594764049</v>
      </c>
      <c r="Y66" s="960">
        <f>Y60*$C$65</f>
        <v>45882.420247506147</v>
      </c>
      <c r="AA66" s="960">
        <f>AA60*$C$65</f>
        <v>48384.434904912458</v>
      </c>
      <c r="AC66" s="960">
        <f>AC60*$C$65</f>
        <v>50889.567653386039</v>
      </c>
      <c r="AE66" s="960">
        <f>AE60*$C$65</f>
        <v>53395.81393852667</v>
      </c>
      <c r="AG66" s="960">
        <f>AG60*$C$65</f>
        <v>55901.04615679945</v>
      </c>
    </row>
    <row r="67" spans="1:34" s="960" customFormat="1">
      <c r="A67" s="965"/>
      <c r="B67" s="965"/>
      <c r="C67" s="970"/>
      <c r="E67" s="964">
        <f>$E60*$C$65</f>
        <v>21397.003837666038</v>
      </c>
      <c r="G67" s="960">
        <f>G60*$C$65</f>
        <v>23781.052325166034</v>
      </c>
      <c r="I67" s="960">
        <f>I60*$C$65</f>
        <v>26182.587024853507</v>
      </c>
      <c r="K67" s="960">
        <f>K60*$C$65</f>
        <v>28600.569117033185</v>
      </c>
      <c r="M67" s="960">
        <f>M60*$C$65</f>
        <v>31033.882113392348</v>
      </c>
      <c r="O67" s="960">
        <f>O60*$C$65</f>
        <v>33481.328105071123</v>
      </c>
      <c r="Q67" s="960">
        <f>Q60*$C$65</f>
        <v>35941.623853561265</v>
      </c>
      <c r="S67" s="960">
        <f>S60*$C$65</f>
        <v>38413.396718286036</v>
      </c>
      <c r="U67" s="960">
        <f>U60*$C$65</f>
        <v>40895.18041448202</v>
      </c>
      <c r="W67" s="960">
        <f>W60*$C$65</f>
        <v>43385.410594764049</v>
      </c>
      <c r="Y67" s="960">
        <f>Y60*$C$65</f>
        <v>45882.420247506147</v>
      </c>
      <c r="AA67" s="960">
        <f>AA60*$C$65</f>
        <v>48384.434904912458</v>
      </c>
      <c r="AC67" s="960">
        <f>AC60*$C$65</f>
        <v>50889.567653386039</v>
      </c>
      <c r="AE67" s="960">
        <f>AE60*$C$65</f>
        <v>53395.81393852667</v>
      </c>
      <c r="AG67" s="960">
        <f>AG60*$C$65</f>
        <v>55901.04615679945</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42794.007675332075</v>
      </c>
      <c r="G70" s="960">
        <f>SUM(G66:G69)</f>
        <v>47562.104650332069</v>
      </c>
      <c r="I70" s="960">
        <f>SUM(I66:I69)</f>
        <v>52365.174049707013</v>
      </c>
      <c r="K70" s="960">
        <f>SUM(K66:K69)</f>
        <v>57201.138234066369</v>
      </c>
      <c r="M70" s="960">
        <f>SUM(M66:M69)</f>
        <v>62067.764226784697</v>
      </c>
      <c r="O70" s="960">
        <f>SUM(O66:O69)</f>
        <v>66962.656210142246</v>
      </c>
      <c r="Q70" s="960">
        <f>SUM(Q66:Q69)</f>
        <v>71883.247707122529</v>
      </c>
      <c r="S70" s="960">
        <f>SUM(S66:S69)</f>
        <v>76826.793436572072</v>
      </c>
      <c r="U70" s="960">
        <f>SUM(U66:U69)</f>
        <v>81790.36082896404</v>
      </c>
      <c r="W70" s="960">
        <f>SUM(W66:W69)</f>
        <v>86770.821189528098</v>
      </c>
      <c r="Y70" s="960">
        <f>SUM(Y66:Y69)</f>
        <v>91764.840495012293</v>
      </c>
      <c r="AA70" s="960">
        <f>SUM(AA66:AA69)</f>
        <v>96768.869809824915</v>
      </c>
      <c r="AC70" s="960">
        <f>SUM(AC66:AC69)</f>
        <v>101779.13530677208</v>
      </c>
      <c r="AE70" s="960">
        <f>SUM(AE66:AE69)</f>
        <v>106791.62787705334</v>
      </c>
      <c r="AG70" s="960">
        <f>SUM(AG66:AG69)</f>
        <v>111802.0923135989</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81640625" customWidth="1"/>
    <col min="2" max="16384" width="8.81640625" hidden="1"/>
  </cols>
  <sheetData>
    <row r="1" spans="1:1" ht="46.5">
      <c r="A1" s="313" t="s">
        <v>971</v>
      </c>
    </row>
    <row r="2" spans="1:1" ht="15.5">
      <c r="A2" s="314"/>
    </row>
    <row r="3" spans="1:1" ht="15.5">
      <c r="A3" s="315" t="s">
        <v>966</v>
      </c>
    </row>
    <row r="4" spans="1:1" ht="15.5">
      <c r="A4" s="315" t="s">
        <v>967</v>
      </c>
    </row>
    <row r="5" spans="1:1" ht="15.5">
      <c r="A5" s="315" t="s">
        <v>968</v>
      </c>
    </row>
    <row r="6" spans="1:1" ht="15.5">
      <c r="A6" s="315" t="s">
        <v>970</v>
      </c>
    </row>
    <row r="7" spans="1:1" ht="15.5">
      <c r="A7" s="315" t="s">
        <v>969</v>
      </c>
    </row>
    <row r="8" spans="1:1" ht="15.5">
      <c r="A8" s="346" t="s">
        <v>1024</v>
      </c>
    </row>
    <row r="9" spans="1:1" ht="15.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81640625" style="204" customWidth="1"/>
    <col min="2" max="4" width="14.81640625" style="204" customWidth="1"/>
    <col min="5" max="5" width="50.81640625" style="204" customWidth="1"/>
    <col min="6" max="253" width="9.1796875" style="204" customWidth="1"/>
    <col min="254" max="16384" width="9.1796875" style="204"/>
  </cols>
  <sheetData>
    <row r="1" spans="1:6" s="275" customFormat="1" ht="18" customHeight="1">
      <c r="A1" s="513" t="s">
        <v>1217</v>
      </c>
      <c r="D1" s="280"/>
    </row>
    <row r="2" spans="1:6" s="275" customFormat="1" ht="13">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3">
      <c r="A4" s="264" t="s">
        <v>26</v>
      </c>
      <c r="B4" s="264"/>
      <c r="C4" s="264"/>
      <c r="D4" s="264"/>
      <c r="E4" s="282"/>
      <c r="F4" s="264"/>
    </row>
    <row r="5" spans="1:6" s="352" customFormat="1">
      <c r="A5" s="364" t="s">
        <v>27</v>
      </c>
      <c r="B5" s="266">
        <f>'Sources and Uses Budget'!$C4</f>
        <v>355000</v>
      </c>
      <c r="C5" s="266">
        <f>'Sources and Uses Budget'!$C4</f>
        <v>355000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25000</v>
      </c>
      <c r="C7" s="266">
        <f>'Sources and Uses Budget'!$C6</f>
        <v>25000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380000</v>
      </c>
      <c r="C9" s="270">
        <f>SUM(C5:C8)</f>
        <v>380000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2069800</v>
      </c>
      <c r="C11" s="266">
        <f>'Sources and Uses Budget'!$C10</f>
        <v>2069800</v>
      </c>
      <c r="D11" s="270">
        <f t="shared" si="0"/>
        <v>0</v>
      </c>
      <c r="E11" s="268"/>
      <c r="F11" s="267"/>
    </row>
    <row r="12" spans="1:6" s="352" customFormat="1">
      <c r="A12" s="365" t="s">
        <v>596</v>
      </c>
      <c r="B12" s="270">
        <f>SUM(B10:B11)</f>
        <v>2069800</v>
      </c>
      <c r="C12" s="270">
        <f>SUM(C10:C11)</f>
        <v>2069800</v>
      </c>
      <c r="D12" s="270">
        <f t="shared" si="0"/>
        <v>0</v>
      </c>
      <c r="E12" s="268"/>
      <c r="F12" s="267"/>
    </row>
    <row r="13" spans="1:6" s="352" customFormat="1">
      <c r="A13" s="365" t="s">
        <v>84</v>
      </c>
      <c r="B13" s="270">
        <f>SUM(B9+B12)</f>
        <v>2449800</v>
      </c>
      <c r="C13" s="270">
        <f>SUM(C9+C12)</f>
        <v>2449800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3">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10832100</v>
      </c>
      <c r="C30" s="266">
        <f>'Sources and Uses Budget'!$C29</f>
        <v>10832100</v>
      </c>
      <c r="D30" s="270">
        <f t="shared" si="0"/>
        <v>0</v>
      </c>
      <c r="E30" s="268"/>
      <c r="F30" s="267"/>
    </row>
    <row r="31" spans="1:6" s="352" customFormat="1">
      <c r="A31" s="145" t="s">
        <v>599</v>
      </c>
      <c r="B31" s="266">
        <f ca="1">'Sources and Uses Budget'!$C30</f>
        <v>16401400</v>
      </c>
      <c r="C31" s="266">
        <f ca="1">'Sources and Uses Budget'!$C30</f>
        <v>16401400</v>
      </c>
      <c r="D31" s="270">
        <f t="shared" ca="1" si="0"/>
        <v>0</v>
      </c>
      <c r="E31" s="268"/>
      <c r="F31" s="267"/>
    </row>
    <row r="32" spans="1:6" s="352" customFormat="1">
      <c r="A32" s="145" t="s">
        <v>600</v>
      </c>
      <c r="B32" s="266">
        <f>'Sources and Uses Budget'!$C31</f>
        <v>2188200</v>
      </c>
      <c r="C32" s="266">
        <f>'Sources and Uses Budget'!$C31</f>
        <v>2188200</v>
      </c>
      <c r="D32" s="270">
        <f t="shared" si="0"/>
        <v>0</v>
      </c>
      <c r="E32" s="268"/>
      <c r="F32" s="267"/>
    </row>
    <row r="33" spans="1:6" s="352" customFormat="1">
      <c r="A33" s="145" t="s">
        <v>137</v>
      </c>
      <c r="B33" s="266">
        <f>'Sources and Uses Budget'!$C32</f>
        <v>1194500</v>
      </c>
      <c r="C33" s="266">
        <f>'Sources and Uses Budget'!$C32</f>
        <v>1194500</v>
      </c>
      <c r="D33" s="270">
        <f t="shared" si="0"/>
        <v>0</v>
      </c>
      <c r="E33" s="268"/>
      <c r="F33" s="267"/>
    </row>
    <row r="34" spans="1:6" s="352" customFormat="1">
      <c r="A34" s="145" t="s">
        <v>138</v>
      </c>
      <c r="B34" s="266">
        <f>'Sources and Uses Budget'!$C33</f>
        <v>1194500</v>
      </c>
      <c r="C34" s="266">
        <f>'Sources and Uses Budget'!$C33</f>
        <v>1194500</v>
      </c>
      <c r="D34" s="270">
        <f t="shared" si="0"/>
        <v>0</v>
      </c>
      <c r="E34" s="268"/>
      <c r="F34" s="267"/>
    </row>
    <row r="35" spans="1:6" s="352" customFormat="1">
      <c r="A35" s="145" t="s">
        <v>139</v>
      </c>
      <c r="B35" s="266">
        <f ca="1">'Sources and Uses Budget'!$C34</f>
        <v>5446700</v>
      </c>
      <c r="C35" s="266">
        <f ca="1">'Sources and Uses Budget'!$C34</f>
        <v>5446700</v>
      </c>
      <c r="D35" s="270">
        <f t="shared" ca="1" si="0"/>
        <v>0</v>
      </c>
      <c r="E35" s="268"/>
      <c r="F35" s="267"/>
    </row>
    <row r="36" spans="1:6" s="352" customFormat="1">
      <c r="A36" s="145" t="s">
        <v>140</v>
      </c>
      <c r="B36" s="266">
        <f>'Sources and Uses Budget'!$C35</f>
        <v>732700</v>
      </c>
      <c r="C36" s="266">
        <f>'Sources and Uses Budget'!$C35</f>
        <v>732700</v>
      </c>
      <c r="D36" s="270">
        <f t="shared" si="0"/>
        <v>0</v>
      </c>
      <c r="E36" s="268"/>
      <c r="F36" s="267"/>
    </row>
    <row r="37" spans="1:6" s="352" customFormat="1">
      <c r="A37" s="283" t="s">
        <v>1640</v>
      </c>
      <c r="B37" s="266">
        <f>'Sources and Uses Budget'!$C36</f>
        <v>150000</v>
      </c>
      <c r="C37" s="266">
        <f>'Sources and Uses Budget'!$C36</f>
        <v>150000</v>
      </c>
      <c r="D37" s="270"/>
      <c r="E37" s="268"/>
      <c r="F37" s="267"/>
    </row>
    <row r="38" spans="1:6" s="352" customFormat="1">
      <c r="A38" s="155" t="str">
        <f>'Sources and Uses Budget'!A37</f>
        <v>PV system</v>
      </c>
      <c r="B38" s="266">
        <f>'Sources and Uses Budget'!$C37</f>
        <v>550600</v>
      </c>
      <c r="C38" s="266">
        <f>'Sources and Uses Budget'!$C37</f>
        <v>550600</v>
      </c>
      <c r="D38" s="270">
        <f t="shared" si="0"/>
        <v>0</v>
      </c>
      <c r="E38" s="268"/>
      <c r="F38" s="267"/>
    </row>
    <row r="39" spans="1:6" s="352" customFormat="1" ht="13">
      <c r="A39" s="271" t="s">
        <v>143</v>
      </c>
      <c r="B39" s="270">
        <f ca="1">SUM(B30:B38)</f>
        <v>38690700</v>
      </c>
      <c r="C39" s="270">
        <f ca="1">SUM(C30:C38)</f>
        <v>38690700</v>
      </c>
      <c r="D39" s="270">
        <f t="shared" ca="1" si="0"/>
        <v>0</v>
      </c>
      <c r="E39" s="268"/>
      <c r="F39" s="267"/>
    </row>
    <row r="40" spans="1:6" s="352" customFormat="1" ht="13">
      <c r="A40" s="264" t="s">
        <v>144</v>
      </c>
      <c r="B40" s="264"/>
      <c r="C40" s="264"/>
      <c r="D40" s="264"/>
      <c r="E40" s="282"/>
      <c r="F40" s="264"/>
    </row>
    <row r="41" spans="1:6" s="352" customFormat="1">
      <c r="A41" s="269" t="s">
        <v>145</v>
      </c>
      <c r="B41" s="266">
        <f>'Sources and Uses Budget'!$C40</f>
        <v>690000</v>
      </c>
      <c r="C41" s="266">
        <f>'Sources and Uses Budget'!$C40</f>
        <v>690000</v>
      </c>
      <c r="D41" s="270">
        <f t="shared" si="0"/>
        <v>0</v>
      </c>
      <c r="E41" s="268"/>
      <c r="F41" s="267"/>
    </row>
    <row r="42" spans="1:6" s="352" customFormat="1">
      <c r="A42" s="269" t="s">
        <v>146</v>
      </c>
      <c r="B42" s="266">
        <f>'Sources and Uses Budget'!$C41</f>
        <v>155000</v>
      </c>
      <c r="C42" s="266">
        <f>'Sources and Uses Budget'!$C41</f>
        <v>155000</v>
      </c>
      <c r="D42" s="270">
        <f t="shared" si="0"/>
        <v>0</v>
      </c>
      <c r="E42" s="268"/>
      <c r="F42" s="267"/>
    </row>
    <row r="43" spans="1:6" s="352" customFormat="1" ht="13">
      <c r="A43" s="271" t="s">
        <v>147</v>
      </c>
      <c r="B43" s="270">
        <f>SUM(B41:B42)</f>
        <v>845000</v>
      </c>
      <c r="C43" s="270">
        <f>SUM(C41:C42)</f>
        <v>845000</v>
      </c>
      <c r="D43" s="270">
        <f t="shared" si="0"/>
        <v>0</v>
      </c>
      <c r="E43" s="268"/>
      <c r="F43" s="267"/>
    </row>
    <row r="44" spans="1:6" s="352" customFormat="1" ht="13">
      <c r="A44" s="271" t="s">
        <v>148</v>
      </c>
      <c r="B44" s="266">
        <f>'Sources and Uses Budget'!$C43</f>
        <v>681681</v>
      </c>
      <c r="C44" s="266">
        <f>'Sources and Uses Budget'!$C43</f>
        <v>681681</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3734657</v>
      </c>
      <c r="C46" s="266">
        <f>'Sources and Uses Budget'!$C45</f>
        <v>3734657</v>
      </c>
      <c r="D46" s="270">
        <f t="shared" si="0"/>
        <v>0</v>
      </c>
      <c r="E46" s="268"/>
      <c r="F46" s="267"/>
    </row>
    <row r="47" spans="1:6" s="352" customFormat="1">
      <c r="A47" s="145" t="s">
        <v>151</v>
      </c>
      <c r="B47" s="266">
        <f>'Sources and Uses Budget'!$C46</f>
        <v>305409</v>
      </c>
      <c r="C47" s="266">
        <f>'Sources and Uses Budget'!$C46</f>
        <v>305409</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139632</v>
      </c>
      <c r="C50" s="266">
        <f>'Sources and Uses Budget'!$C49</f>
        <v>139632</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10000</v>
      </c>
      <c r="C52" s="266">
        <f>'Sources and Uses Budget'!$C51</f>
        <v>10000</v>
      </c>
      <c r="D52" s="270">
        <f t="shared" si="0"/>
        <v>0</v>
      </c>
      <c r="E52" s="268"/>
      <c r="F52" s="267"/>
    </row>
    <row r="53" spans="1:6" s="352" customFormat="1">
      <c r="A53" s="145" t="s">
        <v>155</v>
      </c>
      <c r="B53" s="266">
        <f>'Sources and Uses Budget'!$C52</f>
        <v>484713</v>
      </c>
      <c r="C53" s="266">
        <f>'Sources and Uses Budget'!$C52</f>
        <v>484713</v>
      </c>
      <c r="D53" s="270">
        <f t="shared" si="0"/>
        <v>0</v>
      </c>
      <c r="E53" s="268"/>
      <c r="F53" s="267"/>
    </row>
    <row r="54" spans="1:6" s="352" customFormat="1">
      <c r="A54" s="155" t="str">
        <f>'Sources and Uses Budget'!A53</f>
        <v>Predevelopment loan interest</v>
      </c>
      <c r="B54" s="266">
        <f>'Sources and Uses Budget'!$C53</f>
        <v>60000</v>
      </c>
      <c r="C54" s="266">
        <f>'Sources and Uses Budget'!$C53</f>
        <v>60000</v>
      </c>
      <c r="D54" s="270">
        <f t="shared" si="0"/>
        <v>0</v>
      </c>
      <c r="E54" s="268"/>
      <c r="F54" s="267"/>
    </row>
    <row r="55" spans="1:6" s="353" customFormat="1" ht="13">
      <c r="A55" s="271" t="s">
        <v>157</v>
      </c>
      <c r="B55" s="273">
        <f>SUM(B46:B54)</f>
        <v>4809411</v>
      </c>
      <c r="C55" s="273">
        <f>SUM(C46:C54)</f>
        <v>4809411</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26052</v>
      </c>
      <c r="C57" s="266">
        <f>'Sources and Uses Budget'!$C56</f>
        <v>26052</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v>
      </c>
      <c r="B62" s="266">
        <f>'Sources and Uses Budget'!$C61</f>
        <v>20000</v>
      </c>
      <c r="C62" s="266">
        <f>'Sources and Uses Budget'!$C61</f>
        <v>20000</v>
      </c>
      <c r="D62" s="270">
        <f t="shared" si="0"/>
        <v>0</v>
      </c>
      <c r="E62" s="268"/>
      <c r="F62" s="267"/>
    </row>
    <row r="63" spans="1:6" s="352" customFormat="1" ht="13.75" customHeight="1">
      <c r="A63" s="271" t="s">
        <v>301</v>
      </c>
      <c r="B63" s="270">
        <f>SUM(B57:B62)</f>
        <v>56052</v>
      </c>
      <c r="C63" s="270">
        <f>SUM(C57:C62)</f>
        <v>56052</v>
      </c>
      <c r="D63" s="270">
        <f t="shared" si="0"/>
        <v>0</v>
      </c>
      <c r="E63" s="268"/>
      <c r="F63" s="267"/>
    </row>
    <row r="64" spans="1:6" s="352" customFormat="1" ht="13">
      <c r="A64" s="274" t="s">
        <v>302</v>
      </c>
      <c r="B64" s="270">
        <f ca="1">SUM(B9+B12+B14+B15+B17+B26+B28+B39+B43+B44+B55+B63)</f>
        <v>47532644</v>
      </c>
      <c r="C64" s="270">
        <f ca="1">SUM(C9+C12+C14+C15+C17+C26+C28+C39+C43+C44+C55+C63)</f>
        <v>47532644</v>
      </c>
      <c r="D64" s="270">
        <f t="shared" ca="1" si="0"/>
        <v>0</v>
      </c>
      <c r="E64" s="268"/>
      <c r="F64" s="267"/>
    </row>
    <row r="65" spans="1:6" s="352" customFormat="1" ht="24">
      <c r="A65" s="141" t="s">
        <v>1644</v>
      </c>
      <c r="B65" s="264"/>
      <c r="C65" s="264"/>
      <c r="D65" s="264"/>
      <c r="E65" s="282"/>
      <c r="F65" s="264"/>
    </row>
    <row r="66" spans="1:6" s="352" customFormat="1">
      <c r="A66" s="145" t="s">
        <v>171</v>
      </c>
      <c r="B66" s="266">
        <f>'Sources and Uses Budget'!$C65</f>
        <v>60000</v>
      </c>
      <c r="C66" s="266">
        <f>'Sources and Uses Budget'!$C65</f>
        <v>60000</v>
      </c>
      <c r="D66" s="270">
        <f t="shared" si="0"/>
        <v>0</v>
      </c>
      <c r="E66" s="268"/>
      <c r="F66" s="267"/>
    </row>
    <row r="67" spans="1:6" s="352" customFormat="1" ht="23">
      <c r="A67" s="283" t="s">
        <v>1641</v>
      </c>
      <c r="B67" s="266">
        <f>'Sources and Uses Budget'!$C66</f>
        <v>0</v>
      </c>
      <c r="C67" s="266">
        <f>'Sources and Uses Budget'!$C66</f>
        <v>0</v>
      </c>
      <c r="D67" s="270"/>
      <c r="E67" s="268"/>
      <c r="F67" s="267"/>
    </row>
    <row r="68" spans="1:6" s="352" customFormat="1" ht="23">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borrower legal</v>
      </c>
      <c r="B70" s="266">
        <f>'Sources and Uses Budget'!$C69</f>
        <v>60000</v>
      </c>
      <c r="C70" s="266">
        <f>'Sources and Uses Budget'!$C69</f>
        <v>60000</v>
      </c>
      <c r="D70" s="270">
        <f t="shared" si="0"/>
        <v>0</v>
      </c>
      <c r="E70" s="268"/>
      <c r="F70" s="267"/>
    </row>
    <row r="71" spans="1:6" s="352" customFormat="1">
      <c r="A71" s="149" t="s">
        <v>1645</v>
      </c>
      <c r="B71" s="270">
        <f>SUM(B66:B70)</f>
        <v>120000</v>
      </c>
      <c r="C71" s="270">
        <f>SUM(C66:C70)</f>
        <v>120000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487970</v>
      </c>
      <c r="C76" s="266">
        <f>'Sources and Uses Budget'!$C75</f>
        <v>487970</v>
      </c>
      <c r="D76" s="270">
        <f t="shared" si="0"/>
        <v>0</v>
      </c>
      <c r="E76" s="268"/>
      <c r="F76" s="267"/>
    </row>
    <row r="77" spans="1:6" s="352" customFormat="1">
      <c r="A77" s="272" t="s">
        <v>34</v>
      </c>
      <c r="B77" s="266">
        <f>'Sources and Uses Budget'!$C76</f>
        <v>100000</v>
      </c>
      <c r="C77" s="266">
        <f>'Sources and Uses Budget'!$C76</f>
        <v>100000</v>
      </c>
      <c r="D77" s="270">
        <f t="shared" si="0"/>
        <v>0</v>
      </c>
      <c r="E77" s="268"/>
      <c r="F77" s="267"/>
    </row>
    <row r="78" spans="1:6" s="352" customFormat="1" ht="13">
      <c r="A78" s="271" t="s">
        <v>606</v>
      </c>
      <c r="B78" s="270">
        <f>SUM(B73:B77)</f>
        <v>587970</v>
      </c>
      <c r="C78" s="270">
        <f>SUM(C73:C77)</f>
        <v>587970</v>
      </c>
      <c r="D78" s="270">
        <f t="shared" ref="D78:D106" si="1">C78-B78</f>
        <v>0</v>
      </c>
      <c r="E78" s="268"/>
      <c r="F78" s="267"/>
    </row>
    <row r="79" spans="1:6" s="352" customFormat="1" ht="13">
      <c r="A79" s="264" t="s">
        <v>1210</v>
      </c>
      <c r="B79" s="264"/>
      <c r="C79" s="264"/>
      <c r="D79" s="264"/>
      <c r="E79" s="282"/>
      <c r="F79" s="264"/>
    </row>
    <row r="80" spans="1:6" s="352" customFormat="1">
      <c r="A80" s="510" t="s">
        <v>1212</v>
      </c>
      <c r="B80" s="266">
        <f>'Sources and Uses Budget'!$C79</f>
        <v>3045788</v>
      </c>
      <c r="C80" s="266">
        <f>'Sources and Uses Budget'!$C79</f>
        <v>3045788</v>
      </c>
      <c r="D80" s="270">
        <f t="shared" si="1"/>
        <v>0</v>
      </c>
      <c r="E80" s="268"/>
      <c r="F80" s="267"/>
    </row>
    <row r="81" spans="1:6" s="352" customFormat="1">
      <c r="A81" s="510" t="s">
        <v>58</v>
      </c>
      <c r="B81" s="266">
        <f>'Sources and Uses Budget'!$C80</f>
        <v>200000</v>
      </c>
      <c r="C81" s="266">
        <f>'Sources and Uses Budget'!$C80</f>
        <v>200000</v>
      </c>
      <c r="D81" s="270">
        <f>C81-B81</f>
        <v>0</v>
      </c>
      <c r="E81" s="268"/>
      <c r="F81" s="267"/>
    </row>
    <row r="82" spans="1:6" s="352" customFormat="1" ht="13">
      <c r="A82" s="271" t="s">
        <v>1209</v>
      </c>
      <c r="B82" s="270">
        <f>SUM(B80:B81)</f>
        <v>3245788</v>
      </c>
      <c r="C82" s="270">
        <f>SUM(C80:C81)</f>
        <v>3245788</v>
      </c>
      <c r="D82" s="270">
        <f t="shared" si="1"/>
        <v>0</v>
      </c>
      <c r="E82" s="268"/>
      <c r="F82" s="267"/>
    </row>
    <row r="83" spans="1:6" s="352" customFormat="1" ht="13">
      <c r="A83" s="264" t="s">
        <v>765</v>
      </c>
      <c r="B83" s="264"/>
      <c r="C83" s="264"/>
      <c r="D83" s="264"/>
      <c r="E83" s="282"/>
      <c r="F83" s="264"/>
    </row>
    <row r="84" spans="1:6" s="352" customFormat="1" ht="13.75" customHeight="1">
      <c r="A84" s="269" t="s">
        <v>766</v>
      </c>
      <c r="B84" s="266">
        <f>'Sources and Uses Budget'!$C83</f>
        <v>85290</v>
      </c>
      <c r="C84" s="266">
        <f>'Sources and Uses Budget'!$C83</f>
        <v>85290</v>
      </c>
      <c r="D84" s="270">
        <f t="shared" si="1"/>
        <v>0</v>
      </c>
      <c r="E84" s="268"/>
      <c r="F84" s="267"/>
    </row>
    <row r="85" spans="1:6" s="352" customFormat="1">
      <c r="A85" s="269" t="s">
        <v>767</v>
      </c>
      <c r="B85" s="266">
        <f>'Sources and Uses Budget'!$C84</f>
        <v>70000</v>
      </c>
      <c r="C85" s="266">
        <f>'Sources and Uses Budget'!$C84</f>
        <v>70000</v>
      </c>
      <c r="D85" s="270">
        <f t="shared" si="1"/>
        <v>0</v>
      </c>
      <c r="E85" s="268"/>
      <c r="F85" s="267"/>
    </row>
    <row r="86" spans="1:6" s="352" customFormat="1">
      <c r="A86" s="269" t="s">
        <v>768</v>
      </c>
      <c r="B86" s="266">
        <f>'Sources and Uses Budget'!$C85</f>
        <v>2025681</v>
      </c>
      <c r="C86" s="266">
        <f>'Sources and Uses Budget'!$C85</f>
        <v>2025681</v>
      </c>
      <c r="D86" s="270">
        <f t="shared" si="1"/>
        <v>0</v>
      </c>
      <c r="E86" s="268"/>
      <c r="F86" s="267"/>
    </row>
    <row r="87" spans="1:6" s="352" customFormat="1">
      <c r="A87" s="269" t="s">
        <v>769</v>
      </c>
      <c r="B87" s="266">
        <f>'Sources and Uses Budget'!$C86</f>
        <v>746876</v>
      </c>
      <c r="C87" s="266">
        <f>'Sources and Uses Budget'!$C86</f>
        <v>746876</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30000</v>
      </c>
      <c r="C89" s="266">
        <f>'Sources and Uses Budget'!$C88</f>
        <v>30000</v>
      </c>
      <c r="D89" s="270">
        <f t="shared" si="1"/>
        <v>0</v>
      </c>
      <c r="E89" s="268"/>
      <c r="F89" s="267"/>
    </row>
    <row r="90" spans="1:6" s="352" customFormat="1">
      <c r="A90" s="269" t="s">
        <v>772</v>
      </c>
      <c r="B90" s="266">
        <f>'Sources and Uses Budget'!$C89</f>
        <v>30000</v>
      </c>
      <c r="C90" s="266">
        <f>'Sources and Uses Budget'!$C89</f>
        <v>30000</v>
      </c>
      <c r="D90" s="270">
        <f t="shared" si="1"/>
        <v>0</v>
      </c>
      <c r="E90" s="268"/>
      <c r="F90" s="267"/>
    </row>
    <row r="91" spans="1:6" s="352" customFormat="1">
      <c r="A91" s="269" t="s">
        <v>773</v>
      </c>
      <c r="B91" s="266">
        <f>'Sources and Uses Budget'!$C90</f>
        <v>20000</v>
      </c>
      <c r="C91" s="266">
        <f>'Sources and Uses Budget'!$C90</f>
        <v>20000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27500</v>
      </c>
      <c r="C93" s="266">
        <f>'Sources and Uses Budget'!$C92</f>
        <v>27500</v>
      </c>
      <c r="D93" s="270">
        <f t="shared" si="1"/>
        <v>0</v>
      </c>
      <c r="E93" s="268"/>
      <c r="F93" s="267"/>
    </row>
    <row r="94" spans="1:6" s="352" customFormat="1">
      <c r="A94" s="272" t="s">
        <v>34</v>
      </c>
      <c r="B94" s="266">
        <f>'Sources and Uses Budget'!$C93</f>
        <v>35000</v>
      </c>
      <c r="C94" s="266">
        <f>'Sources and Uses Budget'!$C93</f>
        <v>35000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774</v>
      </c>
      <c r="B97" s="270">
        <f>SUM(B84:B96)</f>
        <v>3070347</v>
      </c>
      <c r="C97" s="270">
        <f>SUM(C84:C96)</f>
        <v>3070347</v>
      </c>
      <c r="D97" s="270">
        <f t="shared" si="1"/>
        <v>0</v>
      </c>
      <c r="E97" s="268"/>
      <c r="F97" s="267"/>
    </row>
    <row r="98" spans="1:6" s="352" customFormat="1" ht="13">
      <c r="A98" s="271" t="s">
        <v>775</v>
      </c>
      <c r="B98" s="270">
        <f ca="1">SUM(B64+B71+B78+B82+B97)</f>
        <v>54556749</v>
      </c>
      <c r="C98" s="270">
        <f ca="1">SUM(C64+C71+C78+C82+C97)</f>
        <v>54556749</v>
      </c>
      <c r="D98" s="270">
        <f t="shared" ca="1" si="1"/>
        <v>0</v>
      </c>
      <c r="E98" s="268"/>
      <c r="F98" s="267"/>
    </row>
    <row r="99" spans="1:6" s="352" customFormat="1" ht="13">
      <c r="A99" s="264" t="s">
        <v>776</v>
      </c>
      <c r="B99" s="264"/>
      <c r="C99" s="264"/>
      <c r="D99" s="264"/>
      <c r="E99" s="282"/>
      <c r="F99" s="264"/>
    </row>
    <row r="100" spans="1:6" s="352" customFormat="1">
      <c r="A100" s="145" t="s">
        <v>777</v>
      </c>
      <c r="B100" s="266">
        <f>'Sources and Uses Budget'!$C99</f>
        <v>2500000</v>
      </c>
      <c r="C100" s="266">
        <f>'Sources and Uses Budget'!$C99</f>
        <v>2500000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779</v>
      </c>
      <c r="B105" s="270">
        <f>SUM(B100:B104)</f>
        <v>2500000</v>
      </c>
      <c r="C105" s="270">
        <f>SUM(C100:C104)</f>
        <v>2500000</v>
      </c>
      <c r="D105" s="270">
        <f t="shared" si="1"/>
        <v>0</v>
      </c>
      <c r="E105" s="268"/>
      <c r="F105" s="267"/>
    </row>
    <row r="106" spans="1:6" s="352" customFormat="1" ht="13">
      <c r="A106" s="271" t="s">
        <v>780</v>
      </c>
      <c r="B106" s="273">
        <f ca="1">SUM(B98+B105)</f>
        <v>57056749</v>
      </c>
      <c r="C106" s="273">
        <f ca="1">SUM(C98+C105)</f>
        <v>57056749</v>
      </c>
      <c r="D106" s="270">
        <f t="shared" ca="1" si="1"/>
        <v>0</v>
      </c>
      <c r="E106" s="268"/>
      <c r="F106" s="267"/>
    </row>
    <row r="107" spans="1:6" s="352"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Maryann Ybarra</cp:lastModifiedBy>
  <cp:lastPrinted>2024-12-09T20:28:29Z</cp:lastPrinted>
  <dcterms:created xsi:type="dcterms:W3CDTF">2007-12-27T18:26:28Z</dcterms:created>
  <dcterms:modified xsi:type="dcterms:W3CDTF">2025-09-06T00:18:18Z</dcterms:modified>
</cp:coreProperties>
</file>