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Z:\2. ACTIVE PROJECTS\Greg Comanor - Olive Park Apartments\CDLAC-CTCAC Folder\3. 2025 CDLAC-CTCAC E-APP ROUND 3\"/>
    </mc:Choice>
  </mc:AlternateContent>
  <xr:revisionPtr revIDLastSave="0" documentId="13_ncr:1_{69ED9184-9343-494A-9BF2-950734588169}" xr6:coauthVersionLast="47" xr6:coauthVersionMax="47" xr10:uidLastSave="{00000000-0000-0000-0000-000000000000}"/>
  <bookViews>
    <workbookView xWindow="-120" yWindow="-120" windowWidth="29040" windowHeight="17520" firstSheet="1"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8" i="3" l="1"/>
  <c r="AE958" i="3"/>
  <c r="M961" i="3"/>
  <c r="AC889" i="3" l="1"/>
  <c r="F79" i="4"/>
  <c r="F29" i="4"/>
  <c r="C79" i="4"/>
  <c r="E4" i="4"/>
  <c r="E99" i="4"/>
  <c r="E93" i="4"/>
  <c r="E92" i="4"/>
  <c r="E91" i="4"/>
  <c r="E90" i="4"/>
  <c r="E89" i="4"/>
  <c r="E88" i="4"/>
  <c r="E86" i="4"/>
  <c r="E85" i="4"/>
  <c r="E84" i="4"/>
  <c r="E83" i="4"/>
  <c r="E76" i="4"/>
  <c r="E75" i="4"/>
  <c r="E73" i="4"/>
  <c r="E69" i="4"/>
  <c r="E67" i="4"/>
  <c r="E65" i="4"/>
  <c r="E59" i="4"/>
  <c r="E58" i="4"/>
  <c r="E56" i="4"/>
  <c r="E52" i="4"/>
  <c r="E51" i="4"/>
  <c r="E50" i="4"/>
  <c r="E48" i="4"/>
  <c r="E49" i="4"/>
  <c r="E46" i="4"/>
  <c r="E45" i="4"/>
  <c r="E43" i="4"/>
  <c r="E41" i="4"/>
  <c r="E40" i="4"/>
  <c r="E30" i="4"/>
  <c r="E36" i="4"/>
  <c r="E35" i="4"/>
  <c r="E32" i="4"/>
  <c r="E31" i="4"/>
  <c r="E6" i="4"/>
  <c r="E79" i="4" l="1"/>
  <c r="C13" i="4"/>
  <c r="E13" i="4" s="1"/>
  <c r="AA918" i="3"/>
  <c r="C60" i="7"/>
  <c r="E24" i="7"/>
  <c r="AF627" i="3"/>
  <c r="Q628" i="3"/>
  <c r="T627" i="3"/>
  <c r="Q627" i="3"/>
  <c r="E33" i="4" l="1"/>
  <c r="O725" i="3" l="1"/>
  <c r="O724" i="3"/>
  <c r="O722" i="3"/>
  <c r="O721" i="3"/>
  <c r="O720" i="3"/>
  <c r="O719" i="3"/>
  <c r="O718" i="3"/>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9" i="8"/>
  <c r="I9"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S67" i="4" s="1"/>
  <c r="E67" i="13" s="1"/>
  <c r="F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8" i="13"/>
  <c r="F68" i="13" s="1"/>
  <c r="B66" i="13"/>
  <c r="C66" i="13" s="1"/>
  <c r="B67" i="13"/>
  <c r="C67" i="13" s="1"/>
  <c r="B68" i="13"/>
  <c r="C68" i="13" s="1"/>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53" i="13"/>
  <c r="F53" i="13" s="1"/>
  <c r="E45" i="13"/>
  <c r="F45" i="13" s="1"/>
  <c r="E27" i="13"/>
  <c r="E25" i="13"/>
  <c r="E23" i="13"/>
  <c r="E22" i="13"/>
  <c r="E21" i="13"/>
  <c r="E20" i="13"/>
  <c r="E19" i="13"/>
  <c r="E18" i="13"/>
  <c r="E17" i="13"/>
  <c r="E15" i="13"/>
  <c r="E14" i="13"/>
  <c r="E13" i="13"/>
  <c r="F13" i="13" s="1"/>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5" i="4"/>
  <c r="R94" i="4"/>
  <c r="R93" i="4"/>
  <c r="S93" i="4" s="1"/>
  <c r="E93" i="13" s="1"/>
  <c r="F93" i="13" s="1"/>
  <c r="R92" i="4"/>
  <c r="S92" i="4" s="1"/>
  <c r="E92" i="13" s="1"/>
  <c r="F92" i="13" s="1"/>
  <c r="R90" i="4"/>
  <c r="S90" i="4" s="1"/>
  <c r="E90" i="13" s="1"/>
  <c r="F90" i="13" s="1"/>
  <c r="R89" i="4"/>
  <c r="S89" i="4" s="1"/>
  <c r="E89" i="13" s="1"/>
  <c r="F89" i="13" s="1"/>
  <c r="R88" i="4"/>
  <c r="R87" i="4"/>
  <c r="S87" i="4" s="1"/>
  <c r="E87" i="13" s="1"/>
  <c r="F87" i="13" s="1"/>
  <c r="R86" i="4"/>
  <c r="S86" i="4" s="1"/>
  <c r="E86" i="13" s="1"/>
  <c r="F86" i="13" s="1"/>
  <c r="R85" i="4"/>
  <c r="S85" i="4" s="1"/>
  <c r="E85" i="13" s="1"/>
  <c r="F85" i="13" s="1"/>
  <c r="R83" i="4"/>
  <c r="R76" i="4"/>
  <c r="R75" i="4"/>
  <c r="R72" i="4"/>
  <c r="R73" i="4"/>
  <c r="R74" i="4"/>
  <c r="R69" i="4"/>
  <c r="S69" i="4" s="1"/>
  <c r="E69" i="13" s="1"/>
  <c r="F69" i="13" s="1"/>
  <c r="R65" i="4"/>
  <c r="S65" i="4" s="1"/>
  <c r="R61" i="4"/>
  <c r="R60" i="4"/>
  <c r="R59" i="4"/>
  <c r="R58" i="4"/>
  <c r="R57" i="4"/>
  <c r="R56" i="4"/>
  <c r="R53" i="4"/>
  <c r="R52" i="4"/>
  <c r="S52" i="4" s="1"/>
  <c r="E52" i="13" s="1"/>
  <c r="F52" i="13" s="1"/>
  <c r="R51" i="4"/>
  <c r="S51" i="4" s="1"/>
  <c r="E51" i="13" s="1"/>
  <c r="F51" i="13" s="1"/>
  <c r="R50" i="4"/>
  <c r="S50" i="4" s="1"/>
  <c r="E50" i="13" s="1"/>
  <c r="F50" i="13" s="1"/>
  <c r="R49" i="4"/>
  <c r="S49" i="4" s="1"/>
  <c r="E49" i="13" s="1"/>
  <c r="F49" i="13" s="1"/>
  <c r="R48" i="4"/>
  <c r="S48" i="4" s="1"/>
  <c r="E48" i="13" s="1"/>
  <c r="F48" i="13" s="1"/>
  <c r="R47" i="4"/>
  <c r="S47" i="4" s="1"/>
  <c r="E47" i="13" s="1"/>
  <c r="F47" i="13" s="1"/>
  <c r="R46" i="4"/>
  <c r="S46" i="4" s="1"/>
  <c r="R45" i="4"/>
  <c r="R43" i="4"/>
  <c r="S43" i="4" s="1"/>
  <c r="E43" i="13" s="1"/>
  <c r="F43" i="13" s="1"/>
  <c r="R41" i="4"/>
  <c r="S41" i="4" s="1"/>
  <c r="E41" i="13" s="1"/>
  <c r="F41" i="13"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E960" i="3" s="1"/>
  <c r="AE961" i="3" s="1"/>
  <c r="A6" i="8"/>
  <c r="D6" i="8"/>
  <c r="A7" i="8"/>
  <c r="D7" i="8"/>
  <c r="I7" i="8" s="1"/>
  <c r="A8" i="8"/>
  <c r="D8" i="8"/>
  <c r="I8" i="8" s="1"/>
  <c r="A9" i="8"/>
  <c r="D9" i="8"/>
  <c r="A10" i="8"/>
  <c r="D10" i="8"/>
  <c r="I10" i="8" s="1"/>
  <c r="J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C8" i="13" l="1"/>
  <c r="C12" i="13" s="1"/>
  <c r="C54" i="13"/>
  <c r="S96" i="4"/>
  <c r="E96" i="13" s="1"/>
  <c r="C62" i="13"/>
  <c r="C42" i="13"/>
  <c r="C77" i="13"/>
  <c r="S70" i="4"/>
  <c r="E70" i="13" s="1"/>
  <c r="E65" i="13"/>
  <c r="F65" i="13" s="1"/>
  <c r="F70" i="13" s="1"/>
  <c r="C81" i="13"/>
  <c r="F42" i="13"/>
  <c r="C96" i="13"/>
  <c r="S54" i="4"/>
  <c r="E54" i="13" s="1"/>
  <c r="C70" i="13"/>
  <c r="S81" i="4"/>
  <c r="E81" i="13" s="1"/>
  <c r="E79" i="13"/>
  <c r="F79" i="13" s="1"/>
  <c r="F81" i="13" s="1"/>
  <c r="S104" i="4"/>
  <c r="BA1058" i="3" s="1"/>
  <c r="C38" i="13"/>
  <c r="S38" i="4"/>
  <c r="E38" i="13" s="1"/>
  <c r="F96" i="13"/>
  <c r="E29" i="13"/>
  <c r="F29" i="13" s="1"/>
  <c r="F38" i="13" s="1"/>
  <c r="E46" i="13"/>
  <c r="F46" i="13" s="1"/>
  <c r="F54" i="13" s="1"/>
  <c r="S42" i="4"/>
  <c r="E42" i="13" s="1"/>
  <c r="J8" i="8"/>
  <c r="D35" i="1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C63" i="13"/>
  <c r="C97" i="13" s="1"/>
  <c r="C105" i="13" s="1"/>
  <c r="S63" i="4"/>
  <c r="D105" i="11"/>
  <c r="F63" i="13"/>
  <c r="F97" i="13" s="1"/>
  <c r="F105" i="13" s="1"/>
  <c r="F107" i="1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8" i="21" l="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M22" i="7"/>
  <c r="M35" i="7" s="1"/>
  <c r="O15" i="7"/>
  <c r="M9" i="7"/>
  <c r="O8" i="7"/>
  <c r="G27" i="21"/>
  <c r="F26" i="21"/>
  <c r="AJ1041" i="3" l="1"/>
  <c r="AJ994" i="3"/>
  <c r="AC456" i="3"/>
  <c r="AJ1029" i="3"/>
  <c r="AJ1036" i="3"/>
  <c r="I15" i="21" s="1"/>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Y64" i="15"/>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s="1"/>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2" i="7"/>
  <c r="I66" i="7" s="1"/>
  <c r="K47" i="7"/>
  <c r="K60" i="7"/>
  <c r="K48" i="7"/>
  <c r="U22" i="7"/>
  <c r="U35" i="7" s="1"/>
  <c r="W15" i="7"/>
  <c r="U9" i="7"/>
  <c r="W8" i="7"/>
  <c r="AC53" i="7" l="1"/>
  <c r="AA58" i="7"/>
  <c r="M26" i="3"/>
  <c r="BE19" i="3" s="1"/>
  <c r="U4" i="7"/>
  <c r="S5" i="7"/>
  <c r="M48" i="7"/>
  <c r="M47" i="7"/>
  <c r="M60" i="7"/>
  <c r="O45" i="7"/>
  <c r="O49" i="7"/>
  <c r="K62" i="7"/>
  <c r="K66" i="7" s="1"/>
  <c r="Q7" i="7"/>
  <c r="Q11" i="7" s="1"/>
  <c r="Q37" i="7" s="1"/>
  <c r="S6" i="7"/>
  <c r="I70" i="7"/>
  <c r="I72" i="7" s="1"/>
  <c r="W22" i="7"/>
  <c r="W35" i="7" s="1"/>
  <c r="Y15" i="7"/>
  <c r="W9" i="7"/>
  <c r="Y8" i="7"/>
  <c r="AE53" i="7" l="1"/>
  <c r="AC58" i="7"/>
  <c r="AB57" i="15"/>
  <c r="P204" i="3"/>
  <c r="U5" i="7"/>
  <c r="W4" i="7"/>
  <c r="Q49" i="7"/>
  <c r="Q45" i="7"/>
  <c r="M62" i="7"/>
  <c r="M66" i="7" s="1"/>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2" i="7"/>
  <c r="Q60" i="7"/>
  <c r="Q48" i="7"/>
  <c r="Q47" i="7"/>
  <c r="S49" i="7"/>
  <c r="S45" i="7"/>
  <c r="AC15" i="7"/>
  <c r="AA22" i="7"/>
  <c r="AA35" i="7" s="1"/>
  <c r="AC8" i="7"/>
  <c r="AA9" i="7"/>
  <c r="O66" i="7" l="1"/>
  <c r="AB78" i="15"/>
  <c r="AB79" i="15" s="1"/>
  <c r="AB81" i="15" s="1"/>
  <c r="J82" i="15" s="1"/>
  <c r="AA4" i="7"/>
  <c r="Y5" i="7"/>
  <c r="Y6" i="7"/>
  <c r="W7" i="7"/>
  <c r="W11" i="7" s="1"/>
  <c r="W37" i="7" s="1"/>
  <c r="U45" i="7"/>
  <c r="U49" i="7"/>
  <c r="Q62" i="7"/>
  <c r="Q66" i="7" s="1"/>
  <c r="S48" i="7"/>
  <c r="S47" i="7"/>
  <c r="S60" i="7"/>
  <c r="O70" i="7"/>
  <c r="O72" i="7" s="1"/>
  <c r="AE15" i="7"/>
  <c r="AC22" i="7"/>
  <c r="AC35" i="7" s="1"/>
  <c r="AC9" i="7"/>
  <c r="AE8" i="7"/>
  <c r="M27" i="3" l="1"/>
  <c r="BE20" i="3" s="1"/>
  <c r="I10" i="21"/>
  <c r="I11" i="21" s="1"/>
  <c r="AA5" i="7"/>
  <c r="AC4" i="7"/>
  <c r="S62" i="7"/>
  <c r="S66" i="7" s="1"/>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W62" i="7" s="1"/>
  <c r="Y49" i="7"/>
  <c r="Y45" i="7"/>
  <c r="W60" i="7"/>
  <c r="W47" i="7"/>
  <c r="W48" i="7"/>
  <c r="W66" i="7" l="1"/>
  <c r="U66" i="7"/>
  <c r="U70" i="7" s="1"/>
  <c r="U72" i="7" s="1"/>
  <c r="AE5" i="7"/>
  <c r="AG4" i="7"/>
  <c r="AA45" i="7"/>
  <c r="AA49" i="7"/>
  <c r="Y47" i="7"/>
  <c r="Y48" i="7"/>
  <c r="Y60" i="7"/>
  <c r="AE6" i="7"/>
  <c r="AC7" i="7"/>
  <c r="AC11" i="7" s="1"/>
  <c r="AC37" i="7" s="1"/>
  <c r="AG5" i="7" l="1"/>
  <c r="W70" i="7"/>
  <c r="W72" i="7" s="1"/>
  <c r="AA60" i="7"/>
  <c r="AA47" i="7"/>
  <c r="AA48" i="7"/>
  <c r="AC45" i="7"/>
  <c r="AC49" i="7"/>
  <c r="AE7" i="7"/>
  <c r="AE11" i="7" s="1"/>
  <c r="AE37" i="7" s="1"/>
  <c r="AG6" i="7"/>
  <c r="Y66" i="7"/>
  <c r="Y70" i="7" l="1"/>
  <c r="Y72" i="7" s="1"/>
  <c r="AG7" i="7"/>
  <c r="AG11" i="7" s="1"/>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<sst xmlns="http://schemas.openxmlformats.org/spreadsheetml/2006/main" count="5021" uniqueCount="2752">
  <si>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</si>
  <si>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</si>
  <si>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</si>
  <si>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</si>
  <si>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</si>
  <si>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</si>
  <si>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</si>
  <si>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</si>
  <si>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</si>
  <si>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</si>
  <si>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</si>
  <si>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</si>
  <si>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</si>
  <si>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</si>
  <si>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</si>
  <si>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</si>
  <si>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</si>
  <si>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</si>
  <si>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</si>
  <si>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</si>
  <si>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</si>
  <si>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</si>
  <si>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</si>
  <si>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</si>
  <si>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</si>
  <si>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</si>
  <si>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</si>
  <si>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</si>
  <si>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</si>
  <si>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</si>
  <si>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</si>
  <si>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</si>
  <si>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</si>
  <si>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</si>
  <si>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</si>
  <si>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</si>
  <si>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</si>
  <si>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</si>
  <si>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</si>
  <si>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</si>
  <si>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</si>
  <si>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</si>
  <si>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</si>
  <si>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</si>
  <si>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</si>
  <si>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</si>
  <si>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</si>
  <si>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</si>
  <si>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</si>
  <si>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</si>
  <si>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</si>
  <si>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</si>
  <si>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</si>
  <si>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</si>
  <si>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</si>
  <si>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</si>
  <si>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</si>
  <si>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</si>
  <si>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</si>
  <si>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</si>
  <si>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</si>
  <si>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</si>
  <si>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</si>
  <si>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</si>
  <si>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</si>
  <si>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</si>
  <si>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</si>
  <si>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</si>
  <si>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</si>
  <si>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</si>
  <si>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</si>
  <si>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</si>
  <si>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</si>
  <si>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</si>
  <si>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</si>
  <si>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</si>
  <si>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</si>
  <si>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</si>
  <si>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</si>
  <si>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</si>
  <si>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</si>
  <si>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</si>
  <si>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</si>
  <si>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</si>
  <si>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</si>
  <si>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</si>
  <si>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</si>
  <si>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</si>
  <si>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</si>
  <si>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</si>
  <si>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</si>
  <si>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</si>
  <si>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</si>
  <si>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</si>
  <si>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</si>
  <si>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</si>
  <si>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</si>
  <si>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</si>
  <si>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</si>
  <si>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</si>
  <si>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</si>
  <si>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</si>
  <si>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</si>
  <si>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</si>
  <si>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</si>
  <si>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</si>
  <si>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</si>
  <si>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</si>
  <si>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</si>
  <si>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</si>
  <si>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</si>
  <si>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</si>
  <si>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</si>
  <si>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</si>
  <si>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</si>
  <si>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</si>
  <si>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</si>
  <si>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</si>
  <si>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</si>
  <si>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</si>
  <si>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</si>
  <si>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</si>
  <si>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</si>
  <si>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</si>
  <si>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</si>
  <si>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</si>
  <si>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</si>
  <si>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</si>
  <si>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</si>
  <si>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</si>
  <si>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</si>
  <si>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</si>
  <si>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</si>
  <si>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</si>
  <si>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</si>
  <si>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</si>
  <si>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</si>
  <si>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</si>
  <si>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</si>
  <si>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</si>
  <si>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</si>
  <si>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</si>
  <si>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</si>
  <si>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</si>
  <si>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</si>
  <si>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</si>
  <si>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</si>
  <si>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</si>
  <si>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</si>
  <si>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</si>
  <si>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</si>
  <si>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</si>
  <si>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</si>
  <si>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</si>
  <si>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</si>
  <si>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</si>
  <si>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</si>
  <si>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</si>
  <si>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</si>
  <si>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</si>
  <si>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</si>
  <si>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</si>
  <si>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</si>
  <si>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</si>
  <si>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</si>
  <si>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</si>
  <si>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</si>
  <si>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</si>
  <si>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</si>
  <si>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</si>
  <si>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</si>
  <si>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</si>
  <si>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</si>
  <si>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</si>
  <si>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</si>
  <si>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</si>
  <si>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</si>
  <si>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</si>
  <si>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</si>
  <si>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</si>
  <si>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</si>
  <si>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</si>
  <si>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</si>
  <si>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</si>
  <si>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</si>
  <si>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</si>
  <si>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</si>
  <si>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</si>
  <si>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</si>
  <si>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</si>
  <si>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</si>
  <si>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</si>
  <si>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</si>
  <si>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</si>
  <si>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</si>
  <si>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</si>
  <si>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</si>
  <si>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</si>
  <si>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</si>
  <si>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</si>
  <si>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</si>
  <si>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</si>
  <si>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</si>
  <si>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</si>
  <si>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</si>
  <si>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</si>
  <si>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</si>
  <si>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</si>
  <si>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</si>
  <si>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</si>
  <si>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</si>
  <si>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</si>
  <si>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</si>
  <si>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</si>
  <si>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</si>
  <si>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</si>
  <si>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</si>
  <si>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</si>
  <si>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</si>
  <si>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</si>
  <si>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</si>
  <si>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</si>
  <si>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</si>
  <si>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</si>
  <si>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</si>
  <si>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</si>
  <si>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</si>
  <si>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</si>
  <si>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</si>
  <si>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</si>
  <si>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</si>
  <si>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</si>
  <si>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</si>
  <si>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</si>
  <si>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</si>
  <si>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</si>
  <si>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</si>
  <si>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</si>
  <si>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</si>
  <si>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</si>
  <si>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</si>
  <si>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</si>
  <si>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</si>
  <si>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</si>
  <si>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</si>
  <si>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</si>
  <si>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</si>
  <si>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</si>
  <si>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</si>
  <si>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</si>
  <si>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</si>
  <si>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</si>
  <si>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</si>
  <si>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</si>
  <si>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</si>
  <si>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</si>
  <si>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</si>
  <si>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</si>
  <si>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</si>
  <si>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</si>
  <si>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</si>
  <si>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</si>
  <si>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</si>
  <si>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</si>
  <si>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</si>
  <si>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</si>
  <si>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</si>
  <si>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</si>
  <si>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</si>
  <si>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</si>
  <si>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</si>
  <si>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</si>
  <si>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</si>
  <si>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</si>
  <si>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</si>
  <si>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</si>
  <si>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</si>
  <si>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</si>
  <si>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</si>
  <si>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</si>
  <si>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</si>
  <si>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</si>
  <si>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</si>
  <si>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</si>
  <si>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</si>
  <si>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</si>
  <si>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</si>
  <si>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</si>
  <si>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</si>
  <si>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</si>
  <si>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</si>
  <si>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</si>
  <si>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</si>
  <si>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</si>
  <si>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</si>
  <si>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</si>
  <si>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</si>
  <si>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</si>
  <si>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</si>
  <si>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</si>
  <si>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</si>
  <si>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</si>
  <si>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</si>
  <si>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</si>
  <si>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</si>
  <si>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</si>
  <si>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</si>
  <si>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</si>
  <si>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</si>
  <si>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</si>
  <si>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</si>
  <si>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</si>
  <si>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</si>
  <si>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</si>
  <si>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</si>
  <si>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</si>
  <si>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</si>
  <si>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</si>
  <si>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</si>
  <si>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</si>
  <si>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</si>
  <si>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</si>
  <si>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</si>
  <si>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</si>
  <si>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</si>
  <si>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</si>
  <si>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</si>
  <si>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</si>
  <si>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</si>
  <si>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</si>
  <si>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</si>
  <si>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</si>
  <si>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</si>
  <si>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</si>
  <si>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</si>
  <si>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</si>
  <si>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</si>
  <si>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</si>
  <si>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</si>
  <si>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</si>
  <si>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</si>
  <si>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</si>
  <si>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</si>
  <si>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</si>
  <si>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</si>
  <si>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</si>
  <si>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</si>
  <si>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</si>
  <si>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</si>
  <si>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</si>
  <si>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</si>
  <si>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</si>
  <si>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</si>
  <si>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</si>
  <si>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</si>
  <si>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</si>
  <si>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</si>
  <si>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</si>
  <si>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</si>
  <si>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</si>
  <si>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</si>
  <si>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</si>
  <si>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</si>
  <si>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</si>
  <si>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</si>
  <si>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</si>
  <si>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</si>
  <si>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</si>
  <si>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</si>
  <si>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</si>
  <si>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</si>
  <si>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</si>
  <si>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</si>
  <si>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</si>
  <si>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</si>
  <si>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</si>
  <si>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</si>
  <si>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</si>
  <si>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</si>
  <si>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</si>
  <si>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</si>
  <si>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</si>
  <si>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</si>
  <si>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</si>
  <si>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</si>
  <si>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</si>
  <si>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</si>
  <si>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</si>
  <si>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</si>
  <si>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</si>
  <si>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</si>
  <si>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</si>
  <si>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</si>
  <si>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</si>
  <si>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</si>
  <si>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</si>
  <si>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</si>
  <si>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</si>
  <si>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</si>
  <si>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</si>
  <si>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</si>
  <si>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</si>
  <si>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</si>
  <si>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</si>
  <si>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</si>
  <si>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</si>
  <si>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</si>
  <si>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</si>
  <si>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</si>
  <si>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</si>
  <si>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</si>
  <si>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</si>
  <si>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</si>
  <si>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</si>
  <si>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</si>
  <si>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</si>
  <si>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</si>
  <si>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</si>
  <si>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</si>
  <si>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</si>
  <si>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</si>
  <si>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</si>
  <si>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</si>
  <si>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</si>
  <si>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</si>
  <si>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</si>
  <si>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</si>
  <si>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</si>
  <si>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</si>
  <si>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</si>
  <si>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</si>
  <si>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</si>
  <si>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</si>
  <si>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</si>
  <si>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</si>
  <si>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</si>
  <si>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</si>
  <si>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</si>
  <si>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</si>
  <si>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</si>
  <si>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</si>
  <si>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</si>
  <si>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</si>
  <si>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</si>
  <si>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</si>
  <si>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</si>
  <si>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</si>
  <si>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</si>
  <si>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</si>
  <si>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</si>
  <si>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</si>
  <si>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</si>
  <si>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</si>
  <si>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</si>
  <si>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</si>
  <si>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</si>
  <si>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</si>
  <si>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</si>
  <si>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</si>
  <si>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</si>
  <si>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</si>
  <si>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</si>
  <si>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</si>
  <si>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</si>
  <si>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</si>
  <si>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</si>
  <si>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</si>
  <si>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</si>
  <si>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</si>
  <si>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</si>
  <si>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</si>
  <si>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</si>
  <si>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</si>
  <si>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</si>
  <si>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</si>
  <si>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</si>
  <si>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</si>
  <si>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</si>
  <si>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</si>
  <si>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</si>
  <si>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</si>
  <si>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</si>
  <si>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</si>
  <si>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</si>
  <si>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</si>
  <si>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</si>
  <si>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</si>
  <si>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</si>
  <si>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</si>
  <si>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</si>
  <si>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</si>
  <si>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</si>
  <si>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</si>
  <si>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</si>
  <si>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</si>
  <si>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</si>
  <si>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</si>
  <si>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</si>
  <si>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</si>
  <si>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</si>
  <si>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</si>
  <si>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</si>
  <si>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</si>
  <si>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</si>
  <si>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</si>
  <si>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</si>
  <si>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</si>
  <si>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</si>
  <si>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</si>
  <si>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</si>
  <si>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</si>
  <si>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</si>
  <si>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</si>
  <si>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</si>
  <si>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</si>
  <si>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</si>
  <si>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</si>
  <si>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</si>
  <si>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</si>
  <si>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</si>
  <si>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</si>
  <si>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</si>
  <si>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</si>
  <si>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</si>
  <si>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</si>
  <si>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</si>
  <si>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</si>
  <si>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</si>
  <si>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</si>
  <si>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</si>
  <si>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</si>
  <si>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</si>
  <si>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</si>
  <si>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</si>
  <si>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</si>
  <si>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</si>
  <si>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</si>
  <si>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</si>
  <si>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</si>
  <si>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</si>
  <si>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</si>
  <si>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</si>
  <si>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</si>
  <si>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</si>
  <si>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</si>
  <si>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</si>
  <si>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</si>
  <si>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</si>
  <si>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</si>
  <si>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</si>
  <si>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</si>
  <si>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</si>
  <si>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</si>
  <si>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</si>
  <si>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</si>
  <si>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</si>
  <si>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</si>
  <si>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</si>
  <si>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</si>
  <si>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</si>
  <si>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</si>
  <si>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</si>
  <si>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</si>
  <si>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</si>
  <si>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</si>
  <si>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</si>
  <si>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</si>
  <si>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</si>
  <si>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</si>
  <si>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</si>
  <si>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</si>
  <si>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</si>
  <si>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</si>
  <si>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</si>
  <si>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</si>
  <si>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</si>
  <si>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</si>
  <si>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</si>
  <si>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</si>
  <si>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</si>
  <si>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</si>
  <si>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</si>
  <si>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</si>
  <si>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</si>
  <si>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</si>
  <si>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</si>
  <si>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</si>
  <si>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</si>
  <si>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</si>
  <si>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</si>
  <si>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</si>
  <si>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</si>
  <si>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</si>
  <si>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</si>
  <si>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</si>
  <si>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</si>
  <si>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</si>
  <si>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</si>
  <si>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</si>
  <si>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</si>
  <si>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</si>
  <si>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</si>
  <si>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</si>
  <si>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</si>
  <si>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</si>
  <si>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</si>
  <si>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</si>
  <si>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</si>
  <si>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</si>
  <si>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</si>
  <si>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</si>
  <si>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</si>
  <si>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</si>
  <si>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</si>
  <si>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</si>
  <si>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</si>
  <si>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</si>
  <si>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</si>
  <si>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</si>
  <si>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</si>
  <si>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</si>
  <si>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</si>
  <si>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</si>
  <si>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</si>
  <si>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</si>
  <si>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</si>
  <si>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</si>
  <si>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</si>
  <si>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</si>
  <si>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</si>
  <si>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</si>
  <si>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</si>
  <si>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</si>
  <si>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</si>
  <si>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</si>
  <si>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</si>
  <si>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</si>
  <si>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</si>
  <si>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</si>
  <si>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</si>
  <si>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</si>
  <si>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</si>
  <si>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</si>
  <si>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</si>
  <si>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</si>
  <si>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</si>
  <si>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</si>
  <si>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</si>
  <si>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</si>
  <si>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</si>
  <si>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</si>
  <si>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</si>
  <si>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</si>
  <si>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</si>
  <si>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</si>
  <si>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</si>
  <si>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</si>
  <si>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</si>
  <si>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</si>
  <si>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</si>
  <si>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</si>
  <si>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</si>
  <si>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</si>
  <si>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</si>
  <si>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</si>
  <si>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</si>
  <si>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</si>
  <si>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</si>
  <si>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</si>
  <si>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</si>
  <si>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</si>
  <si>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</si>
  <si>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</si>
  <si>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</si>
  <si>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</si>
  <si>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</si>
  <si>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</si>
  <si>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</si>
  <si>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</si>
  <si>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</si>
  <si>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</si>
  <si>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</si>
  <si>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</si>
  <si>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</si>
  <si>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</si>
  <si>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</si>
  <si>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</si>
  <si>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</si>
  <si>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</si>
  <si>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</si>
  <si>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</si>
  <si>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</si>
  <si>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</si>
  <si>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</si>
  <si>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</si>
  <si>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</si>
  <si>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</si>
  <si>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</si>
  <si>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</si>
  <si>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</si>
  <si>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</si>
  <si>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</si>
  <si>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</si>
  <si>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</si>
  <si>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</si>
  <si>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</si>
  <si>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</si>
  <si>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</si>
  <si>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</si>
  <si>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</si>
  <si>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</si>
  <si>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</si>
  <si>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</si>
  <si>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</si>
  <si>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</si>
  <si>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</si>
  <si>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</si>
  <si>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</si>
  <si>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</si>
  <si>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</si>
  <si>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</si>
  <si>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</si>
  <si>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</si>
  <si>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</si>
  <si>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</si>
  <si>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</si>
  <si>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</si>
  <si>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</si>
  <si>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</si>
  <si>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</si>
  <si>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</si>
  <si>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</si>
  <si>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</si>
  <si>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</si>
  <si>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</si>
  <si>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</si>
  <si>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</si>
  <si>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</si>
  <si>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</si>
  <si>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</si>
  <si>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</si>
  <si>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</si>
  <si>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</si>
  <si>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</si>
  <si>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</si>
  <si>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</si>
  <si>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</si>
  <si>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</si>
  <si>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</si>
  <si>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</si>
  <si>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</si>
  <si>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</si>
  <si>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</si>
  <si>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</si>
  <si>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</si>
  <si>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</si>
  <si>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</si>
  <si>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</si>
  <si>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</si>
  <si>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</si>
  <si>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</si>
  <si>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</si>
  <si>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</si>
  <si>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</si>
  <si>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</si>
  <si>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</si>
  <si>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</si>
  <si>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</si>
  <si>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</si>
  <si>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</si>
  <si>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</si>
  <si>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</si>
  <si>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</si>
  <si>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</si>
  <si>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</si>
  <si>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</si>
  <si>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</si>
  <si>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</si>
  <si>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</si>
  <si>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</si>
  <si>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</si>
  <si>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</si>
  <si>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</si>
  <si>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</si>
  <si>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</si>
  <si>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</si>
  <si>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</si>
  <si>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</si>
  <si>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</si>
  <si>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</si>
  <si>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</si>
  <si>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</si>
  <si>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</si>
  <si>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</si>
  <si>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</si>
  <si>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</si>
  <si>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</si>
  <si>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</si>
  <si>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</si>
  <si>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</si>
  <si>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</si>
  <si>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</si>
  <si>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</si>
  <si>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</si>
  <si>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</si>
  <si>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</si>
  <si>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</si>
  <si>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</si>
  <si>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</si>
  <si>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</si>
  <si>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</si>
  <si>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</si>
  <si>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</si>
  <si>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</si>
  <si>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</si>
  <si>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</si>
  <si>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</si>
  <si>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</si>
  <si>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</si>
  <si>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</si>
  <si>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</si>
  <si>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</si>
  <si>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</si>
  <si>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</si>
  <si>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</si>
  <si>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</si>
  <si>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</si>
  <si>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</si>
  <si>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</si>
  <si>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</si>
  <si>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</si>
  <si>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</si>
  <si>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</si>
  <si>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</si>
  <si>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</si>
  <si>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</si>
  <si>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</si>
  <si>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</si>
  <si>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</si>
  <si>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</si>
  <si>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</si>
  <si>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</si>
  <si>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</si>
  <si>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</si>
  <si>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</si>
  <si>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</si>
  <si>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</si>
  <si>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</si>
  <si>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</si>
  <si>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</si>
  <si>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</si>
  <si>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</si>
  <si>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</si>
  <si>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</si>
  <si>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</si>
  <si>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</si>
  <si>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</si>
  <si>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</si>
  <si>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</si>
  <si>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</si>
  <si>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</si>
  <si>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</si>
  <si>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</si>
  <si>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</si>
  <si>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</si>
  <si>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</si>
  <si>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</si>
  <si>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</si>
  <si>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</si>
  <si>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</si>
  <si>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</si>
  <si>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</si>
  <si>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</si>
  <si>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</si>
  <si>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</si>
  <si>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</si>
  <si>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</si>
  <si>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</si>
  <si>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</si>
  <si>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</si>
  <si>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</si>
  <si>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</si>
  <si>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</si>
  <si>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</si>
  <si>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</si>
  <si>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</si>
  <si>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</si>
  <si>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</si>
  <si>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</si>
  <si>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</si>
  <si>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</si>
  <si>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</si>
  <si>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</si>
  <si>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</si>
  <si>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</si>
  <si>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</si>
  <si>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</si>
  <si>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</si>
  <si>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</si>
  <si>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</si>
  <si>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</si>
  <si>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</si>
  <si>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</si>
  <si>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</si>
  <si>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</si>
  <si>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</si>
  <si>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</si>
  <si>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</si>
  <si>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</si>
  <si>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</si>
  <si>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</si>
  <si>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</si>
  <si>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</si>
  <si>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</si>
  <si>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</si>
  <si>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</si>
  <si>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</si>
  <si>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</si>
  <si>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</si>
  <si>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</si>
  <si>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</si>
  <si>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</si>
  <si>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</si>
  <si>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</si>
  <si>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</si>
  <si>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</si>
  <si>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</si>
  <si>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</si>
  <si>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</si>
  <si>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</si>
  <si>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</si>
  <si>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</si>
  <si>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</si>
  <si>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</si>
  <si>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</si>
  <si>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</si>
  <si>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</si>
  <si>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</si>
  <si>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</si>
  <si>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</si>
  <si>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</si>
  <si>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</si>
  <si>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</si>
  <si>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</si>
  <si>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</si>
  <si>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</si>
  <si>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</si>
  <si>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</si>
  <si>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</si>
  <si>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</si>
  <si>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</si>
  <si>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</si>
  <si>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</si>
  <si>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</si>
  <si>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</si>
  <si>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</si>
  <si>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</si>
  <si>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</si>
  <si>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</si>
  <si>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</si>
  <si>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</si>
  <si>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</si>
  <si>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</si>
  <si>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</si>
  <si>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</si>
  <si>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</si>
  <si>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</si>
  <si>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</si>
  <si>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</si>
  <si>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</si>
  <si>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</si>
  <si>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</si>
  <si>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</si>
  <si>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</si>
  <si>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</si>
  <si>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</si>
  <si>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</si>
  <si>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</si>
  <si>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</si>
  <si>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</si>
  <si>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</si>
  <si>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</si>
  <si>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</si>
  <si>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</si>
  <si>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</si>
  <si>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</si>
  <si>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</si>
  <si>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</si>
  <si>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</si>
  <si>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</si>
  <si>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</si>
  <si>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</si>
  <si>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</si>
  <si>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</si>
  <si>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</si>
  <si>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</si>
  <si>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</si>
  <si>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</si>
  <si>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</si>
  <si>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</si>
  <si>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</si>
  <si>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</si>
  <si>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</si>
  <si>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</si>
  <si>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</si>
  <si>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</si>
  <si>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</si>
  <si>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</si>
  <si>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</si>
  <si>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</si>
  <si>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</si>
  <si>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</si>
  <si>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</si>
  <si>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</si>
  <si>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</si>
  <si>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</si>
  <si>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</si>
  <si>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</si>
  <si>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</si>
  <si>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</si>
  <si>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</si>
  <si>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</si>
  <si>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</si>
  <si>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</si>
  <si>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</si>
  <si>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</si>
  <si>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</si>
  <si>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</si>
  <si>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</si>
  <si>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</si>
  <si>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</si>
  <si>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</si>
  <si>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</si>
  <si>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</si>
  <si>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</si>
  <si>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</si>
  <si>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</si>
  <si>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</si>
  <si>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</si>
  <si>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</si>
  <si>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</si>
  <si>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</si>
  <si>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</si>
  <si>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</si>
  <si>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</si>
  <si>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</si>
  <si>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</si>
  <si>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</si>
  <si>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</si>
  <si>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</si>
  <si>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</si>
  <si>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</si>
  <si>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</si>
  <si>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</si>
  <si>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</si>
  <si>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</si>
  <si>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</si>
  <si>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</si>
  <si>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</si>
  <si>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</si>
  <si>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</si>
  <si>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</si>
  <si>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</si>
  <si>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</si>
  <si>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</si>
  <si>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</si>
  <si>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</si>
  <si>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</si>
  <si>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</si>
  <si>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</si>
  <si>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</si>
  <si>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</si>
  <si>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</si>
  <si>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</si>
  <si>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</si>
  <si>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</si>
  <si>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</si>
  <si>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</si>
  <si>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</si>
  <si>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</si>
  <si>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</si>
  <si>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</si>
  <si>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</si>
  <si>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</si>
  <si>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</si>
  <si>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</si>
  <si>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</si>
  <si>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</si>
  <si>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</si>
  <si>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</si>
  <si>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</si>
  <si>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</si>
  <si>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</si>
  <si>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</si>
  <si>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</si>
  <si>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</si>
  <si>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</si>
  <si>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</si>
  <si>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</si>
  <si>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</si>
  <si>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</si>
  <si>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</si>
  <si>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</si>
  <si>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</si>
  <si>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</si>
  <si>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</si>
  <si>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</si>
  <si>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</si>
  <si>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</si>
  <si>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</si>
  <si>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</si>
  <si>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</si>
  <si>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</si>
  <si>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</si>
  <si>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</si>
  <si>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</si>
  <si>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</si>
  <si>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</si>
  <si>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</si>
  <si>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</si>
  <si>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</si>
  <si>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</si>
  <si>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</si>
  <si>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</si>
  <si>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</si>
  <si>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</si>
  <si>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</si>
  <si>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</si>
  <si>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</si>
  <si>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</si>
  <si>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</si>
  <si>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</si>
  <si>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</si>
  <si>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</si>
  <si>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</si>
  <si>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</si>
  <si>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</si>
  <si>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</si>
  <si>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</si>
  <si>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</si>
  <si>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</si>
  <si>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</si>
  <si>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</si>
  <si>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</si>
  <si>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</si>
  <si>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</si>
  <si>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</si>
  <si>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</si>
  <si>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</si>
  <si>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</si>
  <si>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</si>
  <si>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</si>
  <si>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</si>
  <si>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</si>
  <si>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</si>
  <si>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</si>
  <si>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</si>
  <si>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</si>
  <si>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</si>
  <si>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</si>
  <si>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</si>
  <si>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</si>
  <si>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</si>
  <si>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</si>
  <si>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</si>
  <si>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</si>
  <si>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</si>
  <si>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</si>
  <si>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</si>
  <si>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</si>
  <si>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</si>
  <si>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</si>
  <si>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</si>
  <si>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</si>
  <si>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</si>
  <si>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</si>
  <si>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</si>
  <si>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</si>
  <si>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</si>
  <si>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</si>
  <si>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</si>
  <si>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</si>
  <si>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</si>
  <si>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</si>
  <si>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</si>
  <si>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</si>
  <si>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</si>
  <si>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</si>
  <si>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</si>
  <si>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</si>
  <si>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</si>
  <si>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</si>
  <si>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</si>
  <si>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</si>
  <si>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</si>
  <si>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</si>
  <si>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</si>
  <si>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</si>
  <si>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</si>
  <si>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</si>
  <si>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</si>
  <si>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</si>
  <si>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</si>
  <si>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</si>
  <si>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</si>
  <si>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</si>
  <si>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</si>
  <si>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</si>
  <si>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</si>
  <si>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</si>
  <si>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</si>
  <si>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</si>
  <si>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</si>
  <si>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</si>
  <si>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</si>
  <si>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</si>
  <si>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</si>
  <si>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</si>
  <si>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</si>
  <si>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</si>
  <si>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</si>
  <si>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</si>
  <si>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</si>
  <si>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</si>
  <si>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</si>
  <si>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</si>
  <si>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</si>
  <si>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</si>
  <si>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</si>
  <si>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</si>
  <si>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</si>
  <si>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</si>
  <si>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</si>
  <si>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</si>
  <si>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</si>
  <si>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</si>
  <si>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</si>
  <si>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</si>
  <si>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</si>
  <si>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</si>
  <si>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</si>
  <si>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</si>
  <si>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</si>
  <si>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</si>
  <si>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</si>
  <si>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</si>
  <si>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</si>
  <si>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</si>
  <si>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</si>
  <si>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</si>
  <si>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</si>
  <si>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</si>
  <si>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</si>
  <si>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</si>
  <si>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</si>
  <si>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</si>
  <si>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</si>
  <si>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</si>
  <si>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</si>
  <si>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</si>
  <si>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</si>
  <si>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</si>
  <si>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</si>
  <si>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</si>
  <si>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</si>
  <si>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</si>
  <si>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</si>
  <si>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</si>
  <si>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</si>
  <si>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</si>
  <si>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</si>
  <si>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</si>
  <si>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</si>
  <si>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</si>
  <si>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</si>
  <si>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</si>
  <si>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</si>
  <si>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</si>
  <si>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</si>
  <si>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</si>
  <si>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</si>
  <si>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</si>
  <si>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</si>
  <si>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</si>
  <si>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</si>
  <si>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</si>
  <si>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</si>
  <si>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</si>
  <si>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</si>
  <si>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</si>
  <si>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</si>
  <si>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</si>
  <si>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</si>
  <si>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</si>
  <si>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</si>
  <si>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</si>
  <si>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</si>
  <si>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</si>
  <si>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</si>
  <si>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</si>
  <si>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</si>
  <si>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</si>
  <si>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</si>
  <si>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</si>
  <si>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</si>
  <si>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</si>
  <si>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</si>
  <si>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</si>
  <si>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</si>
  <si>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</si>
  <si>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</si>
  <si>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</si>
  <si>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</si>
  <si>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</si>
  <si>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</si>
  <si>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</si>
  <si>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</si>
  <si>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</si>
  <si>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</si>
  <si>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</si>
  <si>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</si>
  <si>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</si>
  <si>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</si>
  <si>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</si>
  <si>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</si>
  <si>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</si>
  <si>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</si>
  <si>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</si>
  <si>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</si>
  <si>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</si>
  <si>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</si>
  <si>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</si>
  <si>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</si>
  <si>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</si>
  <si>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</si>
  <si>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</si>
  <si>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</si>
  <si>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</si>
  <si>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</si>
  <si>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</si>
  <si>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</si>
  <si>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</si>
  <si>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</si>
  <si>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</si>
  <si>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</si>
  <si>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</si>
  <si>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</si>
  <si>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</si>
  <si>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</si>
  <si>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</si>
  <si>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</si>
  <si>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</si>
  <si>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</si>
  <si>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</si>
  <si>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</si>
  <si>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</si>
  <si>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</si>
  <si>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</si>
  <si>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</si>
  <si>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</si>
  <si>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</si>
  <si>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</si>
  <si>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</si>
  <si>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</si>
  <si>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</si>
  <si>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</si>
  <si>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</si>
  <si>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</si>
  <si>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</si>
  <si>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</si>
  <si>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</si>
  <si>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</si>
  <si>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</si>
  <si>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</si>
  <si>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</si>
  <si>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</si>
  <si>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</si>
  <si>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</si>
  <si>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</si>
  <si>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</si>
  <si>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</si>
  <si>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</si>
  <si>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</si>
  <si>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</si>
  <si>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</si>
  <si>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</si>
  <si>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</si>
  <si>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</si>
  <si>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</si>
  <si>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</si>
  <si>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</si>
  <si>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</si>
  <si>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</si>
  <si>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</si>
  <si>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</si>
  <si>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</si>
  <si>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</si>
  <si>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</si>
  <si>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</si>
  <si>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</si>
  <si>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</si>
  <si>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</si>
  <si>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</si>
  <si>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</si>
  <si>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</si>
  <si>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</si>
  <si>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</si>
  <si>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</si>
  <si>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</si>
  <si>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</si>
  <si>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</si>
  <si>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</si>
  <si>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</si>
  <si>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</si>
  <si>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</si>
  <si>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</si>
  <si>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</si>
  <si>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</si>
  <si>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</si>
  <si>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</si>
  <si>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</si>
  <si>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</si>
  <si>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</si>
  <si>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</si>
  <si>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</si>
  <si>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</si>
  <si>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</si>
  <si>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</si>
  <si>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</si>
  <si>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</si>
  <si>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</si>
  <si>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</si>
  <si>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</si>
  <si>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</si>
  <si>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</si>
  <si>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</si>
  <si>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</si>
  <si>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</si>
  <si>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</si>
  <si>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</si>
  <si>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</si>
  <si>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</si>
  <si>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</si>
  <si>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</si>
  <si>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</si>
  <si>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</si>
  <si>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</si>
  <si>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</si>
  <si>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</si>
  <si>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</si>
  <si>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</si>
  <si>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</si>
  <si>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</si>
  <si>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</si>
  <si>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</si>
  <si>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</si>
  <si>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</si>
  <si>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</si>
  <si>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</si>
  <si>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</si>
  <si>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</si>
  <si>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</si>
  <si>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</si>
  <si>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</si>
  <si>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</si>
  <si>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</si>
  <si>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</si>
  <si>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</si>
  <si>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</si>
  <si>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</si>
  <si>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</si>
  <si>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</si>
  <si>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</si>
  <si>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</si>
  <si>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</si>
  <si>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</si>
  <si>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</si>
  <si>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</si>
  <si>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</si>
  <si>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</si>
  <si>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</si>
  <si>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</si>
  <si>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</si>
  <si>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</si>
  <si>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</si>
  <si>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</si>
  <si>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</si>
  <si>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</si>
  <si>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</si>
  <si>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</si>
  <si>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</si>
  <si>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</si>
  <si>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</si>
  <si>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</si>
  <si>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</si>
  <si>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</si>
  <si>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</si>
  <si>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</si>
  <si>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</si>
  <si>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</si>
  <si>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</si>
  <si>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</si>
  <si>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</si>
  <si>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</si>
  <si>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</si>
  <si>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</si>
  <si>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</si>
  <si>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</si>
  <si>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</si>
  <si>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</si>
  <si>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</si>
  <si>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</si>
  <si>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</si>
  <si>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</si>
  <si>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</si>
  <si>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</si>
  <si>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</si>
  <si>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</si>
  <si>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</si>
  <si>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</si>
  <si>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</si>
  <si>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</si>
  <si>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</si>
  <si>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</si>
  <si>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</si>
  <si>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</si>
  <si>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</si>
  <si>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</si>
  <si>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</si>
  <si>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</si>
  <si>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</si>
  <si>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</si>
  <si>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</si>
  <si>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</si>
  <si>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</si>
  <si>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</si>
  <si>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</si>
  <si>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</si>
  <si>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</si>
  <si>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</si>
  <si>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</si>
  <si>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</si>
  <si>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</si>
  <si>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</si>
  <si>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</si>
  <si>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</si>
  <si>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</si>
  <si>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</si>
  <si>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</si>
  <si>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</si>
  <si>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</si>
  <si>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</si>
  <si>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</si>
  <si>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</si>
  <si>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</si>
  <si>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</si>
  <si>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</si>
  <si>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</si>
  <si>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</si>
  <si>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</si>
  <si>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</si>
  <si>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</si>
  <si>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</si>
  <si>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</si>
  <si>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</si>
  <si>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</si>
  <si>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</si>
  <si>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</si>
  <si>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</si>
  <si>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</si>
  <si>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</si>
  <si>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</si>
  <si>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</si>
  <si>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</si>
  <si>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</si>
  <si>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</si>
  <si>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</si>
  <si>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</si>
  <si>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</si>
  <si>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</si>
  <si>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</si>
  <si>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</si>
  <si>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</si>
  <si>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</si>
  <si>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</si>
  <si>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</si>
  <si>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</si>
  <si>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</si>
  <si>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</si>
  <si>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</si>
  <si>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</si>
  <si>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</si>
  <si>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</si>
  <si>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</si>
  <si>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</si>
  <si>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</si>
  <si>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</si>
  <si>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</si>
  <si>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</si>
  <si>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</si>
  <si>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</si>
  <si>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</si>
  <si>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</si>
  <si>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</si>
  <si>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</si>
  <si>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</si>
  <si>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</si>
  <si>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</si>
  <si>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</si>
  <si>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</si>
  <si>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</si>
  <si>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</si>
  <si>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</si>
  <si>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</si>
  <si>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</si>
  <si>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</si>
  <si>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</si>
  <si>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</si>
  <si>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</si>
  <si>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</si>
  <si>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</si>
  <si>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</si>
  <si>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</si>
  <si>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</si>
  <si>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</si>
  <si>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</si>
  <si>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</si>
  <si>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</si>
  <si>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</si>
  <si>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</si>
  <si>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</si>
  <si>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</si>
  <si>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</si>
  <si>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</si>
  <si>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</si>
  <si>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</si>
  <si>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</si>
  <si>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</si>
  <si>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</si>
  <si>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</si>
  <si>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</si>
  <si>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</si>
  <si>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</si>
  <si>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</si>
  <si>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</si>
  <si>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</si>
  <si>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</si>
  <si>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</si>
  <si>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</si>
  <si>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</si>
  <si>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</si>
  <si>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</si>
  <si>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</si>
  <si>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</si>
  <si>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</si>
  <si>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</si>
  <si>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</si>
  <si>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</si>
  <si>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</si>
  <si>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</si>
  <si>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</si>
  <si>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</si>
  <si>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</si>
  <si>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</si>
  <si>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</si>
  <si>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</si>
  <si>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</si>
  <si>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</si>
  <si>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</si>
  <si>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</si>
  <si>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</si>
  <si>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</si>
  <si>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</si>
  <si>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</si>
  <si>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</si>
  <si>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</si>
  <si>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</si>
  <si>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</si>
  <si>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</si>
  <si>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</si>
  <si>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</si>
  <si>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</si>
  <si>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</si>
  <si>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</si>
  <si>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</si>
  <si>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</si>
  <si>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</si>
  <si>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</si>
  <si>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</si>
  <si>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</si>
  <si>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</si>
  <si>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</si>
  <si>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</si>
  <si>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</si>
  <si>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</si>
  <si>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</si>
  <si>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</si>
  <si>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</si>
  <si>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</si>
  <si>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</si>
  <si>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</si>
  <si>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</si>
  <si>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</si>
  <si>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</si>
  <si>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</si>
  <si>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</si>
  <si>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</si>
  <si>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</si>
  <si>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</si>
  <si>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</si>
  <si>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</si>
  <si>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</si>
  <si>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</si>
  <si>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</si>
  <si>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</si>
  <si>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</si>
  <si>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</si>
  <si>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</si>
  <si>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</si>
  <si>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</si>
  <si>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</si>
  <si>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</si>
  <si>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</si>
  <si>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</si>
  <si>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</si>
  <si>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</si>
  <si>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</si>
  <si>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</si>
  <si>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</si>
  <si>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</si>
  <si>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</si>
  <si>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</si>
  <si>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</si>
  <si>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</si>
  <si>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</si>
  <si>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</si>
  <si>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</si>
  <si>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</si>
  <si>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</si>
  <si>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</si>
  <si>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</si>
  <si>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</si>
  <si>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</si>
  <si>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</si>
  <si>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</si>
  <si>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</si>
  <si>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</si>
  <si>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</si>
  <si>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</si>
  <si>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</si>
  <si>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</si>
  <si>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</si>
  <si>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</si>
  <si>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</si>
  <si>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</si>
  <si>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</si>
  <si>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</si>
  <si>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</si>
  <si>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</si>
  <si>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</si>
  <si>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</si>
  <si>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</si>
  <si>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</si>
  <si>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</si>
  <si>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</si>
  <si>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</si>
  <si>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</si>
  <si>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</si>
  <si>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</si>
  <si>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</si>
  <si>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</si>
  <si>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</si>
  <si>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</si>
  <si>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</si>
  <si>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</si>
  <si>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</si>
  <si>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</si>
  <si>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</si>
  <si>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</si>
  <si>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</si>
  <si>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</si>
  <si>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</si>
  <si>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</si>
  <si>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</si>
  <si>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</si>
  <si>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</si>
  <si>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</si>
  <si>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</si>
  <si>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</si>
  <si>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</si>
  <si>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</si>
  <si>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</si>
  <si>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</si>
  <si>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</si>
  <si>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</si>
  <si>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</si>
  <si>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</si>
  <si>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</si>
  <si>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</si>
  <si>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</si>
  <si>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</si>
  <si>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</si>
  <si>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</si>
  <si>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</si>
  <si>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</si>
  <si>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</si>
  <si>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</si>
  <si>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</si>
  <si>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</si>
  <si>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</si>
  <si>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</si>
  <si>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</si>
  <si>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</si>
  <si>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</si>
  <si>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</si>
  <si>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</si>
  <si>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</si>
  <si>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</si>
  <si>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</si>
  <si>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</si>
  <si>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</si>
  <si>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</si>
  <si>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</si>
  <si>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</si>
  <si>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</si>
  <si>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</si>
  <si>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</si>
  <si>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</si>
  <si>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</si>
  <si>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</si>
  <si>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</si>
  <si>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</si>
  <si>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</si>
  <si>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</si>
  <si>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</si>
  <si>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</si>
  <si>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</si>
  <si>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</si>
  <si>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</si>
  <si>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</si>
  <si>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</si>
  <si>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</si>
  <si>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</si>
  <si>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</si>
  <si>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</si>
  <si>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</si>
  <si>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</si>
  <si>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</si>
  <si>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</si>
  <si>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</si>
  <si>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</si>
  <si>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</si>
  <si>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</si>
  <si>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</si>
  <si>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</si>
  <si>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</si>
  <si>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</si>
  <si>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</si>
  <si>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</si>
  <si>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</si>
  <si>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</si>
  <si>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</si>
  <si>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</si>
  <si>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</si>
  <si>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</si>
  <si>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</si>
  <si>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</si>
  <si>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</si>
  <si>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</si>
  <si>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</si>
  <si>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</si>
  <si>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</si>
  <si>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</si>
  <si>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</si>
  <si>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</si>
  <si>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</si>
  <si>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</si>
  <si>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</si>
  <si>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</si>
  <si>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</si>
  <si>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</si>
  <si>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</si>
  <si>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</si>
  <si>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</si>
  <si>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</si>
  <si>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</si>
  <si>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</si>
  <si>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</si>
  <si>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</si>
  <si>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</si>
  <si>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</si>
  <si>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</si>
  <si>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</si>
  <si>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</si>
  <si>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</si>
  <si>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</si>
  <si>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</si>
  <si>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</si>
  <si>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</si>
  <si>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</si>
  <si>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</si>
  <si>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</si>
  <si>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</si>
  <si>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</si>
  <si>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</si>
  <si>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</si>
  <si>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</si>
  <si>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</si>
  <si>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</si>
  <si>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</si>
  <si>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</si>
  <si>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</si>
  <si>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</si>
  <si>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</si>
  <si>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</si>
  <si>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</si>
  <si>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</si>
  <si>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</si>
  <si>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</si>
  <si>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</si>
  <si>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</si>
  <si>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</si>
  <si>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</si>
  <si>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</si>
  <si>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</si>
  <si>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</si>
  <si>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</si>
  <si>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</si>
  <si>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</si>
  <si>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</si>
  <si>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</si>
  <si>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</si>
  <si>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</si>
  <si>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</si>
  <si>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</si>
  <si>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</si>
  <si>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</si>
  <si>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</si>
  <si>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</si>
  <si>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</si>
  <si>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</si>
  <si>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</si>
  <si>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</si>
  <si>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</si>
  <si>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</si>
  <si>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</si>
  <si>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</si>
  <si>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</si>
  <si>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</si>
  <si>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</si>
  <si>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</si>
  <si>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</si>
  <si>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</si>
  <si>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</si>
  <si>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</si>
  <si>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</si>
  <si>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</si>
  <si>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</si>
  <si>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</si>
  <si>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</si>
  <si>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</si>
  <si>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</si>
  <si>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</si>
  <si>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</si>
  <si>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</si>
  <si>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</si>
  <si>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</si>
  <si>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</si>
  <si>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</si>
  <si>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</si>
  <si>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</si>
  <si>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</si>
  <si>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</si>
  <si>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</si>
  <si>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</si>
  <si>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</si>
  <si>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</si>
  <si>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</si>
  <si>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</si>
  <si>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</si>
  <si>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</si>
  <si>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</si>
  <si>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</si>
  <si>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</si>
  <si>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</si>
  <si>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</si>
  <si>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</si>
  <si>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</si>
  <si>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</si>
  <si>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</si>
  <si>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</si>
  <si>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</si>
  <si>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</si>
  <si>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</si>
  <si>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</si>
  <si>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</si>
  <si>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</si>
  <si>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</si>
  <si>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</si>
  <si>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</si>
  <si>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</si>
  <si>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</si>
  <si>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</si>
  <si>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</si>
  <si>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</si>
  <si>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</si>
  <si>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</si>
  <si>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</si>
  <si>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</si>
  <si>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</si>
  <si>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</si>
  <si>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</si>
  <si>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</si>
  <si>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</si>
  <si>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</si>
  <si>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</si>
  <si>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</si>
  <si>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</si>
  <si>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</si>
  <si>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</si>
  <si>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</si>
  <si>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</si>
  <si>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</si>
  <si>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</si>
  <si>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</si>
  <si>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</si>
  <si>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</si>
  <si>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</si>
  <si>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</si>
  <si>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</si>
  <si>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</si>
  <si>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</si>
  <si>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</si>
  <si>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</si>
  <si>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</si>
  <si>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</si>
  <si>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</si>
  <si>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</si>
  <si>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</si>
  <si>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</si>
  <si>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</si>
  <si>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</si>
  <si>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</si>
  <si>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</si>
  <si>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</si>
  <si>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</si>
  <si>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</si>
  <si>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</si>
  <si>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</si>
  <si>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</si>
  <si>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</si>
  <si>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</si>
  <si>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</si>
  <si>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</si>
  <si>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</si>
  <si>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</si>
  <si>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</si>
  <si>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</si>
  <si>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</si>
  <si>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</si>
  <si>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</si>
  <si>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</si>
  <si>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</si>
  <si>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</si>
  <si>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</si>
  <si>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</si>
  <si>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</si>
  <si>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</si>
  <si>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</si>
  <si>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</si>
  <si>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</si>
  <si>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</si>
  <si>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</si>
  <si>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</si>
  <si>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</si>
  <si>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</si>
  <si>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</si>
  <si>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</si>
  <si>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</si>
  <si>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</si>
  <si>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</si>
  <si>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</si>
  <si>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</si>
  <si>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</si>
  <si>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</si>
  <si>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</si>
  <si>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</si>
  <si>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</si>
  <si>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</si>
  <si>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</si>
  <si>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</si>
  <si>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</si>
  <si>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</si>
  <si>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</si>
  <si>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</si>
  <si>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</si>
  <si>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</si>
  <si>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</si>
  <si>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</si>
  <si>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</si>
  <si>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</si>
  <si>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</si>
  <si>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</si>
  <si>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</si>
  <si>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</si>
  <si>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</si>
  <si>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</si>
  <si>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</si>
  <si>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</si>
  <si>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</si>
  <si>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</si>
  <si>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</si>
  <si>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</si>
  <si>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</si>
  <si>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</si>
  <si>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</si>
  <si>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</si>
  <si>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</si>
  <si>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</si>
  <si>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</si>
  <si>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</si>
  <si>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</si>
  <si>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</si>
  <si>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</si>
  <si>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</si>
  <si>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</si>
  <si>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</si>
  <si>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</si>
  <si>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</si>
  <si>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</si>
  <si>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</si>
  <si>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</si>
  <si>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</si>
  <si>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</si>
  <si>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</si>
  <si>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</si>
  <si>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</si>
  <si>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</si>
  <si>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</si>
  <si>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</si>
  <si>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</si>
  <si>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</si>
  <si>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</si>
  <si>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</si>
  <si>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</si>
  <si>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</si>
  <si>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</si>
  <si>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</si>
  <si>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</si>
  <si>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</si>
  <si>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</si>
  <si>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</si>
  <si>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</si>
  <si>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</si>
  <si>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</si>
  <si>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</si>
  <si>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</si>
  <si>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</si>
  <si>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</si>
  <si>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</si>
  <si>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</si>
  <si>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</si>
  <si>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</si>
  <si>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</si>
  <si>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</si>
  <si>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</si>
  <si>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</si>
  <si>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</si>
  <si>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</si>
  <si>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</si>
  <si>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</si>
  <si>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</si>
  <si>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</si>
  <si>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</si>
  <si>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</si>
  <si>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</si>
  <si>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</si>
  <si>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</si>
  <si>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</si>
  <si>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</si>
  <si>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</si>
  <si>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</si>
  <si>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</si>
  <si>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</si>
  <si>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</si>
  <si>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</si>
  <si>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</si>
  <si>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</si>
  <si>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</si>
  <si>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</si>
  <si>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</si>
  <si>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</si>
  <si>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</si>
  <si>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</si>
  <si>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</si>
  <si>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</si>
  <si>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</si>
  <si>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</si>
  <si>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</si>
  <si>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</si>
  <si>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</si>
  <si>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</si>
  <si>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</si>
  <si>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</si>
  <si>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</si>
  <si>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</si>
  <si>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</si>
  <si>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</si>
  <si>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</si>
  <si>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</si>
  <si>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</si>
  <si>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</si>
  <si>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</si>
  <si>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</si>
  <si>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</si>
  <si>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</si>
  <si>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</si>
  <si>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</si>
  <si>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</si>
  <si>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</si>
  <si>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</si>
  <si>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</si>
  <si>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</si>
  <si>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</si>
  <si>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</si>
  <si>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</si>
  <si>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</si>
  <si>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</si>
  <si>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</si>
  <si>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</si>
  <si>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</si>
  <si>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</si>
  <si>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</si>
  <si>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</si>
  <si>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</si>
  <si>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</si>
  <si>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</si>
  <si>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</si>
  <si>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</si>
  <si>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</si>
  <si>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</si>
  <si>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</si>
  <si>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</si>
  <si>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</si>
  <si>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</si>
  <si>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</si>
  <si>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</si>
  <si>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</si>
  <si>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</si>
  <si>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</si>
  <si>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</si>
  <si>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</si>
  <si>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</si>
  <si>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</si>
  <si>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</si>
  <si>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</si>
  <si>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</si>
  <si>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</si>
  <si>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</si>
  <si>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</si>
  <si>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</si>
  <si>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</si>
  <si>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</si>
  <si>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</si>
  <si>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</si>
  <si>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</si>
  <si>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</si>
  <si>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</si>
  <si>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</si>
  <si>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</si>
  <si>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</si>
  <si>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</si>
  <si>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</si>
  <si>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</si>
  <si>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</si>
  <si>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</si>
  <si>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</si>
  <si>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</si>
  <si>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</si>
  <si>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</si>
  <si>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</si>
  <si>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</si>
  <si>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</si>
  <si>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</si>
  <si>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</si>
  <si>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</si>
  <si>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</si>
  <si>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</si>
  <si>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</si>
  <si>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</si>
  <si>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</si>
  <si>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</si>
  <si>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</si>
  <si>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</si>
  <si>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</si>
  <si>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</si>
  <si>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</si>
  <si>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</si>
  <si>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</si>
  <si>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</si>
  <si>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</si>
  <si>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</si>
  <si>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</si>
  <si>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</si>
  <si>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</si>
  <si>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</si>
  <si>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</si>
  <si>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</si>
  <si>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</si>
  <si>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</si>
  <si>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</si>
  <si>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</si>
  <si>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</si>
  <si>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</si>
  <si>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</si>
  <si>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</si>
  <si>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</si>
  <si>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</si>
  <si>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</si>
  <si>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</si>
  <si>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</si>
  <si>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</si>
  <si>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</si>
  <si>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</si>
  <si>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</si>
  <si>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</si>
  <si>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</si>
  <si>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</si>
  <si>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</si>
  <si>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</si>
  <si>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</si>
  <si>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</si>
  <si>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</si>
  <si>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</si>
  <si>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</si>
  <si>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</si>
  <si>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</si>
  <si>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</si>
  <si>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</si>
  <si>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</si>
  <si>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</si>
  <si>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</si>
  <si>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</si>
  <si>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</si>
  <si>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</si>
  <si>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</si>
  <si>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</si>
  <si>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</si>
  <si>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</si>
  <si>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</si>
  <si>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</si>
  <si>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</si>
  <si>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</si>
  <si>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</si>
  <si>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</si>
  <si>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</si>
  <si>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</si>
  <si>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</si>
  <si>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</si>
  <si>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</si>
  <si>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</si>
  <si>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</si>
  <si>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</si>
  <si>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</si>
  <si>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</si>
  <si>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</si>
  <si>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</si>
  <si>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</si>
  <si>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</si>
  <si>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</si>
  <si>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</si>
  <si>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</si>
  <si>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</si>
  <si>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</si>
  <si>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</si>
  <si>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</si>
  <si>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</si>
  <si>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</si>
  <si>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</si>
  <si>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</si>
  <si>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</si>
  <si>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</si>
  <si>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</si>
  <si>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</si>
  <si>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</si>
  <si>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</si>
  <si>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</si>
  <si>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</si>
  <si>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</si>
  <si>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</si>
  <si>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</si>
  <si>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</si>
  <si>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</si>
  <si>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</si>
  <si>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</si>
  <si>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</si>
  <si>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</si>
  <si>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</si>
  <si>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</si>
  <si>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</si>
  <si>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</si>
  <si>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</si>
  <si>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</si>
  <si>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</si>
  <si>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</si>
  <si>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</si>
  <si>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</si>
  <si>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</si>
  <si>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</si>
  <si>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</si>
  <si>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</si>
  <si>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</si>
  <si>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</si>
  <si>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</si>
  <si>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</si>
  <si>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</si>
  <si>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</si>
  <si>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</si>
  <si>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</si>
  <si>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</si>
  <si>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</si>
  <si>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</si>
  <si>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</si>
  <si>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</si>
  <si>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</si>
  <si>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</si>
  <si>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</si>
  <si>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</si>
  <si>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</si>
  <si>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</si>
  <si>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</si>
  <si>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</si>
  <si>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</si>
  <si>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</si>
  <si>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</si>
  <si>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</si>
  <si>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</si>
  <si>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</si>
  <si>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</si>
  <si>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</si>
  <si>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</si>
  <si>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</si>
  <si>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</si>
  <si>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</si>
  <si>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</si>
  <si>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</si>
  <si>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</si>
  <si>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</si>
  <si>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</si>
  <si>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</si>
  <si>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</si>
  <si>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</si>
  <si>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</si>
  <si>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</si>
  <si>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</si>
  <si>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</si>
  <si>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</si>
  <si>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</si>
  <si>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</si>
  <si>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</si>
  <si>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</si>
  <si>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</si>
  <si>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</si>
  <si>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</si>
  <si>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</si>
  <si>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</si>
  <si>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</si>
  <si>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</si>
  <si>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</si>
  <si>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</si>
  <si>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</si>
  <si>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</si>
  <si>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</si>
  <si>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</si>
  <si>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</si>
  <si>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</si>
  <si>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</si>
  <si>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</si>
  <si>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</si>
  <si>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</si>
  <si>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</si>
  <si>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</si>
  <si>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</si>
  <si>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</si>
  <si>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</si>
  <si>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</si>
  <si>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</si>
  <si>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</si>
  <si>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</si>
  <si>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</si>
  <si>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</si>
  <si>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</si>
  <si>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</si>
  <si>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</si>
  <si>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</si>
  <si>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</si>
  <si>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</si>
  <si>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</si>
  <si>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</si>
  <si>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</si>
  <si>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</si>
  <si>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</si>
  <si>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</si>
  <si>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</si>
  <si>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</si>
  <si>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</si>
  <si>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</si>
  <si>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</si>
  <si>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</si>
  <si>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</si>
  <si>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</si>
  <si>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</si>
  <si>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</si>
  <si>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</si>
  <si>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</si>
  <si>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</si>
  <si>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</si>
  <si>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</si>
  <si>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</si>
  <si>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</si>
  <si>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</si>
  <si>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</si>
  <si>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</si>
  <si>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</si>
  <si>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</si>
  <si>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</si>
  <si>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</si>
  <si>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</si>
  <si>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</si>
  <si>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</si>
  <si>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</si>
  <si>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</si>
  <si>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</si>
  <si>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</si>
  <si>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</si>
  <si>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</si>
  <si>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</si>
  <si>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</si>
  <si>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</si>
  <si>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</si>
  <si>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</si>
  <si>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</si>
  <si>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</si>
  <si>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</si>
  <si>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</si>
  <si>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</si>
  <si>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</si>
  <si>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</si>
  <si>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</si>
  <si>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</si>
  <si>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</si>
  <si>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</si>
  <si>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</si>
  <si>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</si>
  <si>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</si>
  <si>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</si>
  <si>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</si>
  <si>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</si>
  <si>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</si>
  <si>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</si>
  <si>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</si>
  <si>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</si>
  <si>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</si>
  <si>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</si>
  <si>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</si>
  <si>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</si>
  <si>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</si>
  <si>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</si>
  <si>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</si>
  <si>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</si>
  <si>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</si>
  <si>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</si>
  <si>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</si>
  <si>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</si>
  <si>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</si>
  <si>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</si>
  <si>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</si>
  <si>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</si>
  <si>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</si>
  <si>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</si>
  <si>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</si>
  <si>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</si>
  <si>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</si>
  <si>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</si>
  <si>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</si>
  <si>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</si>
  <si>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</si>
  <si>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</si>
  <si>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</si>
  <si>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</si>
  <si>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</si>
  <si>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</si>
  <si>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</si>
  <si>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</si>
  <si>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</si>
  <si>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</si>
  <si>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</si>
  <si>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</si>
  <si>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</si>
  <si>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</si>
  <si>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</si>
  <si>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</si>
  <si>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</si>
  <si>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</si>
  <si>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</si>
  <si>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</si>
  <si>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</si>
  <si>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</si>
  <si>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</si>
  <si>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</si>
  <si>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</si>
  <si>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</si>
  <si>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 xml:space="preserve">Capstone Equities, LLC </t>
  </si>
  <si>
    <t xml:space="preserve">City of Oceanside </t>
  </si>
  <si>
    <t>300 N. Coast Highway Nevada Street Annex</t>
  </si>
  <si>
    <t xml:space="preserve">Oceanside </t>
  </si>
  <si>
    <t xml:space="preserve">Olive Park Apartments </t>
  </si>
  <si>
    <t>Western terminus of Olive Drive, approx. 1,000' west of College Boulevard</t>
  </si>
  <si>
    <t>Oceanside</t>
  </si>
  <si>
    <t>162-111-04-00</t>
  </si>
  <si>
    <t>40%/60% Average Income</t>
  </si>
  <si>
    <t>5455 Wilshire Boulevard, Suite 1012</t>
  </si>
  <si>
    <t xml:space="preserve">Los Angeles </t>
  </si>
  <si>
    <t xml:space="preserve">CA </t>
  </si>
  <si>
    <t xml:space="preserve">Brian Mikail </t>
  </si>
  <si>
    <t>(310) 666-6860</t>
  </si>
  <si>
    <t>bmikail@capstoneequities.com</t>
  </si>
  <si>
    <t xml:space="preserve">Limited Liability Company </t>
  </si>
  <si>
    <t xml:space="preserve">CE Olive Park Apartments, LLC </t>
  </si>
  <si>
    <t>Administrative GP</t>
  </si>
  <si>
    <t>(310) 666-68600</t>
  </si>
  <si>
    <t>Managing GP</t>
  </si>
  <si>
    <t>531 Encinitas Boulevard, Suite 206</t>
  </si>
  <si>
    <t xml:space="preserve">Encinitas </t>
  </si>
  <si>
    <t xml:space="preserve">Noami Pines </t>
  </si>
  <si>
    <t>(760) 944-9050</t>
  </si>
  <si>
    <t>npines@laspalmashousing.com</t>
  </si>
  <si>
    <t xml:space="preserve">Sabelhaus &amp; Strain PC </t>
  </si>
  <si>
    <t>1724 10th Street, Suite 110</t>
  </si>
  <si>
    <t xml:space="preserve">Stephen A. Strain </t>
  </si>
  <si>
    <t>(916) 444-0286</t>
  </si>
  <si>
    <t>sstrain@sabelhauslaw.com</t>
  </si>
  <si>
    <t xml:space="preserve">Attorney / Consultant </t>
  </si>
  <si>
    <t>STK Architects</t>
  </si>
  <si>
    <t>5455 Wilshire Boulevard #1012</t>
  </si>
  <si>
    <t>20 Corporate Park, Suite 190</t>
  </si>
  <si>
    <t>Los Angeles, CA 90036</t>
  </si>
  <si>
    <t>Irvine, CA 92606</t>
  </si>
  <si>
    <t xml:space="preserve">Soong Kim </t>
  </si>
  <si>
    <t>(949) 444-6869</t>
  </si>
  <si>
    <t>Sacramento, CA 95811</t>
  </si>
  <si>
    <t xml:space="preserve">W.E O'Neil Construction </t>
  </si>
  <si>
    <t xml:space="preserve">201 Lomas Santa Fe Drive, Suite 380 </t>
  </si>
  <si>
    <t>Solano Beach, CA 92075</t>
  </si>
  <si>
    <t xml:space="preserve">Bill Hearne </t>
  </si>
  <si>
    <t>(858) 926-4087</t>
  </si>
  <si>
    <t xml:space="preserve">sstrain@sabelhauslaw.com </t>
  </si>
  <si>
    <t xml:space="preserve">Bernard E. Rea, CPA </t>
  </si>
  <si>
    <t>P.O. Box 492</t>
  </si>
  <si>
    <t>Aubrey, TX 76227</t>
  </si>
  <si>
    <t>Bernie Rea</t>
  </si>
  <si>
    <t>(209) 933-9113</t>
  </si>
  <si>
    <t>(209) 933-9115</t>
  </si>
  <si>
    <t>breacoa@aol.com</t>
  </si>
  <si>
    <t>R4 Capital</t>
  </si>
  <si>
    <t>895 Dove Street, Suite 450</t>
  </si>
  <si>
    <t>Newport Beach, CA 92660</t>
  </si>
  <si>
    <t>(949) 717-6450</t>
  </si>
  <si>
    <t>Cory Bannister</t>
  </si>
  <si>
    <t>cbannister@r4cap.com</t>
  </si>
  <si>
    <t xml:space="preserve">The Concord Group </t>
  </si>
  <si>
    <t>140 Newport Beach, CA 92660</t>
  </si>
  <si>
    <t>Michael Reynolds</t>
  </si>
  <si>
    <t xml:space="preserve">California Municipal Finance Authority </t>
  </si>
  <si>
    <t>2111 Palomar Airport Road, Suite 320</t>
  </si>
  <si>
    <t>Carlsbad, CA 92011</t>
  </si>
  <si>
    <t>Anthony Stubbs</t>
  </si>
  <si>
    <t>(760) 930-1333</t>
  </si>
  <si>
    <t>(760) 683-3390</t>
  </si>
  <si>
    <t>astubbs@cmfa-ca.com</t>
  </si>
  <si>
    <t>3990 Ruffin Road #100</t>
  </si>
  <si>
    <t>San Diego, CA 92123</t>
  </si>
  <si>
    <t>Michelle Sites</t>
  </si>
  <si>
    <t>(858) 614-7200</t>
  </si>
  <si>
    <t xml:space="preserve">Oceanside Trolley Place, LLC </t>
  </si>
  <si>
    <t xml:space="preserve">Gregory Smith </t>
  </si>
  <si>
    <t xml:space="preserve">8495 Redwood Creek Lane </t>
  </si>
  <si>
    <t>San Diego, CA 92126</t>
  </si>
  <si>
    <t>MDA-R: Medium Density Residential; 9.9 du/ac</t>
  </si>
  <si>
    <t>RS: Residential Single Family; 5.9 du/ac</t>
  </si>
  <si>
    <t>RS: Residential Single Family; 5.77 du/ac</t>
  </si>
  <si>
    <t xml:space="preserve">Land Use Covenant to be recorded at Closing </t>
  </si>
  <si>
    <t>44 feet</t>
  </si>
  <si>
    <t xml:space="preserve">City of Oceanside - HOME </t>
  </si>
  <si>
    <t>Citi - Tax Exempt</t>
  </si>
  <si>
    <t>Citi - Recycled Tax Exempt</t>
  </si>
  <si>
    <t>Citi - Taxable</t>
  </si>
  <si>
    <t xml:space="preserve">Federal Tax Credit Equity </t>
  </si>
  <si>
    <t xml:space="preserve">Deferred Costs </t>
  </si>
  <si>
    <t>325 E Hillcrest Drive, Suite 160</t>
  </si>
  <si>
    <t>Thousand Oaks, CA 91360</t>
  </si>
  <si>
    <t xml:space="preserve">Mike Hemmens </t>
  </si>
  <si>
    <t>(805) 358-5673</t>
  </si>
  <si>
    <t xml:space="preserve">Tax Exempt Construction Loan </t>
  </si>
  <si>
    <t xml:space="preserve">Term SOFR </t>
  </si>
  <si>
    <t xml:space="preserve">300 N Coast Highway </t>
  </si>
  <si>
    <t>Oceanside, CA 92054</t>
  </si>
  <si>
    <t xml:space="preserve">Leilani Hines </t>
  </si>
  <si>
    <t>(760) 435-3360</t>
  </si>
  <si>
    <t xml:space="preserve">Residual Receipt Loan </t>
  </si>
  <si>
    <t xml:space="preserve">Taxable Construction Loan </t>
  </si>
  <si>
    <t>895 Dove Street, Suite 495</t>
  </si>
  <si>
    <t xml:space="preserve">Cory Bannister </t>
  </si>
  <si>
    <t>(949) 438-1055</t>
  </si>
  <si>
    <t xml:space="preserve">LIHTC Equity </t>
  </si>
  <si>
    <t>Deferred Costs</t>
  </si>
  <si>
    <t xml:space="preserve">Deferred Developer Fee </t>
  </si>
  <si>
    <t xml:space="preserve">Tax Exempt Permanent Loan </t>
  </si>
  <si>
    <t xml:space="preserve">Citi Permanent Loan - Tax Exempt </t>
  </si>
  <si>
    <t>Leilani Hines</t>
  </si>
  <si>
    <t>5455 Whilshire Boulevard, Suite 1012</t>
  </si>
  <si>
    <t xml:space="preserve">Oceanside Housing Authority </t>
  </si>
  <si>
    <t xml:space="preserve">Las Palmas Foundation </t>
  </si>
  <si>
    <t>760-735-3377</t>
  </si>
  <si>
    <t>760-757-9076</t>
  </si>
  <si>
    <t>smadera@oceansideca.org</t>
  </si>
  <si>
    <t>Las Palmas Foundation</t>
  </si>
  <si>
    <t xml:space="preserve">CONAM Management Corporation </t>
  </si>
  <si>
    <t xml:space="preserve">Family </t>
  </si>
  <si>
    <t>TBD</t>
  </si>
  <si>
    <t>Benefits and Payroll Taxes</t>
  </si>
  <si>
    <t>City of Oceanside</t>
  </si>
  <si>
    <t>Recycled Bonds</t>
  </si>
  <si>
    <t>Project-based vouchers (PBVs)</t>
  </si>
  <si>
    <t>HUD-VASH</t>
  </si>
  <si>
    <t>Oceanside Housing Authority</t>
  </si>
  <si>
    <t>CMFA Recycled Bonds</t>
  </si>
  <si>
    <t>City of Oceanside (HOME + Project-Based Vouchers)</t>
  </si>
  <si>
    <t>Veterans</t>
  </si>
  <si>
    <t>Section 8 Project-Based Vouchers // City of Oceanside HOME</t>
  </si>
  <si>
    <t>Other (Specify below)</t>
  </si>
  <si>
    <t>Wrap-Design on Vacant Site in Suburban Oceanside</t>
  </si>
  <si>
    <t>Fixed</t>
  </si>
  <si>
    <t>City of Oceanside (50%)</t>
  </si>
  <si>
    <t>Above residual receipts line for cash flow</t>
  </si>
  <si>
    <t>Transaction Legal</t>
  </si>
  <si>
    <t>Partnership Reserve</t>
  </si>
  <si>
    <t>Utility Hookups</t>
  </si>
  <si>
    <t>Secured by Fee Interest</t>
  </si>
  <si>
    <t>Jonathan Borrego</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</si>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</sst>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653</v>
      </c>
      <c r="F40" s="1262" t="s">
        <v>1164</v>
      </c>
    </row>
    <row r="41" spans="1:38" s="1262" customFormat="1" ht="13.3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3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098" workbookViewId="0">
      <selection activeCell="B1123" sqref="B1123"/>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2750</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ht="14.25">
      <c r="A20" s="484"/>
      <c r="B20" s="485" t="s">
        <v>2750</v>
      </c>
      <c r="D20" s="1301" t="s">
        <v>1922</v>
      </c>
      <c r="E20" s="1301"/>
      <c r="F20" s="1301"/>
      <c r="I20" s="490"/>
    </row>
    <row r="21" spans="1:9" ht="14.25">
      <c r="A21" s="484"/>
      <c r="D21" s="1301"/>
      <c r="E21" s="1301"/>
      <c r="F21" s="1301"/>
      <c r="I21" s="490"/>
    </row>
    <row r="22" spans="1:9" ht="14.25">
      <c r="A22" s="484"/>
      <c r="D22" s="392"/>
      <c r="E22" s="96" t="s">
        <v>1918</v>
      </c>
      <c r="F22" s="392"/>
      <c r="I22" s="490"/>
    </row>
    <row r="23" spans="1:9" ht="14.25">
      <c r="A23" s="484"/>
      <c r="B23" s="484"/>
      <c r="D23" s="446"/>
      <c r="I23" s="490"/>
    </row>
    <row r="24" spans="1:9" ht="14.25">
      <c r="A24" s="484"/>
      <c r="B24" s="485" t="s">
        <v>2751</v>
      </c>
      <c r="D24" s="1301" t="s">
        <v>1091</v>
      </c>
      <c r="E24" s="1301"/>
      <c r="F24" s="1301"/>
      <c r="I24" s="490"/>
    </row>
    <row r="25" spans="1:9" ht="14.25">
      <c r="A25" s="484"/>
      <c r="B25" s="484"/>
      <c r="D25" s="1301"/>
      <c r="E25" s="1301"/>
      <c r="F25" s="1301"/>
      <c r="I25" s="490"/>
    </row>
    <row r="26" spans="1:9">
      <c r="I26" s="490"/>
    </row>
    <row r="27" spans="1:9" ht="14.25">
      <c r="A27" s="484"/>
      <c r="B27" s="485" t="s">
        <v>2750</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2751</v>
      </c>
      <c r="D33" s="1301" t="s">
        <v>2048</v>
      </c>
      <c r="E33" s="1301"/>
      <c r="F33" s="1301"/>
      <c r="I33" s="490"/>
    </row>
    <row r="34" spans="1:9">
      <c r="D34" s="1301"/>
      <c r="E34" s="1301"/>
      <c r="F34" s="1301"/>
      <c r="I34" s="490"/>
    </row>
    <row r="35" spans="1:9" ht="14.25">
      <c r="A35" s="484"/>
      <c r="B35" s="484"/>
      <c r="D35" s="447"/>
      <c r="I35" s="490"/>
    </row>
    <row r="36" spans="1:9" ht="14.45" customHeight="1">
      <c r="A36" s="484"/>
      <c r="B36" s="485" t="s">
        <v>2751</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2751</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2751</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2751</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2750</v>
      </c>
      <c r="D56" s="1324" t="s">
        <v>1095</v>
      </c>
      <c r="E56" s="1324"/>
      <c r="F56" s="1324"/>
      <c r="I56" s="490"/>
    </row>
    <row r="57" spans="1:9" ht="14.25">
      <c r="A57" s="484"/>
      <c r="B57" s="484"/>
      <c r="D57" s="1324"/>
      <c r="E57" s="1324"/>
      <c r="F57" s="1324"/>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2751</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2751</v>
      </c>
      <c r="D65" s="1301" t="s">
        <v>1097</v>
      </c>
      <c r="E65" s="1301"/>
      <c r="F65" s="1301"/>
      <c r="I65" s="490"/>
    </row>
    <row r="66" spans="1:9">
      <c r="D66" s="1301"/>
      <c r="E66" s="1301"/>
      <c r="F66" s="1301"/>
      <c r="I66" s="490"/>
    </row>
    <row r="67" spans="1:9">
      <c r="I67" s="490"/>
    </row>
    <row r="68" spans="1:9" ht="14.25">
      <c r="A68" s="484"/>
      <c r="B68" s="485" t="s">
        <v>2750</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2750</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2750</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2750</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2750</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2750</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2750</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2751</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2751</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2751</v>
      </c>
      <c r="C128" s="402"/>
      <c r="D128" s="1323" t="s">
        <v>2049</v>
      </c>
      <c r="E128" s="1323"/>
      <c r="F128" s="1323"/>
      <c r="I128" s="490"/>
    </row>
    <row r="129" spans="1:9" ht="14.25">
      <c r="A129" s="484"/>
      <c r="B129" s="484"/>
      <c r="C129" s="402"/>
      <c r="D129" s="1323"/>
      <c r="E129" s="1323"/>
      <c r="F129" s="1323"/>
      <c r="I129" s="490"/>
    </row>
    <row r="130" spans="1:9">
      <c r="I130" s="490"/>
    </row>
    <row r="131" spans="1:9" ht="14.25">
      <c r="A131" s="484"/>
      <c r="B131" s="485" t="s">
        <v>2751</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2750</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2751</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2072</v>
      </c>
      <c r="E169" s="1320"/>
      <c r="F169" s="1320"/>
      <c r="G169" s="507"/>
      <c r="I169" s="490"/>
    </row>
    <row r="170" spans="1:9" ht="13.7" customHeight="1">
      <c r="D170" s="1318"/>
      <c r="E170" s="1318"/>
      <c r="F170" s="1318"/>
      <c r="G170" s="1318"/>
      <c r="I170" s="490"/>
    </row>
    <row r="171" spans="1:9" ht="14.45" customHeight="1">
      <c r="A171" s="489"/>
      <c r="B171" s="485" t="s">
        <v>2751</v>
      </c>
      <c r="C171" s="476"/>
      <c r="D171" s="1272" t="s">
        <v>2212</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2751</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2751</v>
      </c>
      <c r="D182" s="1313" t="s">
        <v>2050</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2750</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2751</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2751</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2751</v>
      </c>
      <c r="D209" s="386" t="s">
        <v>1894</v>
      </c>
      <c r="E209" s="385"/>
      <c r="F209" s="385"/>
      <c r="I209" s="490"/>
    </row>
    <row r="210" spans="1:9" ht="14.25">
      <c r="A210" s="484"/>
      <c r="B210" s="484"/>
      <c r="D210" s="1288" t="s">
        <v>1901</v>
      </c>
      <c r="E210" s="1288"/>
      <c r="F210" s="1288"/>
      <c r="I210" s="490"/>
    </row>
    <row r="211" spans="1:9">
      <c r="D211" s="385"/>
      <c r="E211" s="1325" t="s">
        <v>1927</v>
      </c>
      <c r="F211" s="1325"/>
      <c r="I211" s="490"/>
    </row>
    <row r="212" spans="1:9">
      <c r="D212" s="447"/>
      <c r="I212" s="490"/>
    </row>
    <row r="213" spans="1:9">
      <c r="B213" s="485" t="s">
        <v>2751</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ht="14.25">
      <c r="A217" s="484"/>
      <c r="B217" s="485" t="s">
        <v>2751</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2750</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2750</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2750</v>
      </c>
      <c r="D245" s="1301" t="s">
        <v>2052</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2751</v>
      </c>
      <c r="D250" s="1301" t="s">
        <v>2053</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2750</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2750</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2750</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5" customHeight="1">
      <c r="A271" s="484"/>
      <c r="B271" s="485" t="s">
        <v>2751</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2751</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2751</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2751</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2751</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2751</v>
      </c>
      <c r="D305" s="1299" t="s">
        <v>1129</v>
      </c>
      <c r="E305" s="1299"/>
      <c r="F305" s="1299"/>
      <c r="I305" s="490"/>
    </row>
    <row r="306" spans="1:9" ht="14.25">
      <c r="A306" s="484"/>
      <c r="B306" s="484"/>
      <c r="D306" s="494"/>
      <c r="E306" s="495"/>
      <c r="F306" s="495"/>
      <c r="I306" s="490"/>
    </row>
    <row r="307" spans="1:9" ht="13.7" customHeight="1">
      <c r="B307" s="485" t="s">
        <v>2751</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2751</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2751</v>
      </c>
      <c r="D316" s="1299" t="s">
        <v>1131</v>
      </c>
      <c r="E316" s="1299"/>
      <c r="F316" s="1299"/>
      <c r="I316" s="490"/>
    </row>
    <row r="317" spans="1:9">
      <c r="E317" s="446"/>
      <c r="F317" s="446"/>
      <c r="I317" s="490"/>
    </row>
    <row r="318" spans="1:9" ht="14.25">
      <c r="A318" s="484"/>
      <c r="B318" s="485" t="s">
        <v>2751</v>
      </c>
      <c r="D318" s="1301" t="s">
        <v>2244</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2751</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2751</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2751</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2751</v>
      </c>
      <c r="C360" s="476"/>
      <c r="D360" s="1318" t="s">
        <v>2056</v>
      </c>
      <c r="E360" s="1318"/>
      <c r="F360" s="1318"/>
      <c r="I360" s="480"/>
    </row>
    <row r="361" spans="1:9">
      <c r="A361" s="476"/>
      <c r="B361" s="476"/>
      <c r="C361" s="476"/>
      <c r="D361" s="447"/>
      <c r="E361" s="447"/>
      <c r="F361" s="446"/>
      <c r="I361" s="490"/>
    </row>
    <row r="362" spans="1:9">
      <c r="A362" s="476"/>
      <c r="B362" s="485" t="s">
        <v>2751</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2751</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2751</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2751</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2751</v>
      </c>
      <c r="D423" s="1272" t="s">
        <v>1881</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2751</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ht="14.25">
      <c r="A435" s="484"/>
      <c r="B435" s="485" t="s">
        <v>2751</v>
      </c>
      <c r="C435" s="487"/>
      <c r="D435" s="1301" t="s">
        <v>2058</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2751</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2751</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2751</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2751</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2751</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2751</v>
      </c>
      <c r="C486" s="402"/>
      <c r="D486" s="1301"/>
      <c r="E486" s="1301"/>
      <c r="F486" s="1301"/>
      <c r="I486" s="490"/>
    </row>
    <row r="487" spans="1:9">
      <c r="A487" s="402"/>
      <c r="C487" s="402"/>
      <c r="D487" s="1301"/>
      <c r="E487" s="1301"/>
      <c r="F487" s="1301"/>
      <c r="I487" s="490"/>
    </row>
    <row r="488" spans="1:9">
      <c r="A488" s="402"/>
      <c r="B488" s="485" t="s">
        <v>2751</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2751</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2751</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2751</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2751</v>
      </c>
      <c r="D509" s="1299" t="s">
        <v>1143</v>
      </c>
      <c r="E509" s="1299"/>
      <c r="F509" s="1299"/>
      <c r="I509" s="490"/>
    </row>
    <row r="510" spans="1:9" ht="14.25">
      <c r="A510" s="484"/>
      <c r="B510" s="484"/>
      <c r="D510" s="446"/>
      <c r="I510" s="490"/>
    </row>
    <row r="511" spans="1:9" ht="14.25">
      <c r="A511" s="484"/>
      <c r="B511" s="485" t="s">
        <v>2751</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2751</v>
      </c>
      <c r="D514" s="1299" t="s">
        <v>1145</v>
      </c>
      <c r="E514" s="1299"/>
      <c r="F514" s="1299"/>
      <c r="I514" s="490"/>
    </row>
    <row r="515" spans="1:9">
      <c r="D515" s="446"/>
      <c r="E515" s="446"/>
      <c r="F515" s="446"/>
      <c r="I515" s="490"/>
    </row>
    <row r="516" spans="1:9">
      <c r="B516" s="485" t="s">
        <v>2751</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2750</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2750</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2751</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2750</v>
      </c>
      <c r="C548" s="487"/>
      <c r="D548" s="1299" t="s">
        <v>884</v>
      </c>
      <c r="E548" s="1299"/>
      <c r="F548" s="1299"/>
      <c r="I548" s="490"/>
    </row>
    <row r="549" spans="1:9" ht="13.7" customHeight="1">
      <c r="A549" s="487"/>
      <c r="B549" s="487"/>
      <c r="C549" s="487"/>
      <c r="D549" s="446"/>
      <c r="I549" s="490"/>
    </row>
    <row r="550" spans="1:9" ht="14.25">
      <c r="A550" s="484"/>
      <c r="B550" s="485" t="s">
        <v>2750</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2750</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2750</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2750</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2750</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2750</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2750</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2750</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2750</v>
      </c>
      <c r="C578" s="487"/>
      <c r="D578" s="1301" t="s">
        <v>2062</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2750</v>
      </c>
      <c r="D588" s="1313" t="s">
        <v>888</v>
      </c>
      <c r="E588" s="1313"/>
      <c r="F588" s="1313"/>
      <c r="I588" s="490"/>
    </row>
    <row r="589" spans="1:9">
      <c r="A589" s="490"/>
      <c r="B589" s="490"/>
      <c r="D589" s="476"/>
      <c r="I589" s="490"/>
    </row>
    <row r="590" spans="1:9">
      <c r="A590" s="490"/>
      <c r="B590" s="485" t="s">
        <v>2750</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2751</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2750</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2751</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2750</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2750</v>
      </c>
      <c r="D620" s="1307" t="s">
        <v>1111</v>
      </c>
      <c r="E620" s="1307"/>
      <c r="F620" s="1307"/>
      <c r="I620" s="490"/>
    </row>
    <row r="621" spans="1:9">
      <c r="D621" s="1307"/>
      <c r="E621" s="1307"/>
      <c r="F621" s="1307"/>
      <c r="I621" s="490"/>
    </row>
    <row r="622" spans="1:9">
      <c r="I622" s="490"/>
    </row>
    <row r="623" spans="1:9">
      <c r="B623" s="485" t="s">
        <v>2750</v>
      </c>
      <c r="D623" s="1307" t="s">
        <v>1112</v>
      </c>
      <c r="E623" s="1307"/>
      <c r="F623" s="1307"/>
      <c r="I623" s="490"/>
    </row>
    <row r="624" spans="1:9">
      <c r="C624" s="500"/>
      <c r="D624" s="1307"/>
      <c r="E624" s="1307"/>
      <c r="F624" s="1307"/>
      <c r="I624" s="490"/>
    </row>
    <row r="625" spans="1:9">
      <c r="C625" s="500"/>
      <c r="I625" s="490"/>
    </row>
    <row r="626" spans="1:9">
      <c r="B626" s="485" t="s">
        <v>2751</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2750</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2751</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2751</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2751</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2750</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2750</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2750</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2751</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2750</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2751</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2750</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2751</v>
      </c>
      <c r="C698" s="483"/>
      <c r="D698" s="1299" t="s">
        <v>2468</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2750</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2751</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2751</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2751</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2751</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2751</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2751</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2750</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2750</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2751</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2751</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2751</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2751</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2750</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2751</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2751</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2751</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2751</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2751</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2751</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2750</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2750</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2751</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2751</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2751</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2750</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2750</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2751</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2751</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2751</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2750</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2750</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2750</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2751</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2751</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2751</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2751</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2750</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2750</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2750</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2751</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2751</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2751</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2750</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2750</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2751</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2751</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2751</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2751</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2750</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2751</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2751</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2750</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2750</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2750</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2750</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306</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2751</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2751</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2751</v>
      </c>
      <c r="C1062" s="402"/>
      <c r="D1062" s="402" t="s">
        <v>1812</v>
      </c>
      <c r="I1062" s="490"/>
    </row>
    <row r="1063" spans="1:9">
      <c r="A1063" s="402"/>
      <c r="B1063" s="402"/>
      <c r="C1063" s="402"/>
      <c r="I1063" s="490"/>
    </row>
    <row r="1064" spans="1:9">
      <c r="A1064" s="402"/>
      <c r="B1064" s="485" t="s">
        <v>2751</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2750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2751</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2751</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2751</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2751</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2751</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2751</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2751</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2750</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2751</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92" workbookViewId="0">
      <selection activeCell="AT1037" sqref="AT103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 xml:space="preserve">Coastal (Monterey, Napa, Orange, San Benito, San Diego, San Luis Obispo, Santa Barbara, Sonoma, and Ventura Counties) </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50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2509</v>
      </c>
      <c r="BE8" s="1249">
        <f>SUMIF($AC$718:$AC$752,"&lt;=35%",$G$718:G$752)-SUM($BE$5:BE7)</f>
        <v>0</v>
      </c>
    </row>
    <row r="9" spans="1:58" ht="12.95"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2501</v>
      </c>
      <c r="BE9" s="1249">
        <f>SUMIF($AC$718:$AC$752,"&lt;=40%",$G$718:G$752)-SUM($BE$5:BE8)</f>
        <v>11</v>
      </c>
    </row>
    <row r="10" spans="1:58" ht="12.95" customHeight="1">
      <c r="A10" s="1373" t="s">
        <v>2458</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2510</v>
      </c>
      <c r="BE10" s="1249">
        <f>SUMIF($AC$718:$AC$752,"&lt;=45%",$G$718:G$752)-SUM($BE$5:BE9)</f>
        <v>0</v>
      </c>
    </row>
    <row r="11" spans="1:58" ht="12.95" customHeight="1">
      <c r="A11" s="1373" t="s">
        <v>2604</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2502</v>
      </c>
      <c r="BE11" s="1249">
        <f>SUMIF($AC$718:$AC$752,"&lt;=50%",$G$718:G$752)-SUM($BE$5:BE10)</f>
        <v>0</v>
      </c>
    </row>
    <row r="12" spans="1:58" ht="12.95"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2511</v>
      </c>
      <c r="BE12" s="1249">
        <f>SUMIF($AC$718:$AC$752,"&lt;=55%",$G$718:G$752)-SUM($BE$5:BE11)</f>
        <v>0</v>
      </c>
    </row>
    <row r="13" spans="1:58" ht="12.95"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22</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56</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58</v>
      </c>
    </row>
    <row r="16" spans="1:58" ht="12.95" customHeight="1">
      <c r="A16" s="57" t="s">
        <v>2078</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 xml:space="preserve">Olive Park Apartments </v>
      </c>
    </row>
    <row r="17" spans="1:58" ht="12.95" customHeight="1">
      <c r="BD17" s="1247" t="s">
        <v>2518</v>
      </c>
      <c r="BE17" s="1249">
        <f>Application!AA934</f>
        <v>0</v>
      </c>
    </row>
    <row r="18" spans="1:58" ht="12.95" customHeight="1">
      <c r="A18" s="57" t="s">
        <v>101</v>
      </c>
      <c r="C18" s="4"/>
      <c r="D18" s="4"/>
      <c r="E18" s="4"/>
      <c r="F18" s="4"/>
      <c r="G18" s="4"/>
      <c r="H18" s="1417" t="s">
        <v>2616</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2519</v>
      </c>
      <c r="BE18" s="1249">
        <f>'CalHFA Addendum'!N11</f>
        <v>0</v>
      </c>
    </row>
    <row r="19" spans="1:58" ht="12.95" customHeight="1">
      <c r="BD19" s="1247" t="s">
        <v>2520</v>
      </c>
      <c r="BE19" s="1249">
        <f>Application!M26</f>
        <v>6650343</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2521</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2522</v>
      </c>
      <c r="BE21" s="1249">
        <f>Application!AM554</f>
        <v>34000000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143907702</v>
      </c>
      <c r="BF22" s="3" t="s">
        <v>2595</v>
      </c>
    </row>
    <row r="23" spans="1:58" ht="12.95"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7467500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265102</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5" customHeight="1">
      <c r="A26" s="4"/>
      <c r="C26" s="4"/>
      <c r="D26" s="4"/>
      <c r="E26" s="4"/>
      <c r="F26" s="4"/>
      <c r="G26" s="4"/>
      <c r="H26" s="4"/>
      <c r="I26" s="4"/>
      <c r="J26" s="4"/>
      <c r="K26" s="4"/>
      <c r="L26" s="4"/>
      <c r="M26" s="1419">
        <f>'Basis &amp; Credits'!AB56</f>
        <v>6650343</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2527</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2596</v>
      </c>
      <c r="BE33" s="1249" t="str">
        <f>Application!D220</f>
        <v>San Diego County</v>
      </c>
    </row>
    <row r="34" spans="1:57" ht="12.95"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2530</v>
      </c>
      <c r="BE34" s="1249">
        <f>Application!I185</f>
        <v>0</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2531</v>
      </c>
      <c r="BE35" s="1249" t="str">
        <f>IF(Application!E187="","",Application!E187)</f>
        <v>Western terminus of Olive Drive, approx. 1,000' west of College Boulevard</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2532</v>
      </c>
      <c r="BE36" s="1249" t="str">
        <f>Application!I189</f>
        <v>Oceanside</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2533</v>
      </c>
      <c r="BE37" s="1249" t="str">
        <f>Application!T189</f>
        <v>San Diego</v>
      </c>
    </row>
    <row r="38" spans="1:57" ht="12.95" customHeight="1">
      <c r="A38" s="3"/>
      <c r="AZ38" s="20"/>
      <c r="BD38" s="1248" t="s">
        <v>2534</v>
      </c>
      <c r="BE38" s="1249">
        <f>Application!I190</f>
        <v>92056</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199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197</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0.60000000000000009</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0.59235357778801034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723154.28140703519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2</v>
      </c>
    </row>
    <row r="46" spans="1:57" ht="12.95"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 xml:space="preserve">CE Olive Park Apartments, LLC </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 xml:space="preserve">Brian Mikail </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 xml:space="preserve">Capstone Equities, LLC </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Las Palmas Foundation</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 xml:space="preserve">Noami Pines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 xml:space="preserve">Capstone Equities, LLC </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5455 Wilshire Boulevard #1012</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Los Angeles, CA 90036</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 xml:space="preserve">Brian Mikail </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bmikail@capstoneequities.com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0.83409999999999995</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f>Application!X180</f>
        <v>0</v>
      </c>
    </row>
    <row r="65" spans="1:57" ht="12.95"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2593</v>
      </c>
      <c r="BE65" s="1249" t="str">
        <f>Z205</f>
        <v>$500M</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2558</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2559</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2561</v>
      </c>
      <c r="BE69" s="1249" t="str">
        <f>Application!W700</f>
        <v xml:space="preserve">California Municipal Finance Authority </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2562</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2564</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786" t="s">
        <v>2159</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2567</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2568</v>
      </c>
      <c r="BE76" s="1249">
        <f>'Points System'!AF811</f>
        <v>10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2571</v>
      </c>
      <c r="BE79" s="1249">
        <f>'Points System'!AF815</f>
        <v>10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2572</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2.5597117317521976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 xml:space="preserve">City of Oceanside </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Jonathan Borrego</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300 N. Coast Highway Nevada Street Annex</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 xml:space="preserve">Oceanside </v>
      </c>
    </row>
    <row r="89" spans="1:57" ht="12.95" customHeight="1">
      <c r="A89" s="1785" t="s">
        <v>2163</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2581</v>
      </c>
      <c r="BE89" s="1249">
        <f>Application!O158</f>
        <v>92054</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2582</v>
      </c>
      <c r="BE90" s="1249" t="str">
        <f>Application!H16</f>
        <v xml:space="preserve">Capstone Equities, LLC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5455 Wilshire Boulevard, Suite 1012</v>
      </c>
    </row>
    <row r="92" spans="1:57" ht="12.95" customHeight="1">
      <c r="A92" s="1786" t="s">
        <v>2164</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2584</v>
      </c>
      <c r="BE92" s="1249" t="str">
        <f>Application!M234</f>
        <v xml:space="preserve">Los Angeles </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2585</v>
      </c>
      <c r="BE93" s="1249" t="str">
        <f>Application!W234</f>
        <v xml:space="preserve">CA </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2586</v>
      </c>
      <c r="BE94" s="1249">
        <f>Application!AC234</f>
        <v>90036</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2587</v>
      </c>
      <c r="BE95" s="1249" t="str">
        <f>Application!M235</f>
        <v xml:space="preserve">Brian Mikail </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2588</v>
      </c>
      <c r="BE96" s="1249" t="str">
        <f>Application!M237</f>
        <v>bmikail@capstoneequities.com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2589</v>
      </c>
      <c r="BE97" s="1249" t="str">
        <f>Application!M248</f>
        <v>bmikail@capstoneequities.com</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2590</v>
      </c>
      <c r="BE98" s="1249" t="str">
        <f>Application!M256</f>
        <v>npines@laspalmashousing.com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5" customHeight="1">
      <c r="A100" s="1787" t="s">
        <v>2165</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2592</v>
      </c>
      <c r="BE100" s="1249" t="str">
        <f>Application!L279</f>
        <v>sstrain@sabelhauslaw.com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2597</v>
      </c>
      <c r="BE101">
        <f>'Sources and Uses Budget'!C105</f>
        <v>143907702</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2598</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2166</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88"/>
      <c r="H113" s="1788"/>
      <c r="I113" s="3" t="s">
        <v>181</v>
      </c>
      <c r="L113" s="1788"/>
      <c r="M113" s="1788"/>
      <c r="N113" s="1788"/>
      <c r="O113" s="1788"/>
      <c r="P113" s="1795" t="s">
        <v>2239</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c r="D115" s="1800"/>
      <c r="E115" s="1800"/>
      <c r="F115" s="1800"/>
      <c r="G115" s="1800"/>
      <c r="H115" s="1800"/>
      <c r="I115" s="1800"/>
      <c r="J115" s="1800"/>
      <c r="K115" s="180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8"/>
      <c r="Z117" s="1788"/>
      <c r="AA117" s="1788"/>
      <c r="AB117" s="1788"/>
      <c r="AC117" s="1788"/>
      <c r="AD117" s="1788"/>
      <c r="AE117" s="1788"/>
      <c r="AF117" s="1788"/>
      <c r="AG117" s="1788"/>
      <c r="AH117" s="1788"/>
      <c r="AI117" s="1788"/>
      <c r="AJ117" s="1788"/>
      <c r="AK117" s="1788"/>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San Diego</v>
      </c>
      <c r="DH122" s="1655"/>
      <c r="DI122" s="1655"/>
      <c r="DJ122" s="1655"/>
      <c r="DK122" s="1655"/>
      <c r="DL122" s="1655"/>
      <c r="DM122" s="1656"/>
    </row>
    <row r="123" spans="1:117" ht="12.95" customHeight="1">
      <c r="A123" s="3"/>
      <c r="B123" s="3"/>
      <c r="T123" s="3"/>
      <c r="U123" s="3"/>
      <c r="V123" s="3"/>
      <c r="W123" s="3"/>
      <c r="X123" s="3"/>
      <c r="Y123" s="1788"/>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645</v>
      </c>
      <c r="O153" s="1417" t="s">
        <v>2613</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439</v>
      </c>
      <c r="O154" s="1546" t="s">
        <v>2749</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2467</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8" t="s">
        <v>440</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2" t="s">
        <v>2614</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7" t="s">
        <v>2615</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1">
        <v>92054</v>
      </c>
      <c r="P158" s="1791"/>
      <c r="Q158" s="1791"/>
      <c r="R158" s="1791"/>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0" t="s">
        <v>2723</v>
      </c>
      <c r="P159" s="1780"/>
      <c r="Q159" s="1780"/>
      <c r="R159" s="1780"/>
      <c r="S159" s="1780"/>
      <c r="T159" s="1780"/>
      <c r="V159" s="97" t="s">
        <v>270</v>
      </c>
      <c r="W159" s="1792"/>
      <c r="X159" s="1792"/>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80" t="s">
        <v>2724</v>
      </c>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84" t="s">
        <v>2725</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1" t="s">
        <v>2216</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07" t="s">
        <v>370</v>
      </c>
      <c r="K173" s="1807"/>
      <c r="L173" s="1807"/>
      <c r="M173" s="1807"/>
      <c r="N173" s="1807"/>
      <c r="O173" s="1807"/>
      <c r="P173" s="1807"/>
      <c r="Q173" s="1807"/>
      <c r="R173" s="1807"/>
      <c r="S173" s="1807"/>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t="s">
        <v>545</v>
      </c>
      <c r="V175" s="1332"/>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426">
        <v>25</v>
      </c>
      <c r="V176" s="1426"/>
      <c r="W176" s="1" t="s">
        <v>305</v>
      </c>
      <c r="X176" s="1783">
        <v>573</v>
      </c>
      <c r="Y176" s="1783"/>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t="s">
        <v>669</v>
      </c>
      <c r="S177" s="1332"/>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2079</v>
      </c>
      <c r="AE178" s="27" t="s">
        <v>304</v>
      </c>
      <c r="AF178" s="1782"/>
      <c r="AG178" s="1782"/>
      <c r="AH178" s="1" t="s">
        <v>305</v>
      </c>
      <c r="AI178" s="1804"/>
      <c r="AJ178" s="1804"/>
      <c r="AK178" s="1804"/>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332"/>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9" t="str">
        <f>H18</f>
        <v xml:space="preserve">Olive Park Apartments </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9"/>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3" t="s">
        <v>2617</v>
      </c>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17" t="s">
        <v>2618</v>
      </c>
      <c r="J189" s="1372"/>
      <c r="K189" s="1372"/>
      <c r="L189" s="1372"/>
      <c r="M189" s="1372"/>
      <c r="N189" s="1372"/>
      <c r="O189" s="1372"/>
      <c r="P189" s="1372"/>
      <c r="Q189" t="s">
        <v>582</v>
      </c>
      <c r="T189" s="1372" t="s">
        <v>729</v>
      </c>
      <c r="U189" s="1372"/>
      <c r="V189" s="1372"/>
      <c r="W189" s="1372"/>
      <c r="X189" s="1372"/>
      <c r="Y189" s="1372"/>
      <c r="Z189" s="1372"/>
      <c r="AA189" s="1372"/>
      <c r="AB189" s="1372"/>
      <c r="AC189" s="1372"/>
      <c r="AD189" s="1372"/>
      <c r="AE189" s="1372"/>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9">
        <v>92056</v>
      </c>
      <c r="J190" s="1349"/>
      <c r="K190" s="1349"/>
      <c r="L190" s="1349"/>
      <c r="M190" s="1349"/>
      <c r="N190" s="1349"/>
      <c r="O190" t="s">
        <v>585</v>
      </c>
      <c r="T190" s="1789">
        <v>185.16</v>
      </c>
      <c r="U190" s="1789"/>
      <c r="V190" s="1789"/>
      <c r="W190" s="1789"/>
      <c r="X190" s="1789"/>
      <c r="Y190" s="1789"/>
      <c r="Z190" s="1789"/>
      <c r="AA190" s="1789"/>
      <c r="AB190" s="1789"/>
      <c r="AC190" s="1789"/>
      <c r="AD190" s="1789"/>
      <c r="AE190" s="1789"/>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3" t="s">
        <v>2619</v>
      </c>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793" t="s">
        <v>1937</v>
      </c>
      <c r="U193" s="1793"/>
      <c r="V193" s="1793"/>
      <c r="W193" s="1793"/>
      <c r="X193" s="1793"/>
      <c r="Y193" s="1793"/>
      <c r="Z193" s="1793"/>
      <c r="AA193" s="1793"/>
      <c r="AB193" s="1793"/>
      <c r="AC193" s="1793"/>
      <c r="AD193" s="1793"/>
      <c r="AE193" s="1793"/>
      <c r="AF193" s="1793"/>
      <c r="AG193" s="1793"/>
      <c r="AH193" s="1793"/>
      <c r="AI193" s="1793"/>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2" t="s">
        <v>545</v>
      </c>
      <c r="U195" s="1332"/>
      <c r="W195" t="s">
        <v>684</v>
      </c>
      <c r="AH195" s="1332">
        <v>49</v>
      </c>
      <c r="AI195" s="1332"/>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3" t="s">
        <v>669</v>
      </c>
      <c r="U196" s="1403"/>
      <c r="W196" t="s">
        <v>685</v>
      </c>
      <c r="AH196" s="1332">
        <v>74</v>
      </c>
      <c r="AI196" s="1332"/>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3" t="s">
        <v>669</v>
      </c>
      <c r="U197" s="1403"/>
      <c r="W197" t="s">
        <v>686</v>
      </c>
      <c r="AH197" s="1332">
        <v>38</v>
      </c>
      <c r="AI197" s="1332"/>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t="s">
        <v>669</v>
      </c>
      <c r="U198" s="1403"/>
      <c r="V198"/>
      <c r="X198" s="1414" t="s">
        <v>2513</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332" t="s">
        <v>669</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2514</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9" t="s">
        <v>384</v>
      </c>
      <c r="E204" s="1359"/>
      <c r="F204" s="1359"/>
      <c r="G204" s="1359"/>
      <c r="H204" s="1359"/>
      <c r="I204" s="1359"/>
      <c r="J204" s="1359"/>
      <c r="K204" s="1359"/>
      <c r="L204" s="1359"/>
      <c r="M204" s="1359"/>
      <c r="P204" s="1802">
        <f>M26</f>
        <v>6650343</v>
      </c>
      <c r="Q204" s="1781"/>
      <c r="R204" s="1781"/>
      <c r="S204" s="1781"/>
      <c r="T204" s="1781"/>
      <c r="U204" s="1781"/>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1" t="s">
        <v>1247</v>
      </c>
      <c r="E205" s="1359"/>
      <c r="F205" s="1359"/>
      <c r="G205" s="1359"/>
      <c r="H205" s="1359"/>
      <c r="I205" s="1359"/>
      <c r="J205" s="1359"/>
      <c r="K205" s="1359"/>
      <c r="L205" s="1359"/>
      <c r="M205" s="1359"/>
      <c r="P205" s="1781">
        <f>M27</f>
        <v>0</v>
      </c>
      <c r="Q205" s="1781"/>
      <c r="R205" s="1781"/>
      <c r="S205" s="1781"/>
      <c r="T205" s="1781"/>
      <c r="U205" s="1781"/>
      <c r="V205" s="28"/>
      <c r="W205" s="3" t="s">
        <v>1720</v>
      </c>
      <c r="Z205" s="1809" t="s">
        <v>2219</v>
      </c>
      <c r="AA205" s="1809"/>
      <c r="AB205" s="1809"/>
      <c r="AC205" s="1809"/>
      <c r="AD205" s="1809"/>
      <c r="AE205" s="1809"/>
      <c r="AF205" s="1809"/>
      <c r="AG205" s="1809"/>
      <c r="AH205" s="1809"/>
      <c r="AI205" s="1809"/>
      <c r="AJ205" s="1809"/>
      <c r="AK205" s="1809"/>
      <c r="AL205" s="1809"/>
      <c r="AM205" s="1809"/>
      <c r="AN205" s="1809"/>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8" t="s">
        <v>2620</v>
      </c>
      <c r="E208" s="1418"/>
      <c r="F208" s="1418"/>
      <c r="G208" s="1418"/>
      <c r="H208" s="1418"/>
      <c r="I208" s="1418"/>
      <c r="J208" s="1418"/>
      <c r="K208" s="1418"/>
      <c r="L208" s="1418"/>
      <c r="M208" s="141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1041</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332"/>
      <c r="R212" s="1332"/>
      <c r="T212" s="1796">
        <f>IFERROR(Q212/AG440,0)</f>
        <v>0</v>
      </c>
      <c r="U212" s="1797"/>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9" t="s">
        <v>591</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2233</v>
      </c>
      <c r="D218" s="28"/>
      <c r="AC218" s="2" t="s">
        <v>2462</v>
      </c>
      <c r="BC218" t="s">
        <v>529</v>
      </c>
    </row>
    <row r="219" spans="1:108" ht="12.95" customHeight="1">
      <c r="A219" s="2"/>
      <c r="C219" s="2"/>
      <c r="D219" s="3" t="s">
        <v>2463</v>
      </c>
      <c r="AZ219" s="3"/>
      <c r="BA219" s="3"/>
      <c r="BC219" t="s">
        <v>376</v>
      </c>
    </row>
    <row r="220" spans="1:108" ht="12.95" customHeight="1">
      <c r="A220" s="2"/>
      <c r="C220" s="2"/>
      <c r="D220" s="1418" t="s">
        <v>611</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0" t="s">
        <v>2464</v>
      </c>
      <c r="AD220" s="1810"/>
      <c r="AE220" s="1810"/>
      <c r="AF220" s="1810"/>
      <c r="AG220" s="1810"/>
      <c r="AH220" s="1810"/>
      <c r="AI220" s="1810"/>
      <c r="AJ220" s="1810"/>
      <c r="AK220" s="1810"/>
      <c r="AL220" s="1810"/>
      <c r="AM220" s="1810"/>
      <c r="AN220" s="1810"/>
      <c r="AO220" s="1810"/>
      <c r="AP220" s="1810"/>
      <c r="AQ220" s="1810"/>
      <c r="BA220" s="3"/>
      <c r="BC220" t="s">
        <v>299</v>
      </c>
    </row>
    <row r="221" spans="1:108" ht="12.95" customHeight="1">
      <c r="A221" s="2"/>
      <c r="B221" s="14"/>
      <c r="C221" s="2"/>
      <c r="BA221" s="3"/>
    </row>
    <row r="222" spans="1:108" ht="12.9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0" t="str">
        <f>H16</f>
        <v xml:space="preserve">Capstone Equities, LLC </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538</v>
      </c>
      <c r="BG232" s="241">
        <f>IF(AND(AND($M$249="nonprofit",$M$257="nonprofit",$M$265="for profit")),2,0)</f>
        <v>0</v>
      </c>
    </row>
    <row r="233" spans="1:59" ht="12.95" customHeight="1">
      <c r="D233" s="4" t="s">
        <v>85</v>
      </c>
      <c r="E233" s="4"/>
      <c r="F233" s="4"/>
      <c r="G233" s="4"/>
      <c r="H233" s="4"/>
      <c r="I233" s="4"/>
      <c r="J233" s="4"/>
      <c r="K233" s="4"/>
      <c r="M233" s="1417" t="s">
        <v>2621</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5" customHeight="1">
      <c r="D234" s="4" t="s">
        <v>580</v>
      </c>
      <c r="E234" s="4"/>
      <c r="M234" s="1417" t="s">
        <v>2622</v>
      </c>
      <c r="N234" s="1418"/>
      <c r="O234" s="1418"/>
      <c r="P234" s="1418"/>
      <c r="Q234" s="1418"/>
      <c r="R234" s="1418"/>
      <c r="S234" s="1418"/>
      <c r="T234" s="1418"/>
      <c r="V234" s="33" t="s">
        <v>86</v>
      </c>
      <c r="W234" s="1546" t="s">
        <v>2623</v>
      </c>
      <c r="X234" s="1437"/>
      <c r="Y234" s="4" t="s">
        <v>583</v>
      </c>
      <c r="AC234" s="1418">
        <v>90036</v>
      </c>
      <c r="AD234" s="1418"/>
      <c r="AE234" s="141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2624</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2625</v>
      </c>
      <c r="N236" s="1347"/>
      <c r="O236" s="1347"/>
      <c r="P236" s="1347"/>
      <c r="Q236" s="1347"/>
      <c r="R236" s="1347"/>
      <c r="S236" s="4" t="s">
        <v>205</v>
      </c>
      <c r="T236" s="4"/>
      <c r="U236" s="1437"/>
      <c r="V236" s="1437"/>
      <c r="W236" s="1437"/>
      <c r="X236" s="4" t="s">
        <v>89</v>
      </c>
      <c r="Z236" s="1347"/>
      <c r="AA236" s="1347"/>
      <c r="AB236" s="1347"/>
      <c r="AC236" s="1347"/>
      <c r="AD236" s="1347"/>
      <c r="AE236" s="1347"/>
      <c r="AU236" s="4"/>
      <c r="AV236" s="4"/>
      <c r="AW236" s="4"/>
      <c r="AX236" s="4"/>
      <c r="AY236" s="4"/>
      <c r="AZ236" s="4"/>
      <c r="BB236" s="204" t="s">
        <v>537</v>
      </c>
      <c r="BG236" s="241">
        <f>IF(AND(AND($M$249="nonprofit",$M$257="nonprofit",$M$265="(select one)")),1,0)</f>
        <v>0</v>
      </c>
    </row>
    <row r="237" spans="1:59" ht="12.95" customHeight="1">
      <c r="D237" s="4" t="s">
        <v>90</v>
      </c>
      <c r="E237" s="4"/>
      <c r="F237" s="4"/>
      <c r="M237" s="1784" t="s">
        <v>2626</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9" t="s">
        <v>299</v>
      </c>
      <c r="N238" s="1349"/>
      <c r="O238" s="1349"/>
      <c r="P238" s="1349"/>
      <c r="Q238" s="1349"/>
      <c r="R238" s="1349"/>
      <c r="S238" s="1349"/>
      <c r="T238" s="1349"/>
      <c r="U238" s="204" t="s">
        <v>906</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2" t="s">
        <v>2627</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2628</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2629</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2621</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7" t="s">
        <v>494</v>
      </c>
      <c r="N245" s="1418"/>
      <c r="O245" s="1418"/>
      <c r="P245" s="1418"/>
      <c r="Q245" s="1418"/>
      <c r="R245" s="1418"/>
      <c r="S245" s="1418"/>
      <c r="T245" s="1418"/>
      <c r="V245" s="33" t="s">
        <v>86</v>
      </c>
      <c r="W245" s="1546" t="s">
        <v>2623</v>
      </c>
      <c r="X245" s="1437"/>
      <c r="Y245" s="4" t="s">
        <v>583</v>
      </c>
      <c r="AC245" s="1418">
        <v>90036</v>
      </c>
      <c r="AD245" s="1418"/>
      <c r="AE245" s="1418"/>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7" t="s">
        <v>2624</v>
      </c>
      <c r="N246" s="1418"/>
      <c r="O246" s="1418"/>
      <c r="P246" s="1418"/>
      <c r="Q246" s="1418"/>
      <c r="R246" s="1418"/>
      <c r="S246" s="1418"/>
      <c r="T246" s="1418"/>
      <c r="U246" s="1418"/>
      <c r="V246" s="1418"/>
      <c r="W246" s="1418"/>
      <c r="X246" s="1418"/>
      <c r="Y246" s="1418"/>
      <c r="Z246" s="1418"/>
      <c r="AA246" s="1418"/>
      <c r="AB246" s="1418"/>
      <c r="AC246" s="1418"/>
      <c r="AD246" s="1418"/>
      <c r="AE246" s="1418"/>
      <c r="AH246" s="1778">
        <v>8.9999999999999993E-3</v>
      </c>
      <c r="AI246" s="1778"/>
      <c r="AJ246" s="1778"/>
      <c r="AK246" s="1778"/>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6" t="s">
        <v>2630</v>
      </c>
      <c r="N247" s="1347"/>
      <c r="O247" s="1347"/>
      <c r="P247" s="1347"/>
      <c r="Q247" s="1347"/>
      <c r="R247" s="1347"/>
      <c r="S247" s="4" t="s">
        <v>205</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4" t="s">
        <v>2626</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4" t="s">
        <v>906</v>
      </c>
      <c r="V249" s="204"/>
      <c r="W249" s="204"/>
      <c r="X249" s="204"/>
      <c r="Y249" s="204"/>
      <c r="Z249" s="204"/>
      <c r="AA249" s="1794" t="s">
        <v>2612</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2726</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2631</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2632</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580</v>
      </c>
      <c r="E253" s="4"/>
      <c r="M253" s="1417" t="s">
        <v>2633</v>
      </c>
      <c r="N253" s="1418"/>
      <c r="O253" s="1418"/>
      <c r="P253" s="1418"/>
      <c r="Q253" s="1418"/>
      <c r="R253" s="1418"/>
      <c r="S253" s="1418"/>
      <c r="T253" s="1418"/>
      <c r="V253" s="33" t="s">
        <v>86</v>
      </c>
      <c r="W253" s="1546" t="s">
        <v>2623</v>
      </c>
      <c r="X253" s="1437"/>
      <c r="Y253" s="4" t="s">
        <v>583</v>
      </c>
      <c r="AC253" s="1418">
        <v>92024</v>
      </c>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2634</v>
      </c>
      <c r="N254" s="1418"/>
      <c r="O254" s="1418"/>
      <c r="P254" s="1418"/>
      <c r="Q254" s="1418"/>
      <c r="R254" s="1418"/>
      <c r="S254" s="1418"/>
      <c r="T254" s="1418"/>
      <c r="U254" s="1418"/>
      <c r="V254" s="1418"/>
      <c r="W254" s="1418"/>
      <c r="X254" s="1418"/>
      <c r="Y254" s="1418"/>
      <c r="Z254" s="1418"/>
      <c r="AA254" s="1418"/>
      <c r="AB254" s="1418"/>
      <c r="AC254" s="1418"/>
      <c r="AD254" s="1418"/>
      <c r="AE254" s="1418"/>
      <c r="AH254" s="1778">
        <v>1E-3</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6" t="s">
        <v>2635</v>
      </c>
      <c r="N255" s="1347"/>
      <c r="O255" s="1347"/>
      <c r="P255" s="1347"/>
      <c r="Q255" s="1347"/>
      <c r="R255" s="1347"/>
      <c r="S255" s="4" t="s">
        <v>205</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4" t="s">
        <v>2636</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4" t="s">
        <v>906</v>
      </c>
      <c r="V257" s="204"/>
      <c r="W257" s="204"/>
      <c r="X257" s="204"/>
      <c r="Y257" s="204"/>
      <c r="Z257" s="204"/>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205</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4" t="s">
        <v>906</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279</v>
      </c>
      <c r="E270" s="1418"/>
      <c r="F270" s="1418"/>
      <c r="G270" s="1418"/>
      <c r="H270" s="1418"/>
      <c r="J270" t="s">
        <v>278</v>
      </c>
      <c r="X270" s="1691"/>
      <c r="Y270" s="1691"/>
      <c r="Z270" s="1691"/>
      <c r="AA270" s="1691"/>
      <c r="AB270" s="1691"/>
      <c r="AC270" s="1691"/>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0" t="s">
        <v>2637</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2638</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580</v>
      </c>
      <c r="E276" s="4"/>
      <c r="L276" s="1417" t="s">
        <v>68</v>
      </c>
      <c r="M276" s="1418"/>
      <c r="N276" s="1418"/>
      <c r="O276" s="1418"/>
      <c r="P276" s="1418"/>
      <c r="Q276" s="1418"/>
      <c r="R276" s="1418"/>
      <c r="S276" s="1418"/>
      <c r="U276" s="33" t="s">
        <v>86</v>
      </c>
      <c r="V276" s="1546" t="s">
        <v>2623</v>
      </c>
      <c r="W276" s="1437"/>
      <c r="X276" s="4" t="s">
        <v>583</v>
      </c>
      <c r="AB276" s="1418">
        <v>95811</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2639</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2640</v>
      </c>
      <c r="M278" s="1347"/>
      <c r="N278" s="1347"/>
      <c r="O278" s="1347"/>
      <c r="P278" s="1347"/>
      <c r="Q278" s="1347"/>
      <c r="R278" s="4" t="s">
        <v>205</v>
      </c>
      <c r="S278" s="4"/>
      <c r="T278" s="1437"/>
      <c r="U278" s="1437"/>
      <c r="V278" s="1437"/>
      <c r="W278" s="4" t="s">
        <v>89</v>
      </c>
      <c r="Y278" s="1347"/>
      <c r="Z278" s="1347"/>
      <c r="AA278" s="1347"/>
      <c r="AB278" s="1347"/>
      <c r="AC278" s="1347"/>
      <c r="AD278" s="1347"/>
    </row>
    <row r="279" spans="1:51" ht="12.95" customHeight="1">
      <c r="D279" s="4" t="s">
        <v>90</v>
      </c>
      <c r="E279" s="4"/>
      <c r="F279" s="4"/>
      <c r="L279" s="1784" t="s">
        <v>2641</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623</v>
      </c>
      <c r="E280" s="3"/>
      <c r="F280" s="3"/>
      <c r="G280" s="3"/>
      <c r="H280" s="3"/>
      <c r="I280" s="3"/>
      <c r="L280" s="1546" t="s">
        <v>2642</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2612</v>
      </c>
      <c r="I287" s="1372"/>
      <c r="J287" s="1372"/>
      <c r="K287" s="1372"/>
      <c r="L287" s="1372"/>
      <c r="M287" s="1372"/>
      <c r="N287" s="1372"/>
      <c r="O287" s="1372"/>
      <c r="P287" s="1372"/>
      <c r="Q287" s="1372"/>
      <c r="R287" s="1372"/>
      <c r="T287" s="3" t="s">
        <v>567</v>
      </c>
      <c r="V287" s="3"/>
      <c r="W287" s="3"/>
      <c r="X287" s="3"/>
      <c r="Y287" s="3"/>
      <c r="AA287" s="1372" t="s">
        <v>2643</v>
      </c>
      <c r="AB287" s="1372"/>
      <c r="AC287" s="1372"/>
      <c r="AD287" s="1372"/>
      <c r="AE287" s="1372"/>
      <c r="AF287" s="1372"/>
      <c r="AG287" s="1372"/>
      <c r="AH287" s="1372"/>
      <c r="AI287" s="1372"/>
      <c r="AJ287" s="1372"/>
      <c r="AK287" s="1372"/>
    </row>
    <row r="288" spans="1:51" ht="12.95" customHeight="1">
      <c r="B288" s="3" t="s">
        <v>471</v>
      </c>
      <c r="C288" s="3"/>
      <c r="D288" s="3"/>
      <c r="E288" s="3"/>
      <c r="F288" s="3"/>
      <c r="H288" s="1349" t="s">
        <v>2644</v>
      </c>
      <c r="I288" s="1349"/>
      <c r="J288" s="1349"/>
      <c r="K288" s="1349"/>
      <c r="L288" s="1349"/>
      <c r="M288" s="1349"/>
      <c r="N288" s="1349"/>
      <c r="O288" s="1349"/>
      <c r="P288" s="1349"/>
      <c r="Q288" s="1349"/>
      <c r="R288" s="1349"/>
      <c r="T288" s="3" t="s">
        <v>471</v>
      </c>
      <c r="V288" s="3"/>
      <c r="W288" s="3"/>
      <c r="X288" s="3"/>
      <c r="Y288" s="3"/>
      <c r="AA288" s="1349" t="s">
        <v>2645</v>
      </c>
      <c r="AB288" s="1349"/>
      <c r="AC288" s="1349"/>
      <c r="AD288" s="1349"/>
      <c r="AE288" s="1349"/>
      <c r="AF288" s="1349"/>
      <c r="AG288" s="1349"/>
      <c r="AH288" s="1349"/>
      <c r="AI288" s="1349"/>
      <c r="AJ288" s="1349"/>
      <c r="AK288" s="1349"/>
    </row>
    <row r="289" spans="2:37" ht="12.95" customHeight="1">
      <c r="B289" s="3" t="s">
        <v>472</v>
      </c>
      <c r="C289" s="3"/>
      <c r="D289" s="3"/>
      <c r="E289" s="3"/>
      <c r="F289" s="3"/>
      <c r="H289" s="1349" t="s">
        <v>2646</v>
      </c>
      <c r="I289" s="1349"/>
      <c r="J289" s="1349"/>
      <c r="K289" s="1349"/>
      <c r="L289" s="1349"/>
      <c r="M289" s="1349"/>
      <c r="N289" s="1349"/>
      <c r="O289" s="1349"/>
      <c r="P289" s="1349"/>
      <c r="Q289" s="1349"/>
      <c r="R289" s="1349"/>
      <c r="T289" s="3" t="s">
        <v>75</v>
      </c>
      <c r="V289" s="3"/>
      <c r="W289" s="3"/>
      <c r="X289" s="3"/>
      <c r="Y289" s="3"/>
      <c r="AA289" s="1349" t="s">
        <v>2647</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2624</v>
      </c>
      <c r="I290" s="1349"/>
      <c r="J290" s="1349"/>
      <c r="K290" s="1349"/>
      <c r="L290" s="1349"/>
      <c r="M290" s="1349"/>
      <c r="N290" s="1349"/>
      <c r="O290" s="1349"/>
      <c r="P290" s="1349"/>
      <c r="Q290" s="1349"/>
      <c r="R290" s="1349"/>
      <c r="T290" s="3" t="s">
        <v>87</v>
      </c>
      <c r="V290" s="3"/>
      <c r="W290" s="3"/>
      <c r="X290" s="3"/>
      <c r="Y290" s="3"/>
      <c r="AA290" s="1349" t="s">
        <v>2648</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769" t="s">
        <v>2625</v>
      </c>
      <c r="I291" s="1424"/>
      <c r="J291" s="1424"/>
      <c r="K291" s="1424"/>
      <c r="L291" s="1424"/>
      <c r="M291" s="1424"/>
      <c r="N291" s="4" t="s">
        <v>205</v>
      </c>
      <c r="O291" s="4"/>
      <c r="P291" s="1418"/>
      <c r="Q291" s="1418"/>
      <c r="R291" s="1418"/>
      <c r="S291" s="3"/>
      <c r="T291" s="3" t="s">
        <v>88</v>
      </c>
      <c r="V291" s="3"/>
      <c r="W291" s="3"/>
      <c r="X291" s="3"/>
      <c r="Y291" s="3"/>
      <c r="AA291" s="1769" t="s">
        <v>2649</v>
      </c>
      <c r="AB291" s="1424"/>
      <c r="AC291" s="1424"/>
      <c r="AD291" s="1424"/>
      <c r="AE291" s="1424"/>
      <c r="AF291" s="1424"/>
      <c r="AG291" s="4" t="s">
        <v>205</v>
      </c>
      <c r="AH291" s="4"/>
      <c r="AI291" s="1418"/>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2626</v>
      </c>
      <c r="I293" s="1349"/>
      <c r="J293" s="1349"/>
      <c r="K293" s="1349"/>
      <c r="L293" s="1349"/>
      <c r="M293" s="1349"/>
      <c r="N293" s="1372"/>
      <c r="O293" s="1372"/>
      <c r="P293" s="1372"/>
      <c r="Q293" s="1372"/>
      <c r="R293" s="1372"/>
      <c r="S293" s="3"/>
      <c r="T293" s="3" t="s">
        <v>76</v>
      </c>
      <c r="V293" s="3"/>
      <c r="W293" s="3"/>
      <c r="X293" s="3"/>
      <c r="Y293" s="3"/>
      <c r="AA293" s="1349"/>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2" t="s">
        <v>2637</v>
      </c>
      <c r="I295" s="1372"/>
      <c r="J295" s="1372"/>
      <c r="K295" s="1372"/>
      <c r="L295" s="1372"/>
      <c r="M295" s="1372"/>
      <c r="N295" s="1372"/>
      <c r="O295" s="1372"/>
      <c r="P295" s="1372"/>
      <c r="Q295" s="1372"/>
      <c r="R295" s="1372"/>
      <c r="T295" s="3" t="s">
        <v>363</v>
      </c>
      <c r="V295" s="3"/>
      <c r="W295" s="3"/>
      <c r="X295" s="3"/>
      <c r="Y295" s="3"/>
      <c r="AA295" s="1372" t="s">
        <v>2651</v>
      </c>
      <c r="AB295" s="1372"/>
      <c r="AC295" s="1372"/>
      <c r="AD295" s="1372"/>
      <c r="AE295" s="1372"/>
      <c r="AF295" s="1372"/>
      <c r="AG295" s="1372"/>
      <c r="AH295" s="1372"/>
      <c r="AI295" s="1372"/>
      <c r="AJ295" s="1372"/>
      <c r="AK295" s="1372"/>
    </row>
    <row r="296" spans="2:37" ht="12.95" customHeight="1">
      <c r="B296" s="3" t="s">
        <v>471</v>
      </c>
      <c r="C296" s="3"/>
      <c r="D296" s="3"/>
      <c r="E296" s="3"/>
      <c r="F296" s="3"/>
      <c r="H296" s="1349" t="s">
        <v>2638</v>
      </c>
      <c r="I296" s="1349"/>
      <c r="J296" s="1349"/>
      <c r="K296" s="1349"/>
      <c r="L296" s="1349"/>
      <c r="M296" s="1349"/>
      <c r="N296" s="1349"/>
      <c r="O296" s="1349"/>
      <c r="P296" s="1349"/>
      <c r="Q296" s="1349"/>
      <c r="R296" s="1349"/>
      <c r="T296" s="3" t="s">
        <v>471</v>
      </c>
      <c r="V296" s="3"/>
      <c r="W296" s="3"/>
      <c r="X296" s="3"/>
      <c r="Y296" s="3"/>
      <c r="AA296" s="1349" t="s">
        <v>2652</v>
      </c>
      <c r="AB296" s="1349"/>
      <c r="AC296" s="1349"/>
      <c r="AD296" s="1349"/>
      <c r="AE296" s="1349"/>
      <c r="AF296" s="1349"/>
      <c r="AG296" s="1349"/>
      <c r="AH296" s="1349"/>
      <c r="AI296" s="1349"/>
      <c r="AJ296" s="1349"/>
      <c r="AK296" s="1349"/>
    </row>
    <row r="297" spans="2:37" ht="12.95" customHeight="1">
      <c r="B297" s="3" t="s">
        <v>472</v>
      </c>
      <c r="C297" s="3"/>
      <c r="D297" s="3"/>
      <c r="E297" s="3"/>
      <c r="F297" s="3"/>
      <c r="H297" s="1349" t="s">
        <v>2650</v>
      </c>
      <c r="I297" s="1349"/>
      <c r="J297" s="1349"/>
      <c r="K297" s="1349"/>
      <c r="L297" s="1349"/>
      <c r="M297" s="1349"/>
      <c r="N297" s="1349"/>
      <c r="O297" s="1349"/>
      <c r="P297" s="1349"/>
      <c r="Q297" s="1349"/>
      <c r="R297" s="1349"/>
      <c r="T297" s="3" t="s">
        <v>75</v>
      </c>
      <c r="V297" s="3"/>
      <c r="W297" s="3"/>
      <c r="X297" s="3"/>
      <c r="Y297" s="3"/>
      <c r="AA297" s="1349" t="s">
        <v>2653</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2639</v>
      </c>
      <c r="I298" s="1349"/>
      <c r="J298" s="1349"/>
      <c r="K298" s="1349"/>
      <c r="L298" s="1349"/>
      <c r="M298" s="1349"/>
      <c r="N298" s="1349"/>
      <c r="O298" s="1349"/>
      <c r="P298" s="1349"/>
      <c r="Q298" s="1349"/>
      <c r="R298" s="1349"/>
      <c r="T298" s="3" t="s">
        <v>87</v>
      </c>
      <c r="V298" s="3"/>
      <c r="W298" s="3"/>
      <c r="X298" s="3"/>
      <c r="Y298" s="3"/>
      <c r="AA298" s="1349" t="s">
        <v>2654</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769" t="s">
        <v>2640</v>
      </c>
      <c r="I299" s="1424"/>
      <c r="J299" s="1424"/>
      <c r="K299" s="1424"/>
      <c r="L299" s="1424"/>
      <c r="M299" s="1424"/>
      <c r="N299" s="4" t="s">
        <v>205</v>
      </c>
      <c r="O299" s="4"/>
      <c r="P299" s="1418"/>
      <c r="Q299" s="1418"/>
      <c r="R299" s="1418"/>
      <c r="S299" s="3"/>
      <c r="T299" s="3" t="s">
        <v>88</v>
      </c>
      <c r="V299" s="3"/>
      <c r="W299" s="3"/>
      <c r="X299" s="3"/>
      <c r="Y299" s="3"/>
      <c r="AA299" s="1769" t="s">
        <v>2655</v>
      </c>
      <c r="AB299" s="1424"/>
      <c r="AC299" s="1424"/>
      <c r="AD299" s="1424"/>
      <c r="AE299" s="1424"/>
      <c r="AF299" s="1424"/>
      <c r="AG299" s="4" t="s">
        <v>205</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2641</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2637</v>
      </c>
      <c r="I303" s="1372"/>
      <c r="J303" s="1372"/>
      <c r="K303" s="1372"/>
      <c r="L303" s="1372"/>
      <c r="M303" s="1372"/>
      <c r="N303" s="1372"/>
      <c r="O303" s="1372"/>
      <c r="P303" s="1372"/>
      <c r="Q303" s="1372"/>
      <c r="R303" s="1372"/>
      <c r="T303" s="4" t="s">
        <v>878</v>
      </c>
      <c r="V303" s="3"/>
      <c r="W303" s="3"/>
      <c r="X303" s="3"/>
      <c r="Y303" s="3"/>
      <c r="AA303" s="1372"/>
      <c r="AB303" s="1372"/>
      <c r="AC303" s="1372"/>
      <c r="AD303" s="1372"/>
      <c r="AE303" s="1372"/>
      <c r="AF303" s="1372"/>
      <c r="AG303" s="1372"/>
      <c r="AH303" s="1372"/>
      <c r="AI303" s="1372"/>
      <c r="AJ303" s="1372"/>
      <c r="AK303" s="1372"/>
    </row>
    <row r="304" spans="2:37" ht="12.95" customHeight="1">
      <c r="B304" s="3" t="s">
        <v>471</v>
      </c>
      <c r="C304" s="3"/>
      <c r="D304" s="3"/>
      <c r="E304" s="3"/>
      <c r="F304" s="3"/>
      <c r="H304" s="1349" t="s">
        <v>2638</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2.95" customHeight="1">
      <c r="B305" s="3" t="s">
        <v>472</v>
      </c>
      <c r="C305" s="3"/>
      <c r="D305" s="3"/>
      <c r="E305" s="3"/>
      <c r="F305" s="3"/>
      <c r="H305" s="1349" t="s">
        <v>2650</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t="s">
        <v>2639</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769" t="s">
        <v>2640</v>
      </c>
      <c r="I307" s="1424"/>
      <c r="J307" s="1424"/>
      <c r="K307" s="1424"/>
      <c r="L307" s="1424"/>
      <c r="M307" s="1424"/>
      <c r="N307" s="4" t="s">
        <v>205</v>
      </c>
      <c r="O307" s="4"/>
      <c r="P307" s="1418"/>
      <c r="Q307" s="1418"/>
      <c r="R307" s="1418"/>
      <c r="S307" s="3"/>
      <c r="T307" s="3" t="s">
        <v>88</v>
      </c>
      <c r="V307" s="3"/>
      <c r="W307" s="3"/>
      <c r="X307" s="3"/>
      <c r="Y307" s="3"/>
      <c r="AA307" s="1424"/>
      <c r="AB307" s="1424"/>
      <c r="AC307" s="1424"/>
      <c r="AD307" s="1424"/>
      <c r="AE307" s="1424"/>
      <c r="AF307" s="1424"/>
      <c r="AG307" s="4" t="s">
        <v>205</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2656</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2657</v>
      </c>
      <c r="I311" s="1372"/>
      <c r="J311" s="1372"/>
      <c r="K311" s="1372"/>
      <c r="L311" s="1372"/>
      <c r="M311" s="1372"/>
      <c r="N311" s="1372"/>
      <c r="O311" s="1372"/>
      <c r="P311" s="1372"/>
      <c r="Q311" s="1372"/>
      <c r="R311" s="1372"/>
      <c r="S311" s="3"/>
      <c r="T311" s="3" t="s">
        <v>364</v>
      </c>
      <c r="V311" s="3"/>
      <c r="W311" s="3"/>
      <c r="X311" s="3"/>
      <c r="Y311" s="3"/>
      <c r="AA311" s="1372" t="s">
        <v>2664</v>
      </c>
      <c r="AB311" s="1372"/>
      <c r="AC311" s="1372"/>
      <c r="AD311" s="1372"/>
      <c r="AE311" s="1372"/>
      <c r="AF311" s="1372"/>
      <c r="AG311" s="1372"/>
      <c r="AH311" s="1372"/>
      <c r="AI311" s="1372"/>
      <c r="AJ311" s="1372"/>
      <c r="AK311" s="1372"/>
    </row>
    <row r="312" spans="2:37" ht="12.95" customHeight="1">
      <c r="B312" s="3" t="s">
        <v>471</v>
      </c>
      <c r="C312" s="3"/>
      <c r="D312" s="3"/>
      <c r="E312" s="3"/>
      <c r="F312" s="3"/>
      <c r="H312" s="1349" t="s">
        <v>2658</v>
      </c>
      <c r="I312" s="1349"/>
      <c r="J312" s="1349"/>
      <c r="K312" s="1349"/>
      <c r="L312" s="1349"/>
      <c r="M312" s="1349"/>
      <c r="N312" s="1349"/>
      <c r="O312" s="1349"/>
      <c r="P312" s="1349"/>
      <c r="Q312" s="1349"/>
      <c r="R312" s="1349"/>
      <c r="S312" s="3"/>
      <c r="T312" s="3" t="s">
        <v>471</v>
      </c>
      <c r="V312" s="3"/>
      <c r="W312" s="3"/>
      <c r="X312" s="3"/>
      <c r="Y312" s="3"/>
      <c r="AA312" s="1349" t="s">
        <v>2665</v>
      </c>
      <c r="AB312" s="1349"/>
      <c r="AC312" s="1349"/>
      <c r="AD312" s="1349"/>
      <c r="AE312" s="1349"/>
      <c r="AF312" s="1349"/>
      <c r="AG312" s="1349"/>
      <c r="AH312" s="1349"/>
      <c r="AI312" s="1349"/>
      <c r="AJ312" s="1349"/>
      <c r="AK312" s="1349"/>
    </row>
    <row r="313" spans="2:37" ht="12.95" customHeight="1">
      <c r="B313" s="3" t="s">
        <v>472</v>
      </c>
      <c r="C313" s="3"/>
      <c r="D313" s="3"/>
      <c r="E313" s="3"/>
      <c r="F313" s="3"/>
      <c r="H313" s="1349" t="s">
        <v>2659</v>
      </c>
      <c r="I313" s="1349"/>
      <c r="J313" s="1349"/>
      <c r="K313" s="1349"/>
      <c r="L313" s="1349"/>
      <c r="M313" s="1349"/>
      <c r="N313" s="1349"/>
      <c r="O313" s="1349"/>
      <c r="P313" s="1349"/>
      <c r="Q313" s="1349"/>
      <c r="R313" s="1349"/>
      <c r="S313" s="3"/>
      <c r="T313" s="3" t="s">
        <v>75</v>
      </c>
      <c r="V313" s="3"/>
      <c r="W313" s="3"/>
      <c r="X313" s="3"/>
      <c r="Y313" s="3"/>
      <c r="AA313" s="1349" t="s">
        <v>2666</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2660</v>
      </c>
      <c r="I314" s="1349"/>
      <c r="J314" s="1349"/>
      <c r="K314" s="1349"/>
      <c r="L314" s="1349"/>
      <c r="M314" s="1349"/>
      <c r="N314" s="1349"/>
      <c r="O314" s="1349"/>
      <c r="P314" s="1349"/>
      <c r="Q314" s="1349"/>
      <c r="R314" s="1349"/>
      <c r="S314" s="3"/>
      <c r="T314" s="3" t="s">
        <v>87</v>
      </c>
      <c r="V314" s="3"/>
      <c r="W314" s="3"/>
      <c r="X314" s="3"/>
      <c r="Y314" s="3"/>
      <c r="AA314" s="1349" t="s">
        <v>2668</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769" t="s">
        <v>2661</v>
      </c>
      <c r="I315" s="1424"/>
      <c r="J315" s="1424"/>
      <c r="K315" s="1424"/>
      <c r="L315" s="1424"/>
      <c r="M315" s="1424"/>
      <c r="N315" s="4" t="s">
        <v>205</v>
      </c>
      <c r="O315" s="4"/>
      <c r="P315" s="1418"/>
      <c r="Q315" s="1418"/>
      <c r="R315" s="1418"/>
      <c r="S315" s="3"/>
      <c r="T315" s="3" t="s">
        <v>88</v>
      </c>
      <c r="V315" s="3"/>
      <c r="W315" s="3"/>
      <c r="X315" s="3"/>
      <c r="Y315" s="3"/>
      <c r="AA315" s="1769" t="s">
        <v>2667</v>
      </c>
      <c r="AB315" s="1424"/>
      <c r="AC315" s="1424"/>
      <c r="AD315" s="1424"/>
      <c r="AE315" s="1424"/>
      <c r="AF315" s="1424"/>
      <c r="AG315" s="4" t="s">
        <v>205</v>
      </c>
      <c r="AH315" s="4"/>
      <c r="AI315" s="1418"/>
      <c r="AJ315" s="1418"/>
      <c r="AK315" s="1418"/>
    </row>
    <row r="316" spans="2:37" ht="12.95" customHeight="1">
      <c r="B316" s="3" t="s">
        <v>89</v>
      </c>
      <c r="C316" s="3"/>
      <c r="D316" s="3"/>
      <c r="E316" s="3"/>
      <c r="F316" s="3"/>
      <c r="G316" s="3"/>
      <c r="H316" s="1346" t="s">
        <v>2662</v>
      </c>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2663</v>
      </c>
      <c r="I317" s="1349"/>
      <c r="J317" s="1349"/>
      <c r="K317" s="1349"/>
      <c r="L317" s="1349"/>
      <c r="M317" s="1349"/>
      <c r="N317" s="1372"/>
      <c r="O317" s="1372"/>
      <c r="P317" s="1372"/>
      <c r="Q317" s="1372"/>
      <c r="R317" s="1372"/>
      <c r="S317" s="3"/>
      <c r="T317" s="3" t="s">
        <v>76</v>
      </c>
      <c r="V317" s="3"/>
      <c r="W317" s="3"/>
      <c r="X317" s="3"/>
      <c r="Y317" s="3"/>
      <c r="AA317" s="1349" t="s">
        <v>2669</v>
      </c>
      <c r="AB317" s="1349"/>
      <c r="AC317" s="1349"/>
      <c r="AD317" s="1349"/>
      <c r="AE317" s="1349"/>
      <c r="AF317" s="1349"/>
      <c r="AG317" s="1372"/>
      <c r="AH317" s="1372"/>
      <c r="AI317" s="1372"/>
      <c r="AJ317" s="1372"/>
      <c r="AK317" s="1372"/>
    </row>
    <row r="318" spans="2:37" ht="12.95" customHeight="1"/>
    <row r="319" spans="2:37" ht="12.95" customHeight="1">
      <c r="B319" s="4" t="s">
        <v>908</v>
      </c>
      <c r="C319" s="3"/>
      <c r="D319" s="3"/>
      <c r="E319" s="3"/>
      <c r="F319" s="3"/>
      <c r="H319" s="1372" t="s">
        <v>2637</v>
      </c>
      <c r="I319" s="1372"/>
      <c r="J319" s="1372"/>
      <c r="K319" s="1372"/>
      <c r="L319" s="1372"/>
      <c r="M319" s="1372"/>
      <c r="N319" s="1372"/>
      <c r="O319" s="1372"/>
      <c r="P319" s="1372"/>
      <c r="Q319" s="1372"/>
      <c r="R319" s="1372"/>
      <c r="T319" s="3" t="s">
        <v>365</v>
      </c>
      <c r="V319" s="3"/>
      <c r="W319" s="3"/>
      <c r="X319" s="3"/>
      <c r="Y319" s="3"/>
      <c r="AA319" s="1372" t="s">
        <v>2670</v>
      </c>
      <c r="AB319" s="1372"/>
      <c r="AC319" s="1372"/>
      <c r="AD319" s="1372"/>
      <c r="AE319" s="1372"/>
      <c r="AF319" s="1372"/>
      <c r="AG319" s="1372"/>
      <c r="AH319" s="1372"/>
      <c r="AI319" s="1372"/>
      <c r="AJ319" s="1372"/>
      <c r="AK319" s="1372"/>
    </row>
    <row r="320" spans="2:37" ht="12.95" customHeight="1">
      <c r="B320" s="3" t="s">
        <v>471</v>
      </c>
      <c r="C320" s="3"/>
      <c r="D320" s="3"/>
      <c r="E320" s="3"/>
      <c r="F320" s="3"/>
      <c r="H320" s="1349" t="s">
        <v>2638</v>
      </c>
      <c r="I320" s="1349"/>
      <c r="J320" s="1349"/>
      <c r="K320" s="1349"/>
      <c r="L320" s="1349"/>
      <c r="M320" s="1349"/>
      <c r="N320" s="1349"/>
      <c r="O320" s="1349"/>
      <c r="P320" s="1349"/>
      <c r="Q320" s="1349"/>
      <c r="R320" s="1349"/>
      <c r="T320" s="3" t="s">
        <v>471</v>
      </c>
      <c r="V320" s="3"/>
      <c r="W320" s="3"/>
      <c r="X320" s="3"/>
      <c r="Y320" s="3"/>
      <c r="AA320" s="1349" t="s">
        <v>2671</v>
      </c>
      <c r="AB320" s="1349"/>
      <c r="AC320" s="1349"/>
      <c r="AD320" s="1349"/>
      <c r="AE320" s="1349"/>
      <c r="AF320" s="1349"/>
      <c r="AG320" s="1349"/>
      <c r="AH320" s="1349"/>
      <c r="AI320" s="1349"/>
      <c r="AJ320" s="1349"/>
      <c r="AK320" s="1349"/>
    </row>
    <row r="321" spans="2:37" ht="12.95" customHeight="1">
      <c r="B321" s="3" t="s">
        <v>472</v>
      </c>
      <c r="C321" s="3"/>
      <c r="D321" s="3"/>
      <c r="E321" s="3"/>
      <c r="F321" s="3"/>
      <c r="H321" s="1349" t="s">
        <v>2650</v>
      </c>
      <c r="I321" s="1349"/>
      <c r="J321" s="1349"/>
      <c r="K321" s="1349"/>
      <c r="L321" s="1349"/>
      <c r="M321" s="1349"/>
      <c r="N321" s="1349"/>
      <c r="O321" s="1349"/>
      <c r="P321" s="1349"/>
      <c r="Q321" s="1349"/>
      <c r="R321" s="1349"/>
      <c r="T321" s="3" t="s">
        <v>75</v>
      </c>
      <c r="V321" s="3"/>
      <c r="W321" s="3"/>
      <c r="X321" s="3"/>
      <c r="Y321" s="3"/>
      <c r="AA321" s="1349" t="s">
        <v>2666</v>
      </c>
      <c r="AB321" s="1349"/>
      <c r="AC321" s="1349"/>
      <c r="AD321" s="1349"/>
      <c r="AE321" s="1349"/>
      <c r="AF321" s="1349"/>
      <c r="AG321" s="1349"/>
      <c r="AH321" s="1349"/>
      <c r="AI321" s="1349"/>
      <c r="AJ321" s="1349"/>
      <c r="AK321" s="1349"/>
    </row>
    <row r="322" spans="2:37" ht="12.95" customHeight="1">
      <c r="B322" s="3" t="s">
        <v>87</v>
      </c>
      <c r="C322" s="3"/>
      <c r="D322" s="3"/>
      <c r="E322" s="3"/>
      <c r="F322" s="3"/>
      <c r="H322" s="1349" t="s">
        <v>2639</v>
      </c>
      <c r="I322" s="1349"/>
      <c r="J322" s="1349"/>
      <c r="K322" s="1349"/>
      <c r="L322" s="1349"/>
      <c r="M322" s="1349"/>
      <c r="N322" s="1349"/>
      <c r="O322" s="1349"/>
      <c r="P322" s="1349"/>
      <c r="Q322" s="1349"/>
      <c r="R322" s="1349"/>
      <c r="T322" s="3" t="s">
        <v>87</v>
      </c>
      <c r="V322" s="3"/>
      <c r="W322" s="3"/>
      <c r="X322" s="3"/>
      <c r="Y322" s="3"/>
      <c r="AA322" s="1349" t="s">
        <v>2672</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769" t="s">
        <v>2640</v>
      </c>
      <c r="I323" s="1424"/>
      <c r="J323" s="1424"/>
      <c r="K323" s="1424"/>
      <c r="L323" s="1424"/>
      <c r="M323" s="1424"/>
      <c r="N323" s="4" t="s">
        <v>205</v>
      </c>
      <c r="O323" s="4"/>
      <c r="P323" s="1418"/>
      <c r="Q323" s="1418"/>
      <c r="R323" s="1418"/>
      <c r="S323" s="3"/>
      <c r="T323" s="3" t="s">
        <v>88</v>
      </c>
      <c r="V323" s="3"/>
      <c r="W323" s="3"/>
      <c r="X323" s="3"/>
      <c r="Y323" s="3"/>
      <c r="AA323" s="1769" t="s">
        <v>2667</v>
      </c>
      <c r="AB323" s="1424"/>
      <c r="AC323" s="1424"/>
      <c r="AD323" s="1424"/>
      <c r="AE323" s="1424"/>
      <c r="AF323" s="1424"/>
      <c r="AG323" s="4" t="s">
        <v>205</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t="s">
        <v>2641</v>
      </c>
      <c r="I325" s="1349"/>
      <c r="J325" s="1349"/>
      <c r="K325" s="1349"/>
      <c r="L325" s="1349"/>
      <c r="M325" s="1349"/>
      <c r="N325" s="1372"/>
      <c r="O325" s="1372"/>
      <c r="P325" s="1372"/>
      <c r="Q325" s="1372"/>
      <c r="R325" s="1372"/>
      <c r="S325" s="3"/>
      <c r="T325" s="3" t="s">
        <v>76</v>
      </c>
      <c r="V325" s="3"/>
      <c r="W325" s="3"/>
      <c r="X325" s="3"/>
      <c r="Y325" s="3"/>
      <c r="AA325" s="1349"/>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2" t="s">
        <v>591</v>
      </c>
      <c r="I327" s="1372"/>
      <c r="J327" s="1372"/>
      <c r="K327" s="1372"/>
      <c r="L327" s="1372"/>
      <c r="M327" s="1372"/>
      <c r="N327" s="1372"/>
      <c r="O327" s="1372"/>
      <c r="P327" s="1372"/>
      <c r="Q327" s="1372"/>
      <c r="R327" s="1372"/>
      <c r="T327" s="3" t="s">
        <v>367</v>
      </c>
      <c r="V327" s="3"/>
      <c r="W327" s="3"/>
      <c r="X327" s="3"/>
      <c r="Y327" s="3"/>
      <c r="AA327" s="1372" t="s">
        <v>591</v>
      </c>
      <c r="AB327" s="1372"/>
      <c r="AC327" s="1372"/>
      <c r="AD327" s="1372"/>
      <c r="AE327" s="1372"/>
      <c r="AF327" s="1372"/>
      <c r="AG327" s="1372"/>
      <c r="AH327" s="1372"/>
      <c r="AI327" s="1372"/>
      <c r="AJ327" s="1372"/>
      <c r="AK327" s="1372"/>
    </row>
    <row r="328" spans="2:37" ht="12.9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2.9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c r="I331" s="1424"/>
      <c r="J331" s="1424"/>
      <c r="K331" s="1424"/>
      <c r="L331" s="1424"/>
      <c r="M331" s="1424"/>
      <c r="N331" s="4" t="s">
        <v>205</v>
      </c>
      <c r="O331" s="4"/>
      <c r="P331" s="1418"/>
      <c r="Q331" s="1418"/>
      <c r="R331" s="1418"/>
      <c r="S331" s="3"/>
      <c r="T331" s="3" t="s">
        <v>88</v>
      </c>
      <c r="V331" s="3"/>
      <c r="W331" s="3"/>
      <c r="X331" s="3"/>
      <c r="Y331" s="3"/>
      <c r="AA331" s="1424"/>
      <c r="AB331" s="1424"/>
      <c r="AC331" s="1424"/>
      <c r="AD331" s="1424"/>
      <c r="AE331" s="1424"/>
      <c r="AF331" s="1424"/>
      <c r="AG331" s="4" t="s">
        <v>205</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2" t="s">
        <v>2673</v>
      </c>
      <c r="I335" s="1372"/>
      <c r="J335" s="1372"/>
      <c r="K335" s="1372"/>
      <c r="L335" s="1372"/>
      <c r="M335" s="1372"/>
      <c r="N335" s="1372"/>
      <c r="O335" s="1372"/>
      <c r="P335" s="1372"/>
      <c r="Q335" s="1372"/>
      <c r="R335" s="1372"/>
      <c r="T335" s="204" t="s">
        <v>886</v>
      </c>
      <c r="V335" s="3"/>
      <c r="W335" s="3"/>
      <c r="X335" s="3"/>
      <c r="Y335" s="3"/>
      <c r="AA335" s="1417" t="s">
        <v>2727</v>
      </c>
      <c r="AB335" s="1372"/>
      <c r="AC335" s="1372"/>
      <c r="AD335" s="1372"/>
      <c r="AE335" s="1372"/>
      <c r="AF335" s="1372"/>
      <c r="AG335" s="1372"/>
      <c r="AH335" s="1372"/>
      <c r="AI335" s="1372"/>
      <c r="AJ335" s="1372"/>
      <c r="AK335" s="1372"/>
    </row>
    <row r="336" spans="2:37" ht="12.95" customHeight="1">
      <c r="B336" s="3" t="s">
        <v>471</v>
      </c>
      <c r="C336" s="3"/>
      <c r="D336" s="3"/>
      <c r="E336" s="3"/>
      <c r="F336" s="3"/>
      <c r="H336" s="1349" t="s">
        <v>2674</v>
      </c>
      <c r="I336" s="1349"/>
      <c r="J336" s="1349"/>
      <c r="K336" s="1349"/>
      <c r="L336" s="1349"/>
      <c r="M336" s="1349"/>
      <c r="N336" s="1349"/>
      <c r="O336" s="1349"/>
      <c r="P336" s="1349"/>
      <c r="Q336" s="1349"/>
      <c r="R336" s="1349"/>
      <c r="T336" s="3" t="s">
        <v>471</v>
      </c>
      <c r="V336" s="3"/>
      <c r="W336" s="3"/>
      <c r="X336" s="3"/>
      <c r="Y336" s="3"/>
      <c r="AA336" s="1349" t="s">
        <v>2680</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2675</v>
      </c>
      <c r="I337" s="1349"/>
      <c r="J337" s="1349"/>
      <c r="K337" s="1349"/>
      <c r="L337" s="1349"/>
      <c r="M337" s="1349"/>
      <c r="N337" s="1349"/>
      <c r="O337" s="1349"/>
      <c r="P337" s="1349"/>
      <c r="Q337" s="1349"/>
      <c r="R337" s="1349"/>
      <c r="T337" s="3" t="s">
        <v>75</v>
      </c>
      <c r="V337" s="3"/>
      <c r="W337" s="3"/>
      <c r="X337" s="3"/>
      <c r="Y337" s="3"/>
      <c r="AA337" s="1349" t="s">
        <v>2681</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2676</v>
      </c>
      <c r="I338" s="1349"/>
      <c r="J338" s="1349"/>
      <c r="K338" s="1349"/>
      <c r="L338" s="1349"/>
      <c r="M338" s="1349"/>
      <c r="N338" s="1349"/>
      <c r="O338" s="1349"/>
      <c r="P338" s="1349"/>
      <c r="Q338" s="1349"/>
      <c r="R338" s="1349"/>
      <c r="T338" s="3" t="s">
        <v>87</v>
      </c>
      <c r="V338" s="3"/>
      <c r="W338" s="3"/>
      <c r="X338" s="3"/>
      <c r="Y338" s="3"/>
      <c r="AA338" s="1349" t="s">
        <v>2682</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769" t="s">
        <v>2677</v>
      </c>
      <c r="I339" s="1424"/>
      <c r="J339" s="1424"/>
      <c r="K339" s="1424"/>
      <c r="L339" s="1424"/>
      <c r="M339" s="1424"/>
      <c r="N339" s="4" t="s">
        <v>205</v>
      </c>
      <c r="O339" s="4"/>
      <c r="P339" s="1418"/>
      <c r="Q339" s="1418"/>
      <c r="R339" s="1418"/>
      <c r="S339" s="3"/>
      <c r="T339" s="3" t="s">
        <v>88</v>
      </c>
      <c r="V339" s="3"/>
      <c r="W339" s="3"/>
      <c r="X339" s="3"/>
      <c r="Y339" s="3"/>
      <c r="AA339" s="1769" t="s">
        <v>2683</v>
      </c>
      <c r="AB339" s="1424"/>
      <c r="AC339" s="1424"/>
      <c r="AD339" s="1424"/>
      <c r="AE339" s="1424"/>
      <c r="AF339" s="1424"/>
      <c r="AG339" s="4" t="s">
        <v>205</v>
      </c>
      <c r="AH339" s="4"/>
      <c r="AI339" s="1418"/>
      <c r="AJ339" s="1418"/>
      <c r="AK339" s="1418"/>
    </row>
    <row r="340" spans="1:66" ht="12.95" customHeight="1">
      <c r="B340" s="3" t="s">
        <v>89</v>
      </c>
      <c r="C340" s="3"/>
      <c r="D340" s="3"/>
      <c r="E340" s="3"/>
      <c r="F340" s="3"/>
      <c r="G340" s="3"/>
      <c r="H340" s="1346" t="s">
        <v>2678</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2679</v>
      </c>
      <c r="I341" s="1349"/>
      <c r="J341" s="1349"/>
      <c r="K341" s="1349"/>
      <c r="L341" s="1349"/>
      <c r="M341" s="1349"/>
      <c r="N341" s="1372"/>
      <c r="O341" s="1372"/>
      <c r="P341" s="1372"/>
      <c r="Q341" s="1372"/>
      <c r="R341" s="1372"/>
      <c r="S341" s="3"/>
      <c r="T341" s="3" t="s">
        <v>76</v>
      </c>
      <c r="V341" s="3"/>
      <c r="W341" s="3"/>
      <c r="X341" s="3"/>
      <c r="Y341" s="3"/>
      <c r="AA341" s="1349"/>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332" t="s">
        <v>545</v>
      </c>
      <c r="N355" s="1332"/>
      <c r="P355" t="s">
        <v>1650</v>
      </c>
      <c r="AJ355" s="1332" t="s">
        <v>591</v>
      </c>
      <c r="AK355" s="1332"/>
    </row>
    <row r="356" spans="1:46" ht="12.95" customHeight="1">
      <c r="D356" s="3" t="s">
        <v>1639</v>
      </c>
      <c r="M356" s="1332" t="s">
        <v>591</v>
      </c>
      <c r="N356" s="1332"/>
      <c r="P356" s="3" t="s">
        <v>1719</v>
      </c>
      <c r="AJ356" s="1447"/>
      <c r="AK356" s="1447"/>
    </row>
    <row r="357" spans="1:46" ht="12.95" customHeight="1">
      <c r="D357" s="3" t="s">
        <v>704</v>
      </c>
      <c r="M357" s="1332" t="s">
        <v>591</v>
      </c>
      <c r="N357" s="1332"/>
      <c r="P357" t="s">
        <v>1649</v>
      </c>
      <c r="AJ357" s="1332" t="s">
        <v>591</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369</v>
      </c>
      <c r="Y364" s="1332" t="s">
        <v>591</v>
      </c>
      <c r="Z364" s="1332"/>
    </row>
    <row r="365" spans="1:46" ht="12.9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2.9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815"/>
      <c r="T377" s="1815"/>
      <c r="U377" s="1" t="s">
        <v>305</v>
      </c>
      <c r="V377" s="1815"/>
      <c r="W377" s="1815"/>
      <c r="Y377" t="s">
        <v>2079</v>
      </c>
      <c r="AC377" s="27" t="s">
        <v>304</v>
      </c>
      <c r="AD377" s="1815"/>
      <c r="AE377" s="1815"/>
      <c r="AF377" s="1" t="s">
        <v>305</v>
      </c>
      <c r="AG377" s="1815"/>
      <c r="AH377" s="1815"/>
    </row>
    <row r="378" spans="1:34" ht="12.95" customHeight="1">
      <c r="E378" s="4" t="s">
        <v>987</v>
      </c>
      <c r="F378" s="4"/>
      <c r="G378" s="4"/>
      <c r="H378" s="4"/>
      <c r="I378" s="4"/>
      <c r="J378" s="4"/>
      <c r="K378" s="4"/>
      <c r="L378" s="4"/>
      <c r="N378" s="1815"/>
      <c r="O378" s="1815"/>
      <c r="P378" s="1815"/>
    </row>
    <row r="379" spans="1:34" ht="12.95" customHeight="1">
      <c r="E379" s="204" t="s">
        <v>2085</v>
      </c>
      <c r="F379" s="4"/>
      <c r="G379" s="4"/>
      <c r="H379" s="4"/>
      <c r="I379" s="4"/>
      <c r="J379" s="4"/>
      <c r="K379" s="4"/>
      <c r="L379" s="4"/>
      <c r="AG379" s="1804" t="s">
        <v>591</v>
      </c>
      <c r="AH379" s="1804"/>
    </row>
    <row r="380" spans="1:34" ht="12.95" customHeight="1">
      <c r="E380" s="4"/>
      <c r="F380" s="4"/>
      <c r="G380" s="4" t="s">
        <v>2086</v>
      </c>
      <c r="H380" s="4"/>
      <c r="I380" s="4"/>
      <c r="J380" s="4"/>
      <c r="K380" s="4"/>
      <c r="L380" s="4"/>
      <c r="AG380" s="1804" t="s">
        <v>591</v>
      </c>
      <c r="AH380" s="1804"/>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2" t="s">
        <v>2684</v>
      </c>
      <c r="K385" s="1372"/>
      <c r="L385" s="1372"/>
      <c r="M385" s="1372"/>
      <c r="N385" s="1372"/>
      <c r="O385" s="1372"/>
      <c r="P385" s="1372"/>
      <c r="Q385" s="1372"/>
      <c r="R385" s="1372"/>
      <c r="S385" s="1372"/>
      <c r="T385" s="1372"/>
      <c r="U385" s="1372"/>
      <c r="V385" s="8" t="s">
        <v>83</v>
      </c>
      <c r="W385" s="8"/>
      <c r="X385" s="8"/>
      <c r="Y385" s="8"/>
      <c r="Z385" s="8"/>
      <c r="AA385" s="8"/>
      <c r="AB385" s="8"/>
      <c r="AC385" s="1372" t="s">
        <v>2685</v>
      </c>
      <c r="AD385" s="1372"/>
      <c r="AE385" s="1372"/>
      <c r="AF385" s="1372"/>
      <c r="AG385" s="1372"/>
      <c r="AH385" s="1372"/>
      <c r="AI385" s="1372"/>
      <c r="AJ385" s="1372"/>
    </row>
    <row r="386" spans="4:36" ht="12.95" customHeight="1">
      <c r="D386" s="3" t="s">
        <v>1182</v>
      </c>
      <c r="J386" s="1349" t="s">
        <v>2685</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5" customHeight="1">
      <c r="D387" s="3" t="s">
        <v>441</v>
      </c>
      <c r="J387" s="1349"/>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2.95" customHeight="1">
      <c r="D388" t="s">
        <v>1178</v>
      </c>
      <c r="J388" s="1403" t="s">
        <v>2686</v>
      </c>
      <c r="K388" s="1403"/>
      <c r="L388" s="1403"/>
      <c r="M388" s="1403"/>
      <c r="N388" s="1403"/>
      <c r="O388" s="1403"/>
      <c r="P388" s="1403"/>
      <c r="Q388" s="1403"/>
      <c r="R388" s="1403"/>
      <c r="S388" s="1403"/>
      <c r="T388" s="1403"/>
      <c r="U388" s="1403"/>
      <c r="V388" s="1372" t="s">
        <v>2687</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1">
        <v>44801</v>
      </c>
      <c r="R389" s="1751"/>
      <c r="S389" s="1751"/>
      <c r="T389" s="1751"/>
      <c r="U389" s="1751"/>
      <c r="V389" t="s">
        <v>308</v>
      </c>
      <c r="AI389" s="1332" t="s">
        <v>669</v>
      </c>
      <c r="AJ389" s="1332"/>
    </row>
    <row r="390" spans="4:36" ht="12.95" customHeight="1">
      <c r="D390" t="s">
        <v>5</v>
      </c>
      <c r="Q390" s="1534">
        <v>45947</v>
      </c>
      <c r="R390" s="1819"/>
      <c r="S390" s="1819"/>
      <c r="T390" s="1819"/>
      <c r="U390" s="1819"/>
      <c r="W390" s="21" t="s">
        <v>74</v>
      </c>
      <c r="AG390" s="1817"/>
      <c r="AH390" s="1817"/>
      <c r="AI390" s="1817"/>
      <c r="AJ390" s="1817"/>
    </row>
    <row r="391" spans="4:36" ht="12.95" customHeight="1">
      <c r="D391" t="s">
        <v>426</v>
      </c>
      <c r="Q391" s="1828">
        <v>7467500</v>
      </c>
      <c r="R391" s="1828"/>
      <c r="S391" s="1828"/>
      <c r="T391" s="1828"/>
      <c r="U391" s="1828"/>
      <c r="V391" s="3" t="s">
        <v>1181</v>
      </c>
      <c r="AG391" s="1818">
        <v>45931</v>
      </c>
      <c r="AH391" s="1818"/>
      <c r="AI391" s="1818"/>
      <c r="AJ391" s="1818"/>
    </row>
    <row r="392" spans="4:36" ht="12.95" customHeight="1">
      <c r="D392" t="s">
        <v>88</v>
      </c>
      <c r="I392" s="1424"/>
      <c r="J392" s="1424"/>
      <c r="K392" s="1424"/>
      <c r="L392" s="1424"/>
      <c r="M392" s="1424"/>
      <c r="N392" s="1424"/>
      <c r="Q392" s="4" t="s">
        <v>205</v>
      </c>
      <c r="S392" s="1827"/>
      <c r="T392" s="1827"/>
      <c r="U392" s="1827"/>
      <c r="V392" t="s">
        <v>73</v>
      </c>
      <c r="AI392" s="1332" t="s">
        <v>669</v>
      </c>
      <c r="AJ392" s="1332"/>
    </row>
    <row r="393" spans="4:36" ht="12.95" customHeight="1">
      <c r="D393" t="s">
        <v>309</v>
      </c>
      <c r="Q393" s="1409"/>
      <c r="R393" s="1409"/>
      <c r="S393" s="1409"/>
      <c r="T393" s="1409"/>
      <c r="U393" s="1409"/>
      <c r="V393" t="s">
        <v>310</v>
      </c>
      <c r="AG393" s="1817">
        <v>250000</v>
      </c>
      <c r="AH393" s="1817"/>
      <c r="AI393" s="1817"/>
      <c r="AJ393" s="1817"/>
    </row>
    <row r="394" spans="4:36" ht="12.95" customHeight="1">
      <c r="D394" t="s">
        <v>311</v>
      </c>
      <c r="Q394" s="1755"/>
      <c r="R394" s="1755"/>
      <c r="S394" s="1755"/>
      <c r="T394" s="1755"/>
      <c r="U394" s="1755"/>
      <c r="V394" t="s">
        <v>1163</v>
      </c>
      <c r="AG394" s="1817"/>
      <c r="AH394" s="1817"/>
      <c r="AI394" s="1817"/>
      <c r="AJ394" s="1817"/>
    </row>
    <row r="395" spans="4:36" ht="12.95" customHeight="1">
      <c r="D395" t="s">
        <v>1162</v>
      </c>
      <c r="AG395" s="1817"/>
      <c r="AH395" s="1817"/>
      <c r="AI395" s="1817"/>
      <c r="AJ395" s="1817"/>
    </row>
    <row r="396" spans="4:36" ht="12.95" customHeight="1">
      <c r="AG396" s="456"/>
      <c r="AH396" s="456"/>
      <c r="AI396" s="456"/>
      <c r="AJ396" s="456"/>
    </row>
    <row r="397" spans="4:36" ht="12.95" customHeight="1">
      <c r="D397" s="3" t="s">
        <v>2142</v>
      </c>
      <c r="AG397" s="456"/>
      <c r="AH397" s="456"/>
      <c r="AI397" s="1332" t="s">
        <v>669</v>
      </c>
      <c r="AJ397" s="1332"/>
    </row>
    <row r="398" spans="4:36" ht="12.95"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1660</v>
      </c>
      <c r="S401" s="1750" t="s">
        <v>669</v>
      </c>
      <c r="T401" s="1750"/>
      <c r="U401" s="1750"/>
      <c r="V401" t="s">
        <v>1661</v>
      </c>
      <c r="AG401" s="1821"/>
      <c r="AH401" s="1821"/>
      <c r="AI401" s="1821"/>
      <c r="AJ401" s="1821"/>
    </row>
    <row r="402" spans="1:36" ht="12.95" customHeight="1">
      <c r="D402" s="3" t="s">
        <v>1658</v>
      </c>
      <c r="S402" s="1750" t="s">
        <v>591</v>
      </c>
      <c r="T402" s="1750"/>
      <c r="U402" s="1750"/>
      <c r="V402" t="s">
        <v>1663</v>
      </c>
      <c r="AE402" s="1816"/>
      <c r="AF402" s="1816"/>
      <c r="AG402" s="1816"/>
      <c r="AH402" s="1816"/>
      <c r="AI402" s="1816"/>
      <c r="AJ402" s="1816"/>
    </row>
    <row r="403" spans="1:36" ht="12.95"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1665</v>
      </c>
      <c r="E405" s="477"/>
      <c r="F405" s="477"/>
      <c r="G405" s="477"/>
      <c r="H405" s="477"/>
      <c r="I405" s="477"/>
      <c r="J405" s="477"/>
      <c r="K405" s="477"/>
      <c r="L405" s="477"/>
      <c r="M405" s="477"/>
      <c r="N405" s="477"/>
      <c r="O405" s="477"/>
      <c r="P405" s="477"/>
      <c r="Q405" s="477"/>
      <c r="R405" s="477"/>
      <c r="S405" s="1826" t="s">
        <v>2748</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7" t="s">
        <v>2740</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545</v>
      </c>
      <c r="S411" s="1332"/>
      <c r="AC411" s="27" t="s">
        <v>570</v>
      </c>
      <c r="AD411" s="1663">
        <v>4</v>
      </c>
      <c r="AE411" s="1663"/>
    </row>
    <row r="412" spans="1:36" ht="12.95" customHeight="1">
      <c r="E412" t="s">
        <v>107</v>
      </c>
      <c r="R412" s="1332" t="s">
        <v>591</v>
      </c>
      <c r="S412" s="1332"/>
      <c r="AC412" s="27" t="s">
        <v>570</v>
      </c>
      <c r="AD412" s="1663"/>
      <c r="AE412" s="1663"/>
    </row>
    <row r="413" spans="1:36" ht="12.95" customHeight="1">
      <c r="E413" t="s">
        <v>108</v>
      </c>
      <c r="S413" s="1332" t="s">
        <v>591</v>
      </c>
      <c r="T413" s="1332"/>
    </row>
    <row r="414" spans="1:36" ht="12.95" customHeight="1">
      <c r="E414" t="s">
        <v>169</v>
      </c>
      <c r="H414" s="1756" t="s">
        <v>2741</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590</v>
      </c>
      <c r="B417" s="2"/>
      <c r="C417" s="2"/>
      <c r="D417" s="2" t="s">
        <v>114</v>
      </c>
      <c r="AF417" s="2" t="s">
        <v>957</v>
      </c>
    </row>
    <row r="418" spans="1:39" ht="12.95" customHeight="1">
      <c r="E418" s="1815"/>
      <c r="F418" s="1815"/>
      <c r="G418" s="1815"/>
      <c r="H418" s="13" t="s">
        <v>115</v>
      </c>
      <c r="I418" s="1815"/>
      <c r="J418" s="1815"/>
      <c r="K418" s="1815"/>
      <c r="L418" t="s">
        <v>116</v>
      </c>
      <c r="N418" s="27" t="s">
        <v>575</v>
      </c>
      <c r="P418" s="1759">
        <v>6.3</v>
      </c>
      <c r="Q418" s="1759"/>
      <c r="R418" s="1759"/>
      <c r="S418" t="s">
        <v>117</v>
      </c>
      <c r="W418" s="1825">
        <f>IF(E418&gt;0,(E418*I418),(P418*43560))</f>
        <v>274428</v>
      </c>
      <c r="X418" s="1825"/>
      <c r="Y418" s="1825"/>
      <c r="Z418" t="s">
        <v>118</v>
      </c>
      <c r="AF418" s="1760">
        <f>IFERROR(IF(P418&gt;0,(AG437/P418),(AG437/(W418/43560))),0)</f>
        <v>31.587301587301589</v>
      </c>
      <c r="AG418" s="1760"/>
      <c r="AH418" s="1760"/>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1736</v>
      </c>
      <c r="F421" s="1013"/>
      <c r="G421" s="1013"/>
      <c r="H421" s="1013"/>
      <c r="I421" s="1758">
        <v>6.3</v>
      </c>
      <c r="J421" s="1758"/>
      <c r="K421" s="1758"/>
      <c r="L421" s="1013"/>
      <c r="M421" s="118"/>
      <c r="N421" s="1013"/>
      <c r="O421" s="1013"/>
      <c r="P421" s="1441">
        <f>(DU755+DU778+DU800)/I421</f>
        <v>70.158730158730165</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2</v>
      </c>
      <c r="Q424" s="1332"/>
      <c r="S424" t="s">
        <v>188</v>
      </c>
      <c r="AE424" s="1332">
        <v>2</v>
      </c>
      <c r="AF424" s="1332"/>
    </row>
    <row r="425" spans="1:39" ht="12.95" customHeight="1">
      <c r="E425" t="s">
        <v>189</v>
      </c>
      <c r="P425" s="1332">
        <v>0</v>
      </c>
      <c r="Q425" s="1332"/>
      <c r="S425" t="s">
        <v>131</v>
      </c>
      <c r="AE425" s="1332" t="s">
        <v>591</v>
      </c>
      <c r="AF425" s="1332"/>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608</v>
      </c>
      <c r="P429" s="1"/>
      <c r="Q429" s="1332" t="s">
        <v>545</v>
      </c>
      <c r="R429" s="1332"/>
    </row>
    <row r="430" spans="1:39" ht="12.95" customHeight="1">
      <c r="F430" t="s">
        <v>609</v>
      </c>
      <c r="P430" s="1"/>
      <c r="Q430" s="1"/>
      <c r="AF430" s="1332" t="s">
        <v>591</v>
      </c>
      <c r="AG430" s="1823"/>
    </row>
    <row r="431" spans="1:39" ht="12.95" customHeight="1"/>
    <row r="432" spans="1:39" ht="12.95" customHeight="1">
      <c r="A432" s="2"/>
      <c r="B432" s="2"/>
      <c r="C432" s="2"/>
      <c r="E432" s="4" t="s">
        <v>307</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0">
        <v>199</v>
      </c>
      <c r="AH437" s="1820"/>
      <c r="AI437" s="1820"/>
      <c r="AJ437" s="1820"/>
    </row>
    <row r="438" spans="1:55" ht="12.9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4">
        <v>0</v>
      </c>
      <c r="AH438" s="1613"/>
      <c r="AI438" s="1613"/>
      <c r="AJ438" s="1613"/>
    </row>
    <row r="439" spans="1:55" ht="12.9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0">
        <v>197</v>
      </c>
      <c r="AH439" s="1820"/>
      <c r="AI439" s="1820"/>
      <c r="AJ439" s="1820"/>
    </row>
    <row r="440" spans="1:55" ht="12.9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0">
        <v>197</v>
      </c>
      <c r="AH440" s="1820"/>
      <c r="AI440" s="1820"/>
      <c r="AJ440" s="1820"/>
    </row>
    <row r="441" spans="1:55" ht="12.9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2.9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219481</v>
      </c>
      <c r="AH442" s="1695"/>
      <c r="AI442" s="1695"/>
      <c r="AJ442" s="1695"/>
    </row>
    <row r="443" spans="1:55" ht="12.9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219481</v>
      </c>
      <c r="AH443" s="1695"/>
      <c r="AI443" s="1695"/>
      <c r="AJ443" s="1695"/>
    </row>
    <row r="444" spans="1:55" ht="12.9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2.9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2.95" customHeight="1">
      <c r="D446" s="1742" t="s">
        <v>2087</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7780</v>
      </c>
      <c r="AH446" s="1695"/>
      <c r="AI446" s="1695"/>
      <c r="AJ446" s="1695"/>
      <c r="AZ446" s="34"/>
      <c r="BA446" s="34"/>
      <c r="BB446" s="34"/>
      <c r="BC446" s="34"/>
    </row>
    <row r="447" spans="1:55" ht="12.9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37841</v>
      </c>
      <c r="AH448" s="1695"/>
      <c r="AI448" s="1695"/>
      <c r="AJ448" s="1695"/>
      <c r="AZ448" s="3"/>
      <c r="BA448" s="3"/>
      <c r="BB448" s="3"/>
      <c r="BC448" s="3"/>
    </row>
    <row r="449" spans="1:55" ht="12.95"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2.9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265102</v>
      </c>
      <c r="AH450" s="1844"/>
      <c r="AI450" s="1844"/>
      <c r="AJ450" s="1844"/>
      <c r="AZ450" s="3"/>
      <c r="BA450" s="3"/>
      <c r="BB450" s="3"/>
      <c r="BC450" s="3"/>
    </row>
    <row r="451" spans="1:55" ht="12.9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723154.28140703519</v>
      </c>
      <c r="AD454" s="1812"/>
      <c r="AE454" s="1812"/>
      <c r="AF454" s="1812"/>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723154.28140703519</v>
      </c>
      <c r="AD455" s="1812"/>
      <c r="AE455" s="1812"/>
      <c r="AF455" s="1812"/>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643949.84924623114</v>
      </c>
      <c r="AD456" s="1812"/>
      <c r="AE456" s="1812"/>
      <c r="AF456" s="1812"/>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2099</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2190</v>
      </c>
      <c r="E472" s="1848"/>
      <c r="F472" s="1848"/>
      <c r="G472" s="1848"/>
      <c r="H472" s="1848"/>
      <c r="I472" s="1848"/>
      <c r="J472" s="1848"/>
      <c r="K472" s="1848"/>
      <c r="L472" s="1848"/>
      <c r="M472" s="1848"/>
      <c r="N472" s="1848"/>
      <c r="O472" s="1848"/>
      <c r="P472" s="1848"/>
      <c r="Q472" s="1848"/>
      <c r="R472" s="1848"/>
      <c r="S472" s="1848"/>
      <c r="T472" s="1848"/>
      <c r="U472" s="1848"/>
      <c r="V472" s="1849"/>
      <c r="W472" s="1665">
        <v>11</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30</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7" t="s">
        <v>2728</v>
      </c>
      <c r="H474" s="1698"/>
      <c r="I474" s="1698"/>
      <c r="J474" s="1698"/>
      <c r="K474" s="1698"/>
      <c r="L474" s="1698"/>
      <c r="M474" s="1698"/>
      <c r="N474" s="1698"/>
      <c r="O474" s="1698"/>
      <c r="P474" s="1698"/>
      <c r="Q474" s="1698"/>
      <c r="R474" s="1698"/>
      <c r="S474" s="1698"/>
      <c r="T474" s="1698"/>
      <c r="U474" s="1698"/>
      <c r="V474" s="1699"/>
      <c r="W474" s="1665">
        <v>158</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7" t="s">
        <v>2688</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2689</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t="s">
        <v>2690</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2" t="s">
        <v>396</v>
      </c>
      <c r="C489" s="1833"/>
      <c r="D489" s="1833"/>
      <c r="E489" s="1833"/>
      <c r="F489" s="1833"/>
      <c r="G489" s="1833"/>
      <c r="H489" s="1833"/>
      <c r="I489" s="1833"/>
      <c r="J489" s="1833"/>
      <c r="K489" s="1833"/>
      <c r="L489" s="1833"/>
      <c r="M489" s="1833"/>
      <c r="N489" s="1833"/>
      <c r="O489" s="1833"/>
      <c r="P489" s="1834"/>
      <c r="Q489" s="1838" t="s">
        <v>545</v>
      </c>
      <c r="R489" s="1839"/>
      <c r="S489" s="1770" t="s">
        <v>2691</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5" t="s">
        <v>545</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7" t="s">
        <v>2692</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t="s">
        <v>591</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382</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1669</v>
      </c>
      <c r="C495" s="5"/>
      <c r="D495" s="5"/>
      <c r="E495" s="5"/>
      <c r="F495" s="5"/>
      <c r="G495" s="5"/>
      <c r="H495" s="5"/>
      <c r="I495" s="5"/>
      <c r="J495" s="5"/>
      <c r="K495" s="5"/>
      <c r="L495" s="5"/>
      <c r="M495" s="1446"/>
      <c r="N495" s="1447"/>
      <c r="O495" s="1447"/>
      <c r="P495" s="1448"/>
      <c r="Q495" s="121" t="s">
        <v>1670</v>
      </c>
      <c r="R495" s="5"/>
      <c r="S495" s="5"/>
      <c r="T495" s="5"/>
      <c r="U495" s="5"/>
      <c r="V495" s="5"/>
      <c r="W495" s="5"/>
      <c r="X495" s="5"/>
      <c r="Y495" s="5"/>
      <c r="Z495" s="5"/>
      <c r="AA495" s="5"/>
      <c r="AB495" s="5"/>
      <c r="AC495" s="5"/>
      <c r="AD495" s="5"/>
      <c r="AE495" s="5"/>
      <c r="AF495" s="5"/>
      <c r="AG495" s="5"/>
      <c r="AH495" s="1446">
        <v>382</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v>1</v>
      </c>
      <c r="AD501" s="1663"/>
      <c r="AE501" s="1663"/>
      <c r="AF501" s="1663"/>
      <c r="AG501" s="13" t="s">
        <v>402</v>
      </c>
      <c r="AH501" s="1403">
        <v>2025</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10</v>
      </c>
      <c r="AD502" s="1663"/>
      <c r="AE502" s="1663"/>
      <c r="AF502" s="1663"/>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409</v>
      </c>
      <c r="AC504" s="1662" t="s">
        <v>591</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410</v>
      </c>
      <c r="AC505" s="1662" t="s">
        <v>591</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411</v>
      </c>
      <c r="AC506" s="1662">
        <v>4</v>
      </c>
      <c r="AD506" s="1663"/>
      <c r="AE506" s="1663"/>
      <c r="AF506" s="1663"/>
      <c r="AG506" s="13" t="s">
        <v>402</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412</v>
      </c>
      <c r="AC507" s="1337">
        <v>5</v>
      </c>
      <c r="AD507" s="1338"/>
      <c r="AE507" s="1338"/>
      <c r="AF507" s="1338"/>
      <c r="AG507" s="13" t="s">
        <v>402</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3"/>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0" t="s">
        <v>545</v>
      </c>
      <c r="AD509" s="1820"/>
      <c r="AE509" s="1820"/>
      <c r="AF509" s="1820"/>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v>1</v>
      </c>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29">
        <v>0.75</v>
      </c>
      <c r="AD512" s="1830"/>
      <c r="AE512" s="1830"/>
      <c r="AF512" s="1831"/>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2"/>
      <c r="AZ513" s="3"/>
      <c r="BA513" s="3"/>
      <c r="BB513" s="3"/>
      <c r="BC513" s="3"/>
      <c r="BD513" s="3"/>
      <c r="BE513" s="3"/>
      <c r="BF513" s="3"/>
      <c r="BG513" s="3"/>
      <c r="BH513" s="3"/>
      <c r="BI513" s="3"/>
      <c r="BJ513" s="3"/>
      <c r="BK513" s="3"/>
      <c r="BL513" s="3"/>
      <c r="BM513" s="3"/>
      <c r="BN513" s="3" t="s">
        <v>2104</v>
      </c>
    </row>
    <row r="514" spans="2:66" ht="12.9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v>9</v>
      </c>
      <c r="AD514" s="1663"/>
      <c r="AE514" s="1663"/>
      <c r="AF514" s="1663"/>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2.95" customHeight="1">
      <c r="B515" s="1673"/>
      <c r="C515" s="1433"/>
      <c r="D515" s="1433"/>
      <c r="E515" s="1433"/>
      <c r="F515" s="1433"/>
      <c r="G515" s="1433"/>
      <c r="H515" s="1434"/>
      <c r="I515" t="s">
        <v>415</v>
      </c>
      <c r="AC515" s="1662">
        <v>9</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2.9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6</v>
      </c>
      <c r="AD516" s="1663"/>
      <c r="AE516" s="1663"/>
      <c r="AF516" s="1663"/>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2107</v>
      </c>
    </row>
    <row r="517" spans="2:66" ht="12.9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7">
        <v>9</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2108</v>
      </c>
    </row>
    <row r="518" spans="2:66" ht="12.95" customHeight="1">
      <c r="B518" s="1673"/>
      <c r="C518" s="1433"/>
      <c r="D518" s="1433"/>
      <c r="E518" s="1433"/>
      <c r="F518" s="1433"/>
      <c r="G518" s="1433"/>
      <c r="H518" s="1434"/>
      <c r="I518" t="s">
        <v>415</v>
      </c>
      <c r="AC518" s="1662">
        <v>9</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2109</v>
      </c>
    </row>
    <row r="519" spans="2:66" ht="12.9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3</v>
      </c>
      <c r="AD519" s="1663"/>
      <c r="AE519" s="1663"/>
      <c r="AF519" s="1663"/>
      <c r="AG519" s="38" t="s">
        <v>402</v>
      </c>
      <c r="AH519" s="1403">
        <v>2029</v>
      </c>
      <c r="AI519" s="1403"/>
      <c r="AJ519" s="1403"/>
      <c r="AK519" s="1404"/>
      <c r="BB519" s="3"/>
      <c r="BC519" s="3"/>
      <c r="BD519" s="3"/>
      <c r="BE519" s="3"/>
      <c r="BF519" s="3"/>
      <c r="BG519" s="3"/>
      <c r="BH519" s="3"/>
      <c r="BI519" s="3"/>
      <c r="BJ519" s="3"/>
      <c r="BK519" s="3"/>
      <c r="BL519" s="3"/>
      <c r="BM519" s="3"/>
      <c r="BN519" s="3" t="s">
        <v>2110</v>
      </c>
    </row>
    <row r="520" spans="2:66" ht="12.95" customHeight="1">
      <c r="B520" s="1672" t="s">
        <v>418</v>
      </c>
      <c r="C520" s="1431"/>
      <c r="D520" s="1431"/>
      <c r="E520" s="1431"/>
      <c r="F520" s="1431"/>
      <c r="G520" s="1431"/>
      <c r="H520" s="1432"/>
      <c r="I520" s="41" t="s">
        <v>419</v>
      </c>
      <c r="J520" s="42"/>
      <c r="K520" s="42"/>
      <c r="L520" s="42"/>
      <c r="M520" s="42"/>
      <c r="N520" s="42"/>
      <c r="O520" s="1749" t="s">
        <v>2693</v>
      </c>
      <c r="P520" s="1750"/>
      <c r="Q520" s="1750"/>
      <c r="R520" s="1750"/>
      <c r="S520" s="1750"/>
      <c r="T520" s="1750"/>
      <c r="U520" s="1750"/>
      <c r="V520" s="1750"/>
      <c r="W520" s="1750"/>
      <c r="X520" s="1750"/>
      <c r="Y520" s="1750"/>
      <c r="Z520" s="1750"/>
      <c r="AA520" s="1750"/>
      <c r="AB520" s="58"/>
      <c r="AC520" s="1337">
        <v>3</v>
      </c>
      <c r="AD520" s="1338"/>
      <c r="AE520" s="1338"/>
      <c r="AF520" s="1338"/>
      <c r="AG520" s="129" t="s">
        <v>402</v>
      </c>
      <c r="AH520" s="1403">
        <v>2024</v>
      </c>
      <c r="AI520" s="1403"/>
      <c r="AJ520" s="1403"/>
      <c r="AK520" s="1404"/>
      <c r="AZ520" s="3"/>
      <c r="BB520" s="3"/>
      <c r="BC520" s="3"/>
      <c r="BD520" s="3"/>
      <c r="BE520" s="3"/>
      <c r="BF520" s="3"/>
      <c r="BG520" s="3"/>
      <c r="BH520" s="3"/>
      <c r="BI520" s="3"/>
      <c r="BJ520" s="3"/>
      <c r="BK520" s="3"/>
      <c r="BL520" s="3"/>
      <c r="BM520" s="3"/>
      <c r="BN520" s="3" t="s">
        <v>2111</v>
      </c>
    </row>
    <row r="521" spans="2:66" ht="12.95" customHeight="1">
      <c r="B521" s="1673"/>
      <c r="C521" s="1433"/>
      <c r="D521" s="1433"/>
      <c r="E521" s="1433"/>
      <c r="F521" s="1433"/>
      <c r="G521" s="1433"/>
      <c r="H521" s="1434"/>
      <c r="I521" s="114" t="s">
        <v>420</v>
      </c>
      <c r="AB521" s="65"/>
      <c r="AC521" s="1662">
        <v>3</v>
      </c>
      <c r="AD521" s="1663"/>
      <c r="AE521" s="1663"/>
      <c r="AF521" s="1663"/>
      <c r="AG521" s="13" t="s">
        <v>402</v>
      </c>
      <c r="AH521" s="1403">
        <v>2024</v>
      </c>
      <c r="AI521" s="1403"/>
      <c r="AJ521" s="1403"/>
      <c r="AK521" s="1404"/>
      <c r="AZ521" s="3"/>
      <c r="BB521" s="3"/>
      <c r="BC521" s="3"/>
      <c r="BD521" s="3"/>
      <c r="BE521" s="3"/>
      <c r="BF521" s="3"/>
      <c r="BG521" s="3"/>
      <c r="BH521" s="3"/>
      <c r="BI521" s="3"/>
      <c r="BJ521" s="3"/>
      <c r="BK521" s="3"/>
      <c r="BL521" s="3"/>
      <c r="BM521" s="3"/>
      <c r="BN521" s="3" t="s">
        <v>2112</v>
      </c>
    </row>
    <row r="522" spans="2:66" ht="12.9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v>6</v>
      </c>
      <c r="AD522" s="1663"/>
      <c r="AE522" s="1663"/>
      <c r="AF522" s="1663"/>
      <c r="AG522" s="38" t="s">
        <v>402</v>
      </c>
      <c r="AH522" s="1403">
        <v>2025</v>
      </c>
      <c r="AI522" s="1403"/>
      <c r="AJ522" s="1403"/>
      <c r="AK522" s="1404"/>
      <c r="AZ522" s="3"/>
      <c r="BA522" s="3"/>
      <c r="BB522" s="3"/>
      <c r="BC522" s="3"/>
      <c r="BD522" s="3"/>
      <c r="BE522" s="3"/>
      <c r="BF522" s="3"/>
      <c r="BG522" s="3"/>
      <c r="BH522" s="3"/>
      <c r="BI522" s="3"/>
      <c r="BJ522" s="3"/>
      <c r="BK522" s="3"/>
      <c r="BL522" s="3"/>
      <c r="BM522" s="3"/>
      <c r="BN522" s="3" t="s">
        <v>2113</v>
      </c>
    </row>
    <row r="523" spans="2:66" ht="12.95" customHeight="1">
      <c r="B523" s="1673"/>
      <c r="C523" s="1433"/>
      <c r="D523" s="1433"/>
      <c r="E523" s="1433"/>
      <c r="F523" s="1433"/>
      <c r="G523" s="1433"/>
      <c r="H523" s="1434"/>
      <c r="I523" s="42" t="s">
        <v>422</v>
      </c>
      <c r="J523" s="42"/>
      <c r="K523" s="42"/>
      <c r="L523" s="42"/>
      <c r="M523" s="42"/>
      <c r="N523" s="42"/>
      <c r="O523" s="1749" t="s">
        <v>333</v>
      </c>
      <c r="P523" s="1750"/>
      <c r="Q523" s="1750"/>
      <c r="R523" s="1750"/>
      <c r="S523" s="1750"/>
      <c r="T523" s="1750"/>
      <c r="U523" s="1750"/>
      <c r="V523" s="1750"/>
      <c r="W523" s="1750"/>
      <c r="X523" s="1750"/>
      <c r="Y523" s="1750"/>
      <c r="Z523" s="1750"/>
      <c r="AA523" s="1750"/>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2.9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2115</v>
      </c>
    </row>
    <row r="525" spans="2:66" ht="12.9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2116</v>
      </c>
    </row>
    <row r="526" spans="2:66" ht="12.95" customHeight="1">
      <c r="B526" s="1673"/>
      <c r="C526" s="1433"/>
      <c r="D526" s="1433"/>
      <c r="E526" s="1433"/>
      <c r="F526" s="1433"/>
      <c r="G526" s="1433"/>
      <c r="H526" s="1434"/>
      <c r="I526" s="42" t="s">
        <v>422</v>
      </c>
      <c r="J526" s="42"/>
      <c r="K526" s="42"/>
      <c r="L526" s="42"/>
      <c r="M526" s="42"/>
      <c r="N526" s="42"/>
      <c r="O526" s="1749" t="s">
        <v>333</v>
      </c>
      <c r="P526" s="1750"/>
      <c r="Q526" s="1750"/>
      <c r="R526" s="1750"/>
      <c r="S526" s="1750"/>
      <c r="T526" s="1750"/>
      <c r="U526" s="1750"/>
      <c r="V526" s="1750"/>
      <c r="W526" s="1750"/>
      <c r="X526" s="1750"/>
      <c r="Y526" s="1750"/>
      <c r="Z526" s="1750"/>
      <c r="AA526" s="1750"/>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2.9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2.9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2.95" customHeight="1">
      <c r="B529" s="1673"/>
      <c r="C529" s="1433"/>
      <c r="D529" s="1433"/>
      <c r="E529" s="1433"/>
      <c r="F529" s="1433"/>
      <c r="G529" s="1433"/>
      <c r="H529" s="1434"/>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2.9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2.9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2.95" customHeight="1">
      <c r="B532" s="1673"/>
      <c r="C532" s="1433"/>
      <c r="D532" s="1433"/>
      <c r="E532" s="1433"/>
      <c r="F532" s="1433"/>
      <c r="G532" s="1433"/>
      <c r="H532" s="1434"/>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2.9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2.9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2.95" customHeight="1">
      <c r="B535" s="1673"/>
      <c r="C535" s="1433"/>
      <c r="D535" s="1433"/>
      <c r="E535" s="1433"/>
      <c r="F535" s="1433"/>
      <c r="G535" s="1433"/>
      <c r="H535" s="1434"/>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2.9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2.9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2.9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1</v>
      </c>
      <c r="AD538" s="1663"/>
      <c r="AE538" s="1663"/>
      <c r="AF538" s="1663"/>
      <c r="AG538" s="38" t="s">
        <v>402</v>
      </c>
      <c r="AH538" s="1403">
        <v>2027</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563</v>
      </c>
      <c r="AC539" s="1662">
        <v>6</v>
      </c>
      <c r="AD539" s="1663"/>
      <c r="AE539" s="1663"/>
      <c r="AF539" s="1663"/>
      <c r="AG539" s="13" t="s">
        <v>402</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564</v>
      </c>
      <c r="AC540" s="1662">
        <v>6</v>
      </c>
      <c r="AD540" s="1663"/>
      <c r="AE540" s="1663"/>
      <c r="AF540" s="1663"/>
      <c r="AG540" s="38" t="s">
        <v>402</v>
      </c>
      <c r="AH540" s="1403">
        <v>2028</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565</v>
      </c>
      <c r="AC541" s="1662">
        <v>6</v>
      </c>
      <c r="AD541" s="1663"/>
      <c r="AE541" s="1663"/>
      <c r="AF541" s="1663"/>
      <c r="AG541" s="38" t="s">
        <v>402</v>
      </c>
      <c r="AH541" s="1403">
        <v>2028</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12</v>
      </c>
      <c r="AD542" s="1663"/>
      <c r="AE542" s="1663"/>
      <c r="AF542" s="1663"/>
      <c r="AG542" s="38" t="s">
        <v>402</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2102</v>
      </c>
      <c r="C551" s="1431"/>
      <c r="D551" s="1431"/>
      <c r="E551" s="1431"/>
      <c r="F551" s="1431"/>
      <c r="G551" s="1431"/>
      <c r="H551" s="1431"/>
      <c r="I551" s="1431"/>
      <c r="J551" s="1431"/>
      <c r="K551" s="1431"/>
      <c r="L551" s="1432"/>
      <c r="M551" s="1672" t="s">
        <v>2103</v>
      </c>
      <c r="N551" s="1431"/>
      <c r="O551" s="1431"/>
      <c r="P551" s="1432"/>
      <c r="Q551" s="1672" t="s">
        <v>2129</v>
      </c>
      <c r="R551" s="1431"/>
      <c r="S551" s="1432"/>
      <c r="T551" s="1672" t="s">
        <v>2130</v>
      </c>
      <c r="U551" s="1431"/>
      <c r="V551" s="1432"/>
      <c r="W551" s="1672" t="s">
        <v>453</v>
      </c>
      <c r="X551" s="1431"/>
      <c r="Y551" s="1432"/>
      <c r="Z551" s="1672" t="s">
        <v>1851</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No</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2694</v>
      </c>
      <c r="D554" s="1693"/>
      <c r="E554" s="1693"/>
      <c r="F554" s="1693"/>
      <c r="G554" s="1693"/>
      <c r="H554" s="1693"/>
      <c r="I554" s="1693"/>
      <c r="J554" s="1693"/>
      <c r="K554" s="1693"/>
      <c r="L554" s="1693"/>
      <c r="M554" s="1693" t="s">
        <v>2119</v>
      </c>
      <c r="N554" s="1693"/>
      <c r="O554" s="1693"/>
      <c r="P554" s="1693"/>
      <c r="Q554" s="1453">
        <v>36</v>
      </c>
      <c r="R554" s="1453"/>
      <c r="S554" s="1454"/>
      <c r="T554" s="1452"/>
      <c r="U554" s="1453"/>
      <c r="V554" s="1454"/>
      <c r="W554" s="1455">
        <v>0.06</v>
      </c>
      <c r="X554" s="1456"/>
      <c r="Y554" s="1457"/>
      <c r="Z554" s="1694" t="s">
        <v>2742</v>
      </c>
      <c r="AA554" s="1694"/>
      <c r="AB554" s="1694"/>
      <c r="AC554" s="1694"/>
      <c r="AD554" s="1694"/>
      <c r="AE554" s="1675">
        <v>1</v>
      </c>
      <c r="AF554" s="1676"/>
      <c r="AG554" s="1676"/>
      <c r="AH554" s="1677"/>
      <c r="AI554" s="1678"/>
      <c r="AJ554" s="1679"/>
      <c r="AK554" s="1679"/>
      <c r="AL554" s="1680"/>
      <c r="AM554" s="1668">
        <v>34000000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2695</v>
      </c>
      <c r="D555" s="1681"/>
      <c r="E555" s="1681"/>
      <c r="F555" s="1681"/>
      <c r="G555" s="1681"/>
      <c r="H555" s="1681"/>
      <c r="I555" s="1681"/>
      <c r="J555" s="1681"/>
      <c r="K555" s="1681"/>
      <c r="L555" s="1681"/>
      <c r="M555" s="1693" t="s">
        <v>2120</v>
      </c>
      <c r="N555" s="1693"/>
      <c r="O555" s="1693"/>
      <c r="P555" s="1693"/>
      <c r="Q555" s="1452">
        <v>36</v>
      </c>
      <c r="R555" s="1453"/>
      <c r="S555" s="1454"/>
      <c r="T555" s="1452"/>
      <c r="U555" s="1453"/>
      <c r="V555" s="1454"/>
      <c r="W555" s="1455">
        <v>0.06</v>
      </c>
      <c r="X555" s="1456"/>
      <c r="Y555" s="1457"/>
      <c r="Z555" s="1694" t="s">
        <v>2742</v>
      </c>
      <c r="AA555" s="1694"/>
      <c r="AB555" s="1694"/>
      <c r="AC555" s="1694"/>
      <c r="AD555" s="1694"/>
      <c r="AE555" s="1675">
        <v>1</v>
      </c>
      <c r="AF555" s="1676"/>
      <c r="AG555" s="1676"/>
      <c r="AH555" s="1677"/>
      <c r="AI555" s="1678"/>
      <c r="AJ555" s="1679"/>
      <c r="AK555" s="1679"/>
      <c r="AL555" s="1680"/>
      <c r="AM555" s="1668">
        <v>15000000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2696</v>
      </c>
      <c r="D556" s="1681"/>
      <c r="E556" s="1681"/>
      <c r="F556" s="1681"/>
      <c r="G556" s="1681"/>
      <c r="H556" s="1681"/>
      <c r="I556" s="1681"/>
      <c r="J556" s="1681"/>
      <c r="K556" s="1681"/>
      <c r="L556" s="1681"/>
      <c r="M556" s="1693" t="s">
        <v>2118</v>
      </c>
      <c r="N556" s="1693"/>
      <c r="O556" s="1693"/>
      <c r="P556" s="1693"/>
      <c r="Q556" s="1452">
        <v>36</v>
      </c>
      <c r="R556" s="1453"/>
      <c r="S556" s="1454"/>
      <c r="T556" s="1452"/>
      <c r="U556" s="1453"/>
      <c r="V556" s="1454"/>
      <c r="W556" s="1455">
        <v>6.5000000000000002E-2</v>
      </c>
      <c r="X556" s="1456"/>
      <c r="Y556" s="1457"/>
      <c r="Z556" s="1694" t="s">
        <v>2742</v>
      </c>
      <c r="AA556" s="1694"/>
      <c r="AB556" s="1694"/>
      <c r="AC556" s="1694"/>
      <c r="AD556" s="1694"/>
      <c r="AE556" s="1675">
        <v>1</v>
      </c>
      <c r="AF556" s="1676"/>
      <c r="AG556" s="1676"/>
      <c r="AH556" s="1677"/>
      <c r="AI556" s="1678"/>
      <c r="AJ556" s="1679"/>
      <c r="AK556" s="1679"/>
      <c r="AL556" s="1680"/>
      <c r="AM556" s="1668">
        <v>63000000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581</v>
      </c>
      <c r="C557" s="1681" t="s">
        <v>2613</v>
      </c>
      <c r="D557" s="1681"/>
      <c r="E557" s="1681"/>
      <c r="F557" s="1681"/>
      <c r="G557" s="1681"/>
      <c r="H557" s="1681"/>
      <c r="I557" s="1681"/>
      <c r="J557" s="1681"/>
      <c r="K557" s="1681"/>
      <c r="L557" s="1681"/>
      <c r="M557" s="1693" t="s">
        <v>2115</v>
      </c>
      <c r="N557" s="1693"/>
      <c r="O557" s="1693"/>
      <c r="P557" s="1693"/>
      <c r="Q557" s="1452">
        <v>660</v>
      </c>
      <c r="R557" s="1453"/>
      <c r="S557" s="1454"/>
      <c r="T557" s="1452"/>
      <c r="U557" s="1453"/>
      <c r="V557" s="1454"/>
      <c r="W557" s="1455">
        <v>0.03</v>
      </c>
      <c r="X557" s="1456"/>
      <c r="Y557" s="1457"/>
      <c r="Z557" s="1694" t="s">
        <v>2742</v>
      </c>
      <c r="AA557" s="1694"/>
      <c r="AB557" s="1694"/>
      <c r="AC557" s="1694"/>
      <c r="AD557" s="1694"/>
      <c r="AE557" s="1675">
        <v>2</v>
      </c>
      <c r="AF557" s="1676"/>
      <c r="AG557" s="1676"/>
      <c r="AH557" s="1677"/>
      <c r="AI557" s="1678"/>
      <c r="AJ557" s="1679"/>
      <c r="AK557" s="1679"/>
      <c r="AL557" s="1680"/>
      <c r="AM557" s="1668">
        <v>6000000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763</v>
      </c>
      <c r="C558" s="1681" t="s">
        <v>2697</v>
      </c>
      <c r="D558" s="1681"/>
      <c r="E558" s="1681"/>
      <c r="F558" s="1681"/>
      <c r="G558" s="1681"/>
      <c r="H558" s="1681"/>
      <c r="I558" s="1681"/>
      <c r="J558" s="1681"/>
      <c r="K558" s="1681"/>
      <c r="L558" s="1681"/>
      <c r="M558" s="1693" t="s">
        <v>2110</v>
      </c>
      <c r="N558" s="1693"/>
      <c r="O558" s="1693"/>
      <c r="P558" s="1693"/>
      <c r="Q558" s="1452"/>
      <c r="R558" s="1453"/>
      <c r="S558" s="1454"/>
      <c r="T558" s="1452"/>
      <c r="U558" s="1453"/>
      <c r="V558" s="1454"/>
      <c r="W558" s="1455"/>
      <c r="X558" s="1456"/>
      <c r="Y558" s="1457"/>
      <c r="Z558" s="1694" t="s">
        <v>1184</v>
      </c>
      <c r="AA558" s="1694"/>
      <c r="AB558" s="1694"/>
      <c r="AC558" s="1694"/>
      <c r="AD558" s="1694"/>
      <c r="AE558" s="1675"/>
      <c r="AF558" s="1676"/>
      <c r="AG558" s="1676"/>
      <c r="AH558" s="1677"/>
      <c r="AI558" s="1678"/>
      <c r="AJ558" s="1679"/>
      <c r="AK558" s="1679"/>
      <c r="AL558" s="1680"/>
      <c r="AM558" s="1668">
        <v>11128200</v>
      </c>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No</v>
      </c>
    </row>
    <row r="559" spans="1:61" ht="12.95" customHeight="1">
      <c r="B559" s="52" t="s">
        <v>584</v>
      </c>
      <c r="C559" s="1681" t="s">
        <v>2698</v>
      </c>
      <c r="D559" s="1681"/>
      <c r="E559" s="1681"/>
      <c r="F559" s="1681"/>
      <c r="G559" s="1681"/>
      <c r="H559" s="1681"/>
      <c r="I559" s="1681"/>
      <c r="J559" s="1681"/>
      <c r="K559" s="1681"/>
      <c r="L559" s="1681"/>
      <c r="M559" s="1693" t="s">
        <v>2105</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v>1064804</v>
      </c>
      <c r="AN559" s="1669"/>
      <c r="AO559" s="1669"/>
      <c r="AP559" s="1669"/>
      <c r="AQ559" s="1669"/>
      <c r="AR559" s="1669"/>
      <c r="AS559" s="1670"/>
      <c r="AT559" s="1148" t="str">
        <f t="shared" si="0"/>
        <v/>
      </c>
      <c r="AU559" s="1147"/>
      <c r="BB559" s="3"/>
      <c r="BC559" s="3"/>
      <c r="BD559" s="3"/>
      <c r="BE559" s="3"/>
      <c r="BF559" s="3"/>
      <c r="BG559" s="3"/>
      <c r="BH559" s="3" t="s">
        <v>584</v>
      </c>
      <c r="BI559" s="3" t="str">
        <f>AG665</f>
        <v>No</v>
      </c>
    </row>
    <row r="560" spans="1:61" ht="12.95" customHeight="1">
      <c r="B560" s="52" t="s">
        <v>455</v>
      </c>
      <c r="C560" s="1681" t="s">
        <v>2320</v>
      </c>
      <c r="D560" s="1681"/>
      <c r="E560" s="1681"/>
      <c r="F560" s="1681"/>
      <c r="G560" s="1681"/>
      <c r="H560" s="1681"/>
      <c r="I560" s="1681"/>
      <c r="J560" s="1681"/>
      <c r="K560" s="1681"/>
      <c r="L560" s="1681"/>
      <c r="M560" s="1693" t="s">
        <v>2106</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v>13714698</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361</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362</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143907702</v>
      </c>
      <c r="AN566" s="1616"/>
      <c r="AO566" s="1616"/>
      <c r="AP566" s="1616"/>
      <c r="AQ566" s="1616"/>
      <c r="AR566" s="1616"/>
      <c r="AS566" s="1617"/>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9" t="str">
        <f>C554</f>
        <v>Citi - Tax Exempt</v>
      </c>
      <c r="H568" s="1359"/>
      <c r="I568" s="1359"/>
      <c r="J568" s="1359"/>
      <c r="K568" s="1359"/>
      <c r="L568" s="1359"/>
      <c r="M568" s="1359"/>
      <c r="N568" s="1359"/>
      <c r="O568" s="1359"/>
      <c r="P568" s="1359"/>
      <c r="Q568" s="1359"/>
      <c r="R568" s="1359"/>
      <c r="S568" s="8"/>
      <c r="T568" s="55" t="s">
        <v>113</v>
      </c>
      <c r="U568" t="s">
        <v>463</v>
      </c>
      <c r="Z568" s="1359" t="str">
        <f>C555</f>
        <v>Citi - Recycled Tax Exempt</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2699</v>
      </c>
      <c r="H569" s="1372"/>
      <c r="I569" s="1372"/>
      <c r="J569" s="1372"/>
      <c r="K569" s="1372"/>
      <c r="L569" s="1372"/>
      <c r="M569" s="1372"/>
      <c r="N569" s="1372"/>
      <c r="O569" s="1372"/>
      <c r="P569" s="1372"/>
      <c r="Q569" s="1372"/>
      <c r="R569" s="1372"/>
      <c r="S569" s="8"/>
      <c r="T569" s="22"/>
      <c r="U569" t="s">
        <v>85</v>
      </c>
      <c r="Z569" s="1372" t="s">
        <v>2699</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2700</v>
      </c>
      <c r="H570" s="1372"/>
      <c r="I570" s="1372"/>
      <c r="J570" s="1372"/>
      <c r="K570" s="1372"/>
      <c r="L570" s="1372"/>
      <c r="M570" s="1372"/>
      <c r="N570" s="1372"/>
      <c r="O570" s="1372"/>
      <c r="P570" s="1372"/>
      <c r="Q570" s="1372"/>
      <c r="R570" s="1372"/>
      <c r="T570" s="22"/>
      <c r="U570" t="s">
        <v>580</v>
      </c>
      <c r="Z570" s="1349" t="s">
        <v>2700</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2701</v>
      </c>
      <c r="H571" s="1372"/>
      <c r="I571" s="1372"/>
      <c r="J571" s="1372"/>
      <c r="K571" s="1372"/>
      <c r="L571" s="1372"/>
      <c r="M571" s="1372"/>
      <c r="N571" s="1372"/>
      <c r="O571" s="1372"/>
      <c r="P571" s="1372"/>
      <c r="Q571" s="1372"/>
      <c r="R571" s="1372"/>
      <c r="S571" s="8"/>
      <c r="T571" s="22"/>
      <c r="U571" t="s">
        <v>17</v>
      </c>
      <c r="Z571" s="1349" t="s">
        <v>2701</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315</v>
      </c>
      <c r="G572" s="1346" t="s">
        <v>2702</v>
      </c>
      <c r="H572" s="1347"/>
      <c r="I572" s="1347"/>
      <c r="J572" s="1347"/>
      <c r="K572" s="1347"/>
      <c r="L572" s="1347"/>
      <c r="O572" s="33" t="s">
        <v>205</v>
      </c>
      <c r="P572" s="1437"/>
      <c r="Q572" s="1437"/>
      <c r="R572" s="1437"/>
      <c r="S572" s="10"/>
      <c r="T572" s="22"/>
      <c r="U572" t="s">
        <v>315</v>
      </c>
      <c r="Z572" s="1346" t="s">
        <v>2702</v>
      </c>
      <c r="AA572" s="1347"/>
      <c r="AB572" s="1347"/>
      <c r="AC572" s="1347"/>
      <c r="AD572" s="1347"/>
      <c r="AE572" s="1347"/>
      <c r="AH572" s="33" t="s">
        <v>205</v>
      </c>
      <c r="AI572" s="1437"/>
      <c r="AJ572" s="1437"/>
      <c r="AK572" s="1437"/>
      <c r="BB572" s="3"/>
      <c r="BC572" s="3"/>
      <c r="BD572" s="3"/>
      <c r="BE572" s="3"/>
      <c r="BF572" s="3"/>
      <c r="BG572" s="3"/>
      <c r="BH572" s="3"/>
      <c r="BI572" s="3"/>
    </row>
    <row r="573" spans="1:61" ht="12.95" customHeight="1">
      <c r="A573" s="22"/>
      <c r="B573" t="s">
        <v>18</v>
      </c>
      <c r="H573" s="1372" t="s">
        <v>2703</v>
      </c>
      <c r="I573" s="1372"/>
      <c r="J573" s="1372"/>
      <c r="K573" s="1372"/>
      <c r="L573" s="1372"/>
      <c r="M573" s="1372"/>
      <c r="N573" s="1372"/>
      <c r="O573" s="1372"/>
      <c r="P573" s="1372"/>
      <c r="Q573" s="1372"/>
      <c r="R573" s="1372"/>
      <c r="S573" s="8"/>
      <c r="T573" s="22"/>
      <c r="U573" t="s">
        <v>18</v>
      </c>
      <c r="AA573" s="1372" t="s">
        <v>2703</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696" t="s">
        <v>2704</v>
      </c>
      <c r="N574" s="1696"/>
      <c r="O574" s="1696"/>
      <c r="P574" s="1696"/>
      <c r="Q574" s="1696"/>
      <c r="R574" s="1696"/>
      <c r="S574" s="8"/>
      <c r="T574" s="22"/>
      <c r="U574" s="320" t="s">
        <v>1185</v>
      </c>
      <c r="AA574" s="8"/>
      <c r="AB574" s="8"/>
      <c r="AC574" s="8"/>
      <c r="AD574" s="8"/>
      <c r="AE574" s="8"/>
      <c r="AF574" s="1696" t="s">
        <v>2704</v>
      </c>
      <c r="AG574" s="1696"/>
      <c r="AH574" s="1696"/>
      <c r="AI574" s="1696"/>
      <c r="AJ574" s="1696"/>
      <c r="AK574" s="1696"/>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9" t="str">
        <f>C556</f>
        <v>Citi - Taxable</v>
      </c>
      <c r="H577" s="1359"/>
      <c r="I577" s="1359"/>
      <c r="J577" s="1359"/>
      <c r="K577" s="1359"/>
      <c r="L577" s="1359"/>
      <c r="M577" s="1359"/>
      <c r="N577" s="1359"/>
      <c r="O577" s="1359"/>
      <c r="P577" s="1359"/>
      <c r="Q577" s="1359"/>
      <c r="R577" s="1359"/>
      <c r="T577" s="55" t="s">
        <v>581</v>
      </c>
      <c r="U577" t="s">
        <v>463</v>
      </c>
      <c r="Z577" s="1359" t="str">
        <f>C557</f>
        <v xml:space="preserve">City of Oceanside </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2699</v>
      </c>
      <c r="H578" s="1372"/>
      <c r="I578" s="1372"/>
      <c r="J578" s="1372"/>
      <c r="K578" s="1372"/>
      <c r="L578" s="1372"/>
      <c r="M578" s="1372"/>
      <c r="N578" s="1372"/>
      <c r="O578" s="1372"/>
      <c r="P578" s="1372"/>
      <c r="Q578" s="1372"/>
      <c r="R578" s="1372"/>
      <c r="T578" s="22"/>
      <c r="U578" t="s">
        <v>85</v>
      </c>
      <c r="Z578" s="1372" t="s">
        <v>2705</v>
      </c>
      <c r="AA578" s="1372"/>
      <c r="AB578" s="1372"/>
      <c r="AC578" s="1372"/>
      <c r="AD578" s="1372"/>
      <c r="AE578" s="1372"/>
      <c r="AF578" s="1372"/>
      <c r="AG578" s="1372"/>
      <c r="AH578" s="1372"/>
      <c r="AI578" s="1372"/>
      <c r="AJ578" s="1372"/>
      <c r="AK578" s="1372"/>
      <c r="BB578" s="3"/>
      <c r="BC578" s="3"/>
    </row>
    <row r="579" spans="1:55" ht="12.95" customHeight="1">
      <c r="A579" s="22"/>
      <c r="B579" t="s">
        <v>580</v>
      </c>
      <c r="G579" s="1349" t="s">
        <v>2700</v>
      </c>
      <c r="H579" s="1349"/>
      <c r="I579" s="1349"/>
      <c r="J579" s="1349"/>
      <c r="K579" s="1349"/>
      <c r="L579" s="1349"/>
      <c r="M579" s="1349"/>
      <c r="N579" s="1349"/>
      <c r="O579" s="1349"/>
      <c r="P579" s="1349"/>
      <c r="Q579" s="1349"/>
      <c r="R579" s="1349"/>
      <c r="T579" s="22"/>
      <c r="U579" t="s">
        <v>580</v>
      </c>
      <c r="Z579" s="1349" t="s">
        <v>2706</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2701</v>
      </c>
      <c r="H580" s="1349"/>
      <c r="I580" s="1349"/>
      <c r="J580" s="1349"/>
      <c r="K580" s="1349"/>
      <c r="L580" s="1349"/>
      <c r="M580" s="1349"/>
      <c r="N580" s="1349"/>
      <c r="O580" s="1349"/>
      <c r="P580" s="1349"/>
      <c r="Q580" s="1349"/>
      <c r="R580" s="1349"/>
      <c r="T580" s="22"/>
      <c r="U580" t="s">
        <v>17</v>
      </c>
      <c r="Z580" s="1349" t="s">
        <v>2707</v>
      </c>
      <c r="AA580" s="1349"/>
      <c r="AB580" s="1349"/>
      <c r="AC580" s="1349"/>
      <c r="AD580" s="1349"/>
      <c r="AE580" s="1349"/>
      <c r="AF580" s="1349"/>
      <c r="AG580" s="1349"/>
      <c r="AH580" s="1349"/>
      <c r="AI580" s="1349"/>
      <c r="AJ580" s="1349"/>
      <c r="AK580" s="1349"/>
      <c r="BB580" s="3"/>
      <c r="BC580" s="3"/>
    </row>
    <row r="581" spans="1:55" ht="12.95" customHeight="1">
      <c r="A581" s="22"/>
      <c r="B581" t="s">
        <v>315</v>
      </c>
      <c r="G581" s="1346" t="s">
        <v>2702</v>
      </c>
      <c r="H581" s="1347"/>
      <c r="I581" s="1347"/>
      <c r="J581" s="1347"/>
      <c r="K581" s="1347"/>
      <c r="L581" s="1347"/>
      <c r="O581" s="33" t="s">
        <v>205</v>
      </c>
      <c r="P581" s="1437"/>
      <c r="Q581" s="1437"/>
      <c r="R581" s="1437"/>
      <c r="T581" s="22"/>
      <c r="U581" t="s">
        <v>315</v>
      </c>
      <c r="Z581" s="1346" t="s">
        <v>2708</v>
      </c>
      <c r="AA581" s="1347"/>
      <c r="AB581" s="1347"/>
      <c r="AC581" s="1347"/>
      <c r="AD581" s="1347"/>
      <c r="AE581" s="1347"/>
      <c r="AH581" s="33" t="s">
        <v>205</v>
      </c>
      <c r="AI581" s="1437"/>
      <c r="AJ581" s="1437"/>
      <c r="AK581" s="1437"/>
      <c r="BB581" s="3"/>
      <c r="BC581" s="3"/>
    </row>
    <row r="582" spans="1:55" ht="12.95" customHeight="1">
      <c r="A582" s="22"/>
      <c r="B582" t="s">
        <v>18</v>
      </c>
      <c r="H582" s="1372" t="s">
        <v>2710</v>
      </c>
      <c r="I582" s="1372"/>
      <c r="J582" s="1372"/>
      <c r="K582" s="1372"/>
      <c r="L582" s="1372"/>
      <c r="M582" s="1372"/>
      <c r="N582" s="1372"/>
      <c r="O582" s="1372"/>
      <c r="P582" s="1372"/>
      <c r="Q582" s="1372"/>
      <c r="R582" s="1372"/>
      <c r="T582" s="22"/>
      <c r="U582" t="s">
        <v>18</v>
      </c>
      <c r="AA582" s="1372" t="s">
        <v>2709</v>
      </c>
      <c r="AB582" s="1372"/>
      <c r="AC582" s="1372"/>
      <c r="AD582" s="1372"/>
      <c r="AE582" s="1372"/>
      <c r="AF582" s="1372"/>
      <c r="AG582" s="1372"/>
      <c r="AH582" s="1372"/>
      <c r="AI582" s="1372"/>
      <c r="AJ582" s="1372"/>
      <c r="AK582" s="1372"/>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9" t="str">
        <f>C558</f>
        <v xml:space="preserve">Federal Tax Credit Equity </v>
      </c>
      <c r="H585" s="1359"/>
      <c r="I585" s="1359"/>
      <c r="J585" s="1359"/>
      <c r="K585" s="1359"/>
      <c r="L585" s="1359"/>
      <c r="M585" s="1359"/>
      <c r="N585" s="1359"/>
      <c r="O585" s="1359"/>
      <c r="P585" s="1359"/>
      <c r="Q585" s="1359"/>
      <c r="R585" s="1359"/>
      <c r="T585" s="55" t="s">
        <v>584</v>
      </c>
      <c r="U585" t="s">
        <v>463</v>
      </c>
      <c r="Z585" s="1359" t="str">
        <f>C559</f>
        <v xml:space="preserve">Deferred Costs </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2711</v>
      </c>
      <c r="H586" s="1372"/>
      <c r="I586" s="1372"/>
      <c r="J586" s="1372"/>
      <c r="K586" s="1372"/>
      <c r="L586" s="1372"/>
      <c r="M586" s="1372"/>
      <c r="N586" s="1372"/>
      <c r="O586" s="1372"/>
      <c r="P586" s="1372"/>
      <c r="Q586" s="1372"/>
      <c r="R586" s="1372"/>
      <c r="T586" s="22"/>
      <c r="U586" t="s">
        <v>85</v>
      </c>
      <c r="Z586" s="1372" t="s">
        <v>2621</v>
      </c>
      <c r="AA586" s="1372"/>
      <c r="AB586" s="1372"/>
      <c r="AC586" s="1372"/>
      <c r="AD586" s="1372"/>
      <c r="AE586" s="1372"/>
      <c r="AF586" s="1372"/>
      <c r="AG586" s="1372"/>
      <c r="AH586" s="1372"/>
      <c r="AI586" s="1372"/>
      <c r="AJ586" s="1372"/>
      <c r="AK586" s="1372"/>
      <c r="BB586" s="3"/>
      <c r="BC586" s="3"/>
    </row>
    <row r="587" spans="1:55" ht="12.95" customHeight="1">
      <c r="A587" s="22"/>
      <c r="B587" t="s">
        <v>580</v>
      </c>
      <c r="G587" s="1372" t="s">
        <v>2666</v>
      </c>
      <c r="H587" s="1372"/>
      <c r="I587" s="1372"/>
      <c r="J587" s="1372"/>
      <c r="K587" s="1372"/>
      <c r="L587" s="1372"/>
      <c r="M587" s="1372"/>
      <c r="N587" s="1372"/>
      <c r="O587" s="1372"/>
      <c r="P587" s="1372"/>
      <c r="Q587" s="1372"/>
      <c r="R587" s="1372"/>
      <c r="T587" s="22"/>
      <c r="U587" t="s">
        <v>580</v>
      </c>
      <c r="Z587" s="1349" t="s">
        <v>2646</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2712</v>
      </c>
      <c r="H588" s="1372"/>
      <c r="I588" s="1372"/>
      <c r="J588" s="1372"/>
      <c r="K588" s="1372"/>
      <c r="L588" s="1372"/>
      <c r="M588" s="1372"/>
      <c r="N588" s="1372"/>
      <c r="O588" s="1372"/>
      <c r="P588" s="1372"/>
      <c r="Q588" s="1372"/>
      <c r="R588" s="1372"/>
      <c r="T588" s="22"/>
      <c r="U588" t="s">
        <v>17</v>
      </c>
      <c r="Z588" s="1349" t="s">
        <v>2624</v>
      </c>
      <c r="AA588" s="1349"/>
      <c r="AB588" s="1349"/>
      <c r="AC588" s="1349"/>
      <c r="AD588" s="1349"/>
      <c r="AE588" s="1349"/>
      <c r="AF588" s="1349"/>
      <c r="AG588" s="1349"/>
      <c r="AH588" s="1349"/>
      <c r="AI588" s="1349"/>
      <c r="AJ588" s="1349"/>
      <c r="AK588" s="1349"/>
    </row>
    <row r="589" spans="1:55" ht="12.95" customHeight="1">
      <c r="A589" s="22"/>
      <c r="B589" t="s">
        <v>315</v>
      </c>
      <c r="G589" s="1346" t="s">
        <v>2713</v>
      </c>
      <c r="H589" s="1347"/>
      <c r="I589" s="1347"/>
      <c r="J589" s="1347"/>
      <c r="K589" s="1347"/>
      <c r="L589" s="1347"/>
      <c r="O589" s="33" t="s">
        <v>205</v>
      </c>
      <c r="P589" s="1437"/>
      <c r="Q589" s="1437"/>
      <c r="R589" s="1437"/>
      <c r="T589" s="22"/>
      <c r="U589" t="s">
        <v>315</v>
      </c>
      <c r="Z589" s="1346" t="s">
        <v>2625</v>
      </c>
      <c r="AA589" s="1347"/>
      <c r="AB589" s="1347"/>
      <c r="AC589" s="1347"/>
      <c r="AD589" s="1347"/>
      <c r="AE589" s="1347"/>
      <c r="AH589" s="33" t="s">
        <v>205</v>
      </c>
      <c r="AI589" s="1437"/>
      <c r="AJ589" s="1437"/>
      <c r="AK589" s="1437"/>
      <c r="AZ589" s="3"/>
      <c r="BA589" s="3"/>
      <c r="BB589" s="3"/>
      <c r="BC589" s="3"/>
    </row>
    <row r="590" spans="1:55" ht="12.95" customHeight="1">
      <c r="A590" s="22"/>
      <c r="B590" t="s">
        <v>18</v>
      </c>
      <c r="H590" s="1372" t="s">
        <v>2714</v>
      </c>
      <c r="I590" s="1372"/>
      <c r="J590" s="1372"/>
      <c r="K590" s="1372"/>
      <c r="L590" s="1372"/>
      <c r="M590" s="1372"/>
      <c r="N590" s="1372"/>
      <c r="O590" s="1372"/>
      <c r="P590" s="1372"/>
      <c r="Q590" s="1372"/>
      <c r="R590" s="1372"/>
      <c r="T590" s="22"/>
      <c r="U590" t="s">
        <v>18</v>
      </c>
      <c r="AA590" s="1372" t="s">
        <v>2715</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9" t="str">
        <f>C560</f>
        <v>Deferred Developer Fee</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2621</v>
      </c>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t="s">
        <v>2646</v>
      </c>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2624</v>
      </c>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6" t="s">
        <v>2625</v>
      </c>
      <c r="H597" s="1347"/>
      <c r="I597" s="1347"/>
      <c r="J597" s="1347"/>
      <c r="K597" s="1347"/>
      <c r="L597" s="1347"/>
      <c r="M597"/>
      <c r="N597"/>
      <c r="O597" s="33" t="s">
        <v>205</v>
      </c>
      <c r="P597" s="1437"/>
      <c r="Q597" s="1437"/>
      <c r="R597" s="1437"/>
      <c r="S597"/>
      <c r="T597" s="22"/>
      <c r="U597" t="s">
        <v>315</v>
      </c>
      <c r="V597"/>
      <c r="W597"/>
      <c r="X597"/>
      <c r="Y597"/>
      <c r="Z597" s="1347"/>
      <c r="AA597" s="1347"/>
      <c r="AB597" s="1347"/>
      <c r="AC597" s="1347"/>
      <c r="AD597" s="1347"/>
      <c r="AE597" s="1347"/>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2698</v>
      </c>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545</v>
      </c>
      <c r="O599" s="1332"/>
      <c r="T599" s="22"/>
      <c r="U599" t="s">
        <v>20</v>
      </c>
      <c r="AG599" s="1332" t="s">
        <v>669</v>
      </c>
      <c r="AH599" s="1332"/>
      <c r="BB599" s="3"/>
      <c r="BC599" s="3"/>
    </row>
    <row r="600" spans="1:55" ht="12.95" customHeight="1">
      <c r="A600" s="22"/>
      <c r="T600" s="22"/>
      <c r="BB600" s="3"/>
      <c r="BC600" s="3"/>
    </row>
    <row r="601" spans="1:55" ht="12.9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315</v>
      </c>
      <c r="C605"/>
      <c r="D605"/>
      <c r="E605"/>
      <c r="F605"/>
      <c r="G605" s="1347"/>
      <c r="H605" s="1347"/>
      <c r="I605" s="1347"/>
      <c r="J605" s="1347"/>
      <c r="K605" s="1347"/>
      <c r="L605" s="1347"/>
      <c r="M605"/>
      <c r="N605"/>
      <c r="O605" s="33" t="s">
        <v>205</v>
      </c>
      <c r="P605" s="1437"/>
      <c r="Q605" s="1437"/>
      <c r="R605" s="1437"/>
      <c r="S605"/>
      <c r="T605" s="22"/>
      <c r="U605" t="s">
        <v>315</v>
      </c>
      <c r="V605"/>
      <c r="W605"/>
      <c r="X605"/>
      <c r="Y605"/>
      <c r="Z605" s="1347"/>
      <c r="AA605" s="1347"/>
      <c r="AB605" s="1347"/>
      <c r="AC605" s="1347"/>
      <c r="AD605" s="1347"/>
      <c r="AE605" s="1347"/>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315</v>
      </c>
      <c r="G613" s="1347"/>
      <c r="H613" s="1347"/>
      <c r="I613" s="1347"/>
      <c r="J613" s="1347"/>
      <c r="K613" s="1347"/>
      <c r="L613" s="1347"/>
      <c r="O613" s="33" t="s">
        <v>205</v>
      </c>
      <c r="P613" s="1437"/>
      <c r="Q613" s="1437"/>
      <c r="R613" s="1437"/>
      <c r="U613" t="s">
        <v>315</v>
      </c>
      <c r="Z613" s="1347"/>
      <c r="AA613" s="1347"/>
      <c r="AB613" s="1347"/>
      <c r="AC613" s="1347"/>
      <c r="AD613" s="1347"/>
      <c r="AE613" s="1347"/>
      <c r="AH613" s="33" t="s">
        <v>205</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700" t="s">
        <v>2102</v>
      </c>
      <c r="C624" s="1700"/>
      <c r="D624" s="1700"/>
      <c r="E624" s="1700"/>
      <c r="F624" s="1700"/>
      <c r="G624" s="1700"/>
      <c r="H624" s="1700"/>
      <c r="I624" s="1700"/>
      <c r="J624" s="1700"/>
      <c r="K624" s="1700"/>
      <c r="L624" s="1700"/>
      <c r="M624" s="1442" t="s">
        <v>2103</v>
      </c>
      <c r="N624" s="1442"/>
      <c r="O624" s="1442"/>
      <c r="P624" s="1442"/>
      <c r="Q624" s="1442" t="s">
        <v>1852</v>
      </c>
      <c r="R624" s="1442"/>
      <c r="S624" s="1442"/>
      <c r="T624" s="1442" t="s">
        <v>1850</v>
      </c>
      <c r="U624" s="1442"/>
      <c r="V624" s="1442"/>
      <c r="W624" s="1701" t="s">
        <v>453</v>
      </c>
      <c r="X624" s="1701"/>
      <c r="Y624" s="1701"/>
      <c r="Z624" s="1431" t="s">
        <v>2132</v>
      </c>
      <c r="AA624" s="1431"/>
      <c r="AB624" s="1432"/>
      <c r="AC624" s="1682" t="s">
        <v>1676</v>
      </c>
      <c r="AD624" s="1683"/>
      <c r="AE624" s="1684"/>
      <c r="AF624" s="1672" t="s">
        <v>1930</v>
      </c>
      <c r="AG624" s="1431"/>
      <c r="AH624" s="1431"/>
      <c r="AI624" s="1431"/>
      <c r="AJ624" s="1432"/>
      <c r="AK624" s="1733" t="s">
        <v>1931</v>
      </c>
      <c r="AL624" s="1734"/>
      <c r="AM624" s="1734"/>
      <c r="AN624" s="1735"/>
      <c r="AO624" s="1442" t="s">
        <v>454</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692" t="s">
        <v>2718</v>
      </c>
      <c r="D627" s="1692"/>
      <c r="E627" s="1692"/>
      <c r="F627" s="1692"/>
      <c r="G627" s="1692"/>
      <c r="H627" s="1692"/>
      <c r="I627" s="1692"/>
      <c r="J627" s="1692"/>
      <c r="K627" s="1692"/>
      <c r="L627" s="1692"/>
      <c r="M627" s="1618" t="s">
        <v>2113</v>
      </c>
      <c r="N627" s="1618"/>
      <c r="O627" s="1618"/>
      <c r="P627" s="1618"/>
      <c r="Q627" s="1426">
        <f>15*12</f>
        <v>180</v>
      </c>
      <c r="R627" s="1426"/>
      <c r="S627" s="1427"/>
      <c r="T627" s="1425">
        <f>40*12</f>
        <v>480</v>
      </c>
      <c r="U627" s="1426"/>
      <c r="V627" s="1427"/>
      <c r="W627" s="1438">
        <v>5.8500000000000003E-2</v>
      </c>
      <c r="X627" s="1439"/>
      <c r="Y627" s="1440"/>
      <c r="Z627" s="1478" t="s">
        <v>2131</v>
      </c>
      <c r="AA627" s="1479"/>
      <c r="AB627" s="1480"/>
      <c r="AC627" s="1446">
        <v>1</v>
      </c>
      <c r="AD627" s="1447"/>
      <c r="AE627" s="1448"/>
      <c r="AF627" s="1475">
        <f>-PMT(W627,40,AO627)</f>
        <v>4676970.8858787296</v>
      </c>
      <c r="AG627" s="1476"/>
      <c r="AH627" s="1476"/>
      <c r="AI627" s="1476"/>
      <c r="AJ627" s="1477"/>
      <c r="AK627" s="1428"/>
      <c r="AL627" s="1429"/>
      <c r="AM627" s="1429"/>
      <c r="AN627" s="1430"/>
      <c r="AO627" s="1481">
        <v>71722493</v>
      </c>
      <c r="AP627" s="1481"/>
      <c r="AQ627" s="1481"/>
      <c r="AR627" s="1481"/>
      <c r="AS627" s="1481"/>
      <c r="AT627" s="3"/>
      <c r="AU627" s="3"/>
      <c r="AZ627" s="3"/>
      <c r="BA627" s="3"/>
      <c r="BB627" s="3"/>
      <c r="BC627" s="3"/>
      <c r="BD627" s="3"/>
    </row>
    <row r="628" spans="2:157" ht="12.95" customHeight="1">
      <c r="B628" s="52" t="s">
        <v>113</v>
      </c>
      <c r="C628" s="1692" t="s">
        <v>2613</v>
      </c>
      <c r="D628" s="1692"/>
      <c r="E628" s="1692"/>
      <c r="F628" s="1692"/>
      <c r="G628" s="1692"/>
      <c r="H628" s="1692"/>
      <c r="I628" s="1692"/>
      <c r="J628" s="1692"/>
      <c r="K628" s="1692"/>
      <c r="L628" s="1692"/>
      <c r="M628" s="1618" t="s">
        <v>2115</v>
      </c>
      <c r="N628" s="1618"/>
      <c r="O628" s="1618"/>
      <c r="P628" s="1618"/>
      <c r="Q628" s="1425">
        <f>55*12</f>
        <v>660</v>
      </c>
      <c r="R628" s="1426"/>
      <c r="S628" s="1427"/>
      <c r="T628" s="1425"/>
      <c r="U628" s="1426"/>
      <c r="V628" s="1427"/>
      <c r="W628" s="1438">
        <v>0.03</v>
      </c>
      <c r="X628" s="1439"/>
      <c r="Y628" s="1440"/>
      <c r="Z628" s="1478" t="s">
        <v>457</v>
      </c>
      <c r="AA628" s="1479"/>
      <c r="AB628" s="1480"/>
      <c r="AC628" s="1446">
        <v>2</v>
      </c>
      <c r="AD628" s="1447"/>
      <c r="AE628" s="1448"/>
      <c r="AF628" s="1475"/>
      <c r="AG628" s="1476"/>
      <c r="AH628" s="1476"/>
      <c r="AI628" s="1476"/>
      <c r="AJ628" s="1477"/>
      <c r="AK628" s="1428"/>
      <c r="AL628" s="1429"/>
      <c r="AM628" s="1429"/>
      <c r="AN628" s="1430"/>
      <c r="AO628" s="1466">
        <v>6000000</v>
      </c>
      <c r="AP628" s="1467"/>
      <c r="AQ628" s="1467"/>
      <c r="AR628" s="1467"/>
      <c r="AS628" s="1468"/>
      <c r="AT628" s="1148" t="str">
        <f>IF(AND(NOT(C627=""),C628="",NOT(C629="")),"!","")</f>
        <v/>
      </c>
      <c r="AU628" s="3"/>
      <c r="AZ628" s="3"/>
      <c r="BA628" s="3"/>
      <c r="BB628" s="3"/>
      <c r="BC628" s="3"/>
      <c r="BD628" s="3"/>
    </row>
    <row r="629" spans="2:157" ht="12.95" customHeight="1">
      <c r="B629" s="52" t="s">
        <v>119</v>
      </c>
      <c r="C629" s="1692" t="s">
        <v>2716</v>
      </c>
      <c r="D629" s="1692"/>
      <c r="E629" s="1692"/>
      <c r="F629" s="1692"/>
      <c r="G629" s="1692"/>
      <c r="H629" s="1692"/>
      <c r="I629" s="1692"/>
      <c r="J629" s="1692"/>
      <c r="K629" s="1692"/>
      <c r="L629" s="1692"/>
      <c r="M629" s="1618" t="s">
        <v>2106</v>
      </c>
      <c r="N629" s="1618"/>
      <c r="O629" s="1618"/>
      <c r="P629" s="1618"/>
      <c r="Q629" s="1425"/>
      <c r="R629" s="1426"/>
      <c r="S629" s="1427"/>
      <c r="T629" s="1425"/>
      <c r="U629" s="1426"/>
      <c r="V629" s="1427"/>
      <c r="W629" s="1438"/>
      <c r="X629" s="1439"/>
      <c r="Y629" s="1440"/>
      <c r="Z629" s="1478" t="s">
        <v>299</v>
      </c>
      <c r="AA629" s="1479"/>
      <c r="AB629" s="1480"/>
      <c r="AC629" s="1446"/>
      <c r="AD629" s="1447"/>
      <c r="AE629" s="1448"/>
      <c r="AF629" s="1475"/>
      <c r="AG629" s="1476"/>
      <c r="AH629" s="1476"/>
      <c r="AI629" s="1476"/>
      <c r="AJ629" s="1477"/>
      <c r="AK629" s="1428"/>
      <c r="AL629" s="1429"/>
      <c r="AM629" s="1429"/>
      <c r="AN629" s="1430"/>
      <c r="AO629" s="1466">
        <v>10714698</v>
      </c>
      <c r="AP629" s="1467"/>
      <c r="AQ629" s="1467"/>
      <c r="AR629" s="1467"/>
      <c r="AS629" s="1468"/>
      <c r="AT629" s="1148" t="str">
        <f t="shared" ref="AT629:AT638" si="1">IF(AND(NOT(C628=""),C629="",NOT(C630="")),"!","")</f>
        <v/>
      </c>
      <c r="AU629" s="3"/>
      <c r="AZ629" s="3"/>
      <c r="BA629" s="3"/>
      <c r="BB629" s="3"/>
      <c r="BC629" s="3"/>
      <c r="BD629" s="3"/>
    </row>
    <row r="630" spans="2:157" ht="12.95" customHeight="1">
      <c r="B630" s="52" t="s">
        <v>581</v>
      </c>
      <c r="C630" s="1348"/>
      <c r="D630" s="1348"/>
      <c r="E630" s="1348"/>
      <c r="F630" s="1348"/>
      <c r="G630" s="1348"/>
      <c r="H630" s="1348"/>
      <c r="I630" s="1348"/>
      <c r="J630" s="1348"/>
      <c r="K630" s="1348"/>
      <c r="L630" s="1348"/>
      <c r="M630" s="1618" t="s">
        <v>1184</v>
      </c>
      <c r="N630" s="1618"/>
      <c r="O630" s="1618"/>
      <c r="P630" s="1618"/>
      <c r="Q630" s="1425"/>
      <c r="R630" s="1426"/>
      <c r="S630" s="1427"/>
      <c r="T630" s="1425"/>
      <c r="U630" s="1426"/>
      <c r="V630" s="1427"/>
      <c r="W630" s="1438"/>
      <c r="X630" s="1439"/>
      <c r="Y630" s="1440"/>
      <c r="Z630" s="1478" t="s">
        <v>1184</v>
      </c>
      <c r="AA630" s="1479"/>
      <c r="AB630" s="1480"/>
      <c r="AC630" s="1446"/>
      <c r="AD630" s="1447"/>
      <c r="AE630" s="1448"/>
      <c r="AF630" s="1475"/>
      <c r="AG630" s="1476"/>
      <c r="AH630" s="1476"/>
      <c r="AI630" s="1476"/>
      <c r="AJ630" s="1477"/>
      <c r="AK630" s="1428"/>
      <c r="AL630" s="1429"/>
      <c r="AM630" s="1429"/>
      <c r="AN630" s="1430"/>
      <c r="AO630" s="1466"/>
      <c r="AP630" s="1467"/>
      <c r="AQ630" s="1467"/>
      <c r="AR630" s="1467"/>
      <c r="AS630" s="1468"/>
      <c r="AT630" s="1148" t="str">
        <f t="shared" si="1"/>
        <v/>
      </c>
      <c r="AU630" s="3"/>
      <c r="AZ630" s="3"/>
      <c r="BA630" s="3"/>
      <c r="BB630" s="3"/>
      <c r="BC630" s="3"/>
      <c r="BD630" s="3"/>
    </row>
    <row r="631" spans="2:157" ht="12.95" customHeight="1">
      <c r="B631" s="52" t="s">
        <v>763</v>
      </c>
      <c r="C631" s="1348"/>
      <c r="D631" s="1348"/>
      <c r="E631" s="1348"/>
      <c r="F631" s="1348"/>
      <c r="G631" s="1348"/>
      <c r="H631" s="1348"/>
      <c r="I631" s="1348"/>
      <c r="J631" s="1348"/>
      <c r="K631" s="1348"/>
      <c r="L631" s="1348"/>
      <c r="M631" s="1618" t="s">
        <v>1184</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48" t="str">
        <f t="shared" si="1"/>
        <v/>
      </c>
      <c r="AU631" s="3"/>
      <c r="AZ631" s="3"/>
      <c r="BA631" s="3"/>
      <c r="BB631" s="3"/>
      <c r="BC631" s="3"/>
      <c r="BD631" s="3"/>
    </row>
    <row r="632" spans="2:157" ht="12.95" customHeight="1">
      <c r="B632" s="52" t="s">
        <v>584</v>
      </c>
      <c r="C632" s="1348"/>
      <c r="D632" s="1348"/>
      <c r="E632" s="1348"/>
      <c r="F632" s="1348"/>
      <c r="G632" s="1348"/>
      <c r="H632" s="1348"/>
      <c r="I632" s="1348"/>
      <c r="J632" s="1348"/>
      <c r="K632" s="1348"/>
      <c r="L632" s="1348"/>
      <c r="M632" s="1618" t="s">
        <v>1184</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48" t="str">
        <f t="shared" si="1"/>
        <v/>
      </c>
      <c r="AU632" s="3"/>
      <c r="AZ632" s="3"/>
      <c r="BA632" s="3"/>
      <c r="BB632" s="3"/>
      <c r="BC632" s="3"/>
      <c r="BD632" s="3"/>
    </row>
    <row r="633" spans="2:157" ht="12.95" customHeight="1">
      <c r="B633" s="52" t="s">
        <v>455</v>
      </c>
      <c r="C633" s="1348"/>
      <c r="D633" s="1348"/>
      <c r="E633" s="1348"/>
      <c r="F633" s="1348"/>
      <c r="G633" s="1348"/>
      <c r="H633" s="1348"/>
      <c r="I633" s="1348"/>
      <c r="J633" s="1348"/>
      <c r="K633" s="1348"/>
      <c r="L633" s="1348"/>
      <c r="M633" s="1618" t="s">
        <v>1184</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456</v>
      </c>
      <c r="C634" s="1348"/>
      <c r="D634" s="1348"/>
      <c r="E634" s="1348"/>
      <c r="F634" s="1348"/>
      <c r="G634" s="1348"/>
      <c r="H634" s="1348"/>
      <c r="I634" s="1348"/>
      <c r="J634" s="1348"/>
      <c r="K634" s="1348"/>
      <c r="L634" s="1348"/>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1"/>
        <v/>
      </c>
      <c r="AU634" s="3"/>
      <c r="AV634" s="3"/>
      <c r="AW634" s="3"/>
      <c r="AX634" s="3"/>
      <c r="AY634" s="3"/>
      <c r="AZ634" s="3"/>
      <c r="BA634" s="3" t="s">
        <v>1184</v>
      </c>
      <c r="BB634" s="3"/>
      <c r="BC634" s="3"/>
      <c r="BD634" s="3"/>
    </row>
    <row r="635" spans="2:157" ht="12.95" customHeight="1">
      <c r="B635" s="52" t="s">
        <v>461</v>
      </c>
      <c r="C635" s="1348"/>
      <c r="D635" s="1348"/>
      <c r="E635" s="1348"/>
      <c r="F635" s="1348"/>
      <c r="G635" s="1348"/>
      <c r="H635" s="1348"/>
      <c r="I635" s="1348"/>
      <c r="J635" s="1348"/>
      <c r="K635" s="1348"/>
      <c r="L635" s="1348"/>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86.354166666666671</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646</v>
      </c>
      <c r="C636" s="1348"/>
      <c r="D636" s="1348"/>
      <c r="E636" s="1348"/>
      <c r="F636" s="1348"/>
      <c r="G636" s="1348"/>
      <c r="H636" s="1348"/>
      <c r="I636" s="1348"/>
      <c r="J636" s="1348"/>
      <c r="K636" s="1348"/>
      <c r="L636" s="1348"/>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261.02083333333331</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361</v>
      </c>
      <c r="C637" s="1348"/>
      <c r="D637" s="1348"/>
      <c r="E637" s="1348"/>
      <c r="F637" s="1348"/>
      <c r="G637" s="1348"/>
      <c r="H637" s="1348"/>
      <c r="I637" s="1348"/>
      <c r="J637" s="1348"/>
      <c r="K637" s="1348"/>
      <c r="L637" s="1348"/>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659.625</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362</v>
      </c>
      <c r="C638" s="1348"/>
      <c r="D638" s="1348"/>
      <c r="E638" s="1348"/>
      <c r="F638" s="1348"/>
      <c r="G638" s="1348"/>
      <c r="H638" s="1348"/>
      <c r="I638" s="1348"/>
      <c r="J638" s="1348"/>
      <c r="K638" s="1348"/>
      <c r="L638" s="1348"/>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603.45833333333337</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88437191</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257.63157894736838</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55470511</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1819.2631578947367</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267</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143907702</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t="e">
        <f t="shared" si="4"/>
        <v>#VALUE!</v>
      </c>
      <c r="EI641" s="1445"/>
      <c r="EJ641" s="1445"/>
      <c r="EK641" s="1445"/>
      <c r="EL641" s="1445"/>
      <c r="EM641" s="1445">
        <f t="shared" si="5"/>
        <v>362.60869565217394</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f t="shared" si="5"/>
        <v>104.43478260869566</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463</v>
      </c>
      <c r="G643" s="1359" t="str">
        <f>C627</f>
        <v xml:space="preserve">Citi Permanent Loan - Tax Exempt </v>
      </c>
      <c r="H643" s="1359"/>
      <c r="I643" s="1359"/>
      <c r="J643" s="1359"/>
      <c r="K643" s="1359"/>
      <c r="L643" s="1359"/>
      <c r="M643" s="1359"/>
      <c r="N643" s="1359"/>
      <c r="O643" s="1359"/>
      <c r="P643" s="1359"/>
      <c r="Q643" s="1359"/>
      <c r="R643" s="1359"/>
      <c r="S643" s="8"/>
      <c r="T643" s="55" t="s">
        <v>113</v>
      </c>
      <c r="U643" t="s">
        <v>463</v>
      </c>
      <c r="Z643" s="1359" t="str">
        <f>C628</f>
        <v xml:space="preserve">City of Oceanside </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f t="shared" si="5"/>
        <v>1985.8695652173915</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2" t="s">
        <v>2699</v>
      </c>
      <c r="H644" s="1372"/>
      <c r="I644" s="1372"/>
      <c r="J644" s="1372"/>
      <c r="K644" s="1372"/>
      <c r="L644" s="1372"/>
      <c r="M644" s="1372"/>
      <c r="N644" s="1372"/>
      <c r="O644" s="1372"/>
      <c r="P644" s="1372"/>
      <c r="Q644" s="1372"/>
      <c r="R644" s="1372"/>
      <c r="S644" s="8"/>
      <c r="T644" s="22"/>
      <c r="U644" t="s">
        <v>85</v>
      </c>
      <c r="Z644" s="1372" t="s">
        <v>2705</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580</v>
      </c>
      <c r="G645" s="1372" t="s">
        <v>2700</v>
      </c>
      <c r="H645" s="1372"/>
      <c r="I645" s="1372"/>
      <c r="J645" s="1372"/>
      <c r="K645" s="1372"/>
      <c r="L645" s="1372"/>
      <c r="M645" s="1372"/>
      <c r="N645" s="1372"/>
      <c r="O645" s="1372"/>
      <c r="P645" s="1372"/>
      <c r="Q645" s="1372"/>
      <c r="R645" s="1372"/>
      <c r="T645" s="22"/>
      <c r="U645" t="s">
        <v>580</v>
      </c>
      <c r="Z645" s="1349" t="s">
        <v>2706</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2" t="s">
        <v>2701</v>
      </c>
      <c r="H646" s="1372"/>
      <c r="I646" s="1372"/>
      <c r="J646" s="1372"/>
      <c r="K646" s="1372"/>
      <c r="L646" s="1372"/>
      <c r="M646" s="1372"/>
      <c r="N646" s="1372"/>
      <c r="O646" s="1372"/>
      <c r="P646" s="1372"/>
      <c r="Q646" s="1372"/>
      <c r="R646" s="1372"/>
      <c r="S646" s="8"/>
      <c r="T646" s="22"/>
      <c r="U646" t="s">
        <v>17</v>
      </c>
      <c r="Z646" s="1349" t="s">
        <v>2719</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315</v>
      </c>
      <c r="G647" s="1346" t="s">
        <v>2702</v>
      </c>
      <c r="H647" s="1347"/>
      <c r="I647" s="1347"/>
      <c r="J647" s="1347"/>
      <c r="K647" s="1347"/>
      <c r="L647" s="1347"/>
      <c r="O647" s="33" t="s">
        <v>205</v>
      </c>
      <c r="P647" s="1437"/>
      <c r="Q647" s="1437"/>
      <c r="R647" s="1437"/>
      <c r="S647" s="10"/>
      <c r="T647" s="22"/>
      <c r="U647" t="s">
        <v>315</v>
      </c>
      <c r="Z647" s="1346" t="s">
        <v>2708</v>
      </c>
      <c r="AA647" s="1347"/>
      <c r="AB647" s="1347"/>
      <c r="AC647" s="1347"/>
      <c r="AD647" s="1347"/>
      <c r="AE647" s="1347"/>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2" t="s">
        <v>2717</v>
      </c>
      <c r="I648" s="1372"/>
      <c r="J648" s="1372"/>
      <c r="K648" s="1372"/>
      <c r="L648" s="1372"/>
      <c r="M648" s="1372"/>
      <c r="N648" s="1372"/>
      <c r="O648" s="1372"/>
      <c r="P648" s="1372"/>
      <c r="Q648" s="1372"/>
      <c r="R648" s="1372"/>
      <c r="S648" s="8"/>
      <c r="T648" s="22"/>
      <c r="U648" t="s">
        <v>18</v>
      </c>
      <c r="AA648" s="1372" t="s">
        <v>2709</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463</v>
      </c>
      <c r="G651" s="1359" t="str">
        <f>C629</f>
        <v xml:space="preserve">Deferred Developer Fee </v>
      </c>
      <c r="H651" s="1359"/>
      <c r="I651" s="1359"/>
      <c r="J651" s="1359"/>
      <c r="K651" s="1359"/>
      <c r="L651" s="1359"/>
      <c r="M651" s="1359"/>
      <c r="N651" s="1359"/>
      <c r="O651" s="1359"/>
      <c r="P651" s="1359"/>
      <c r="Q651" s="1359"/>
      <c r="R651" s="1359"/>
      <c r="T651" s="55" t="s">
        <v>581</v>
      </c>
      <c r="U651" t="s">
        <v>463</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2720</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580</v>
      </c>
      <c r="G653" s="1349" t="s">
        <v>2646</v>
      </c>
      <c r="H653" s="1349"/>
      <c r="I653" s="1349"/>
      <c r="J653" s="1349"/>
      <c r="K653" s="1349"/>
      <c r="L653" s="1349"/>
      <c r="M653" s="1349"/>
      <c r="N653" s="1349"/>
      <c r="O653" s="1349"/>
      <c r="P653" s="1349"/>
      <c r="Q653" s="1349"/>
      <c r="R653" s="1349"/>
      <c r="T653" s="22"/>
      <c r="U653" t="s">
        <v>580</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9" t="s">
        <v>2624</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315</v>
      </c>
      <c r="G655" s="1346" t="s">
        <v>2625</v>
      </c>
      <c r="H655" s="1347"/>
      <c r="I655" s="1347"/>
      <c r="J655" s="1347"/>
      <c r="K655" s="1347"/>
      <c r="L655" s="1347"/>
      <c r="O655" s="33" t="s">
        <v>205</v>
      </c>
      <c r="P655" s="1437"/>
      <c r="Q655" s="1437"/>
      <c r="R655" s="1437"/>
      <c r="T655" s="22"/>
      <c r="U655" t="s">
        <v>315</v>
      </c>
      <c r="Z655" s="1347"/>
      <c r="AA655" s="1347"/>
      <c r="AB655" s="1347"/>
      <c r="AC655" s="1347"/>
      <c r="AD655" s="1347"/>
      <c r="AE655" s="1347"/>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2698</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545</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763</v>
      </c>
      <c r="B659" t="s">
        <v>463</v>
      </c>
      <c r="G659" s="1359">
        <f>C631</f>
        <v>0</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580</v>
      </c>
      <c r="G661" s="1372"/>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315</v>
      </c>
      <c r="G663" s="1347"/>
      <c r="H663" s="1347"/>
      <c r="I663" s="1347"/>
      <c r="J663" s="1347"/>
      <c r="K663" s="1347"/>
      <c r="L663" s="1347"/>
      <c r="O663" s="33" t="s">
        <v>205</v>
      </c>
      <c r="P663" s="1437"/>
      <c r="Q663" s="1437"/>
      <c r="R663" s="1437"/>
      <c r="T663" s="22"/>
      <c r="U663" t="s">
        <v>315</v>
      </c>
      <c r="Z663" s="1347"/>
      <c r="AA663" s="1347"/>
      <c r="AB663" s="1347"/>
      <c r="AC663" s="1347"/>
      <c r="AD663" s="1347"/>
      <c r="AE663" s="1347"/>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1610.4583333333335</v>
      </c>
      <c r="ED670" s="1445"/>
      <c r="EE670" s="1445"/>
      <c r="EF670" s="1445"/>
      <c r="EG670" s="1445"/>
      <c r="EH670" s="1445">
        <f>SUMIF(EH635:EL669,"&gt;0")</f>
        <v>2076.894736842105</v>
      </c>
      <c r="EI670" s="1445"/>
      <c r="EJ670" s="1445"/>
      <c r="EK670" s="1445"/>
      <c r="EL670" s="1445"/>
      <c r="EM670" s="1445">
        <f>SUMIF(EM635:EQ669,"&gt;0")</f>
        <v>2452.913043478261</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315</v>
      </c>
      <c r="G671" s="1347"/>
      <c r="H671" s="1347"/>
      <c r="I671" s="1347"/>
      <c r="J671" s="1347"/>
      <c r="K671" s="1347"/>
      <c r="L671" s="1347"/>
      <c r="O671" s="33" t="s">
        <v>205</v>
      </c>
      <c r="P671" s="1437"/>
      <c r="Q671" s="1437"/>
      <c r="R671" s="1437"/>
      <c r="T671" s="22"/>
      <c r="U671" t="s">
        <v>315</v>
      </c>
      <c r="Z671" s="1347"/>
      <c r="AA671" s="1347"/>
      <c r="AB671" s="1347"/>
      <c r="AC671" s="1347"/>
      <c r="AD671" s="1347"/>
      <c r="AE671" s="1347"/>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315</v>
      </c>
      <c r="G679" s="1347"/>
      <c r="H679" s="1347"/>
      <c r="I679" s="1347"/>
      <c r="J679" s="1347"/>
      <c r="K679" s="1347"/>
      <c r="L679" s="1347"/>
      <c r="O679" s="33" t="s">
        <v>205</v>
      </c>
      <c r="P679" s="1437"/>
      <c r="Q679" s="1437"/>
      <c r="R679" s="1437"/>
      <c r="T679" s="22"/>
      <c r="U679" t="s">
        <v>315</v>
      </c>
      <c r="Z679" s="1347"/>
      <c r="AA679" s="1347"/>
      <c r="AB679" s="1347"/>
      <c r="AC679" s="1347"/>
      <c r="AD679" s="1347"/>
      <c r="AE679" s="1347"/>
      <c r="AH679" s="33" t="s">
        <v>205</v>
      </c>
      <c r="AI679" s="1437"/>
      <c r="AJ679" s="1437"/>
      <c r="AK679" s="1437"/>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315</v>
      </c>
      <c r="G687" s="1347"/>
      <c r="H687" s="1347"/>
      <c r="I687" s="1347"/>
      <c r="J687" s="1347"/>
      <c r="K687" s="1347"/>
      <c r="L687" s="1347"/>
      <c r="O687" s="33" t="s">
        <v>205</v>
      </c>
      <c r="P687" s="1437"/>
      <c r="Q687" s="1437"/>
      <c r="R687" s="1437"/>
      <c r="U687" t="s">
        <v>315</v>
      </c>
      <c r="Z687" s="1347"/>
      <c r="AA687" s="1347"/>
      <c r="AB687" s="1347"/>
      <c r="AC687" s="1347"/>
      <c r="AD687" s="1347"/>
      <c r="AE687" s="1347"/>
      <c r="AH687" s="33" t="s">
        <v>205</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545</v>
      </c>
      <c r="AF693" s="1332"/>
      <c r="AZ693" s="3"/>
    </row>
    <row r="694" spans="1:67" ht="12.95" customHeight="1">
      <c r="B694" s="135"/>
      <c r="C694" s="135"/>
      <c r="D694" s="136" t="s">
        <v>437</v>
      </c>
      <c r="E694" s="135"/>
      <c r="F694" s="135"/>
      <c r="G694" s="135"/>
      <c r="H694" s="135"/>
      <c r="AE694" s="1332" t="s">
        <v>669</v>
      </c>
      <c r="AF694" s="1332"/>
      <c r="AZ694" s="3"/>
    </row>
    <row r="695" spans="1:67" ht="12.95" customHeight="1">
      <c r="B695" s="135"/>
      <c r="C695" s="135"/>
      <c r="D695" s="136" t="s">
        <v>920</v>
      </c>
      <c r="E695" s="135"/>
      <c r="F695" s="135"/>
      <c r="G695" s="135"/>
      <c r="H695" s="135"/>
      <c r="AE695" s="1691">
        <v>45909</v>
      </c>
      <c r="AF695" s="1691"/>
      <c r="AG695" s="1691"/>
      <c r="AH695" s="1691"/>
      <c r="AI695" s="1691"/>
    </row>
    <row r="696" spans="1:67" ht="12.95" customHeight="1">
      <c r="B696" s="135"/>
      <c r="C696" s="135"/>
      <c r="D696" s="317" t="s">
        <v>983</v>
      </c>
      <c r="E696" s="135"/>
      <c r="F696" s="135"/>
      <c r="G696" s="135"/>
      <c r="H696" s="135"/>
      <c r="AE696" s="1702">
        <v>45980</v>
      </c>
      <c r="AF696" s="1702"/>
      <c r="AG696" s="1702"/>
      <c r="AH696" s="1702"/>
      <c r="AI696" s="1702"/>
    </row>
    <row r="697" spans="1:67" ht="12.95" customHeight="1">
      <c r="B697" s="135"/>
      <c r="C697" s="135"/>
    </row>
    <row r="698" spans="1:67" ht="12.95" customHeight="1">
      <c r="B698" s="135"/>
      <c r="C698" s="135"/>
      <c r="D698" s="136" t="s">
        <v>816</v>
      </c>
      <c r="E698" s="135"/>
      <c r="F698" s="135"/>
      <c r="G698" s="135"/>
      <c r="H698" s="135"/>
      <c r="AE698" s="1691">
        <v>46174</v>
      </c>
      <c r="AF698" s="1691"/>
      <c r="AG698" s="1691"/>
      <c r="AH698" s="1691"/>
      <c r="AI698" s="1691"/>
    </row>
    <row r="699" spans="1:67" ht="12.95" customHeight="1">
      <c r="B699" s="135"/>
      <c r="C699" s="135"/>
      <c r="D699" s="136" t="s">
        <v>435</v>
      </c>
      <c r="E699" s="135"/>
      <c r="F699" s="135"/>
      <c r="G699" s="135"/>
      <c r="H699" s="135"/>
      <c r="AE699" s="1661">
        <v>0.25070999999999999</v>
      </c>
      <c r="AF699" s="1661"/>
      <c r="AG699" s="1661"/>
      <c r="AH699" s="1661"/>
      <c r="AI699" s="1661"/>
    </row>
    <row r="700" spans="1:67" ht="12.95" customHeight="1">
      <c r="B700" s="135"/>
      <c r="C700" s="135"/>
      <c r="D700" s="136" t="s">
        <v>436</v>
      </c>
      <c r="E700" s="135"/>
      <c r="F700" s="135"/>
      <c r="G700" s="135"/>
      <c r="H700" s="135"/>
      <c r="W700" s="1359" t="str">
        <f>H335</f>
        <v xml:space="preserve">California Municipal Finance Authority </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669</v>
      </c>
      <c r="AF702" s="1332"/>
      <c r="AZ702" s="4" t="s">
        <v>323</v>
      </c>
    </row>
    <row r="703" spans="1:67" ht="12.9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388</v>
      </c>
      <c r="C714" s="1364"/>
      <c r="D714" s="1364"/>
      <c r="E714" s="1364"/>
      <c r="F714" s="1365"/>
      <c r="G714" s="1363" t="s">
        <v>284</v>
      </c>
      <c r="H714" s="1364"/>
      <c r="I714" s="1364"/>
      <c r="J714" s="1365"/>
      <c r="K714" s="1719" t="s">
        <v>1679</v>
      </c>
      <c r="L714" s="1720"/>
      <c r="M714" s="1720"/>
      <c r="N714" s="1721"/>
      <c r="O714" s="1363" t="s">
        <v>447</v>
      </c>
      <c r="P714" s="1364"/>
      <c r="Q714" s="1364"/>
      <c r="R714" s="1364"/>
      <c r="S714" s="1365"/>
      <c r="T714" s="1659" t="s">
        <v>1949</v>
      </c>
      <c r="U714" s="1364"/>
      <c r="V714" s="1364"/>
      <c r="W714" s="1365"/>
      <c r="X714" s="1659" t="s">
        <v>1951</v>
      </c>
      <c r="Y714" s="1364"/>
      <c r="Z714" s="1364"/>
      <c r="AA714" s="1364"/>
      <c r="AB714" s="1365"/>
      <c r="AC714" s="1659" t="s">
        <v>1950</v>
      </c>
      <c r="AD714" s="1364"/>
      <c r="AE714" s="1364"/>
      <c r="AF714" s="1364"/>
      <c r="AG714" s="1365"/>
      <c r="AH714" s="1659" t="s">
        <v>1952</v>
      </c>
      <c r="AI714" s="1364"/>
      <c r="AJ714" s="1365"/>
      <c r="AK714" s="1659"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324</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324</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324</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2.95" customHeight="1">
      <c r="A718" s="4"/>
      <c r="B718" s="1337" t="s">
        <v>324</v>
      </c>
      <c r="C718" s="1338"/>
      <c r="D718" s="1338"/>
      <c r="E718" s="1338"/>
      <c r="F718" s="1339"/>
      <c r="G718" s="1350">
        <v>5</v>
      </c>
      <c r="H718" s="1351"/>
      <c r="I718" s="1351"/>
      <c r="J718" s="1352"/>
      <c r="K718" s="1343">
        <v>512</v>
      </c>
      <c r="L718" s="1344"/>
      <c r="M718" s="1344"/>
      <c r="N718" s="1345"/>
      <c r="O718" s="1340">
        <f>930-101</f>
        <v>829</v>
      </c>
      <c r="P718" s="1341"/>
      <c r="Q718" s="1341"/>
      <c r="R718" s="1341"/>
      <c r="S718" s="1342"/>
      <c r="T718" s="1340">
        <v>101</v>
      </c>
      <c r="U718" s="1341"/>
      <c r="V718" s="1341"/>
      <c r="W718" s="1342"/>
      <c r="X718" s="1353">
        <f t="shared" ref="X718:X741" si="8">O718+T718</f>
        <v>930</v>
      </c>
      <c r="Y718" s="1354"/>
      <c r="Z718" s="1354"/>
      <c r="AA718" s="1354"/>
      <c r="AB718" s="1355"/>
      <c r="AC718" s="1360">
        <v>0.3</v>
      </c>
      <c r="AD718" s="1361"/>
      <c r="AE718" s="1361"/>
      <c r="AF718" s="1361"/>
      <c r="AG718" s="1362"/>
      <c r="AH718" s="1356">
        <f>IF($AC718&gt;0,($X718/$AZ718), "")</f>
        <v>0.3</v>
      </c>
      <c r="AI718" s="1357"/>
      <c r="AJ718" s="1358"/>
      <c r="AK718" s="1337" t="s">
        <v>591</v>
      </c>
      <c r="AL718" s="1338"/>
      <c r="AM718" s="1338"/>
      <c r="AN718" s="1338"/>
      <c r="AO718" s="1339"/>
      <c r="AP718" s="3"/>
      <c r="AQ718" s="3"/>
      <c r="AR718" s="3"/>
      <c r="AS718" s="3"/>
      <c r="AZ718" s="118">
        <f t="shared" ref="AZ718:AZ752" si="9">IF($G718=0,"N/A",VLOOKUP($T$189,TC_Rent,(MATCH($B718,bedrooms,FALSE)),FALSE))</f>
        <v>3100</v>
      </c>
      <c r="BA718" s="3"/>
      <c r="BB718" s="3"/>
      <c r="BC718" s="3"/>
      <c r="BD718" s="3"/>
      <c r="BE718" s="204"/>
      <c r="BF718" s="293">
        <f t="shared" ref="BF718:BF752" si="10">G718</f>
        <v>5</v>
      </c>
      <c r="BG718" s="297">
        <f t="shared" ref="BG718:BG752" si="11">IF($BF$753=0,0,BF718/$BF$753)</f>
        <v>2.5380710659898477E-2</v>
      </c>
      <c r="BH718" s="298">
        <f t="shared" ref="BH718:BH752" si="12">IF(BG718=0,"",BG718*AC718)</f>
        <v>7.6142131979695426E-3</v>
      </c>
      <c r="BI718" s="3"/>
      <c r="BJ718" s="3"/>
      <c r="BK718" s="3"/>
      <c r="BL718" s="3"/>
      <c r="BM718" s="3"/>
      <c r="BN718" s="3"/>
      <c r="BS718" s="293">
        <f t="shared" ref="BS718:BS752" si="13">G718</f>
        <v>5</v>
      </c>
      <c r="BT718" s="297">
        <f t="shared" ref="BT718:BT752" si="14">IF($BS$753=0,0,BS718/$BS$753)</f>
        <v>2.5380710659898477E-2</v>
      </c>
      <c r="BU718" s="298">
        <f t="shared" ref="BU718:BU752" si="15">IF(BT718=0,"",BT718*AH718)</f>
        <v>7.6142131979695426E-3</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5</v>
      </c>
      <c r="CN718" s="1470"/>
      <c r="CO718" s="3"/>
      <c r="CP718" s="1458">
        <f t="shared" ref="CP718:CP752" si="18">IF(B718="SRO/Studio",G718,0)</f>
        <v>0</v>
      </c>
      <c r="CQ718" s="1459"/>
      <c r="CR718" s="1459"/>
      <c r="CS718" s="1459"/>
      <c r="CT718" s="1460"/>
      <c r="CU718" s="1443">
        <f t="shared" ref="CU718:CU752" si="19">IF(B718="1 Bedroom",G718,0)</f>
        <v>5</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5</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t="str">
        <f t="shared" ref="EZ718:EZ752" si="30">IF(CP718&gt;0,O718,"")</f>
        <v/>
      </c>
      <c r="FA718" s="1465"/>
      <c r="FB718" s="1465"/>
      <c r="FC718" s="1465"/>
      <c r="FD718" s="1464"/>
      <c r="FE718" s="1463">
        <f t="shared" ref="FE718:FE752" si="31">IF(CU718&gt;0,O718,"")</f>
        <v>829</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7" t="s">
        <v>324</v>
      </c>
      <c r="C719" s="1338"/>
      <c r="D719" s="1338"/>
      <c r="E719" s="1338"/>
      <c r="F719" s="1339"/>
      <c r="G719" s="1350">
        <v>11</v>
      </c>
      <c r="H719" s="1351"/>
      <c r="I719" s="1351"/>
      <c r="J719" s="1352"/>
      <c r="K719" s="1343">
        <v>512</v>
      </c>
      <c r="L719" s="1344"/>
      <c r="M719" s="1344"/>
      <c r="N719" s="1345"/>
      <c r="O719" s="1340">
        <f>1240-101</f>
        <v>1139</v>
      </c>
      <c r="P719" s="1341"/>
      <c r="Q719" s="1341"/>
      <c r="R719" s="1341"/>
      <c r="S719" s="1342"/>
      <c r="T719" s="1340">
        <v>101</v>
      </c>
      <c r="U719" s="1341"/>
      <c r="V719" s="1341"/>
      <c r="W719" s="1342"/>
      <c r="X719" s="1353">
        <f t="shared" si="8"/>
        <v>1240</v>
      </c>
      <c r="Y719" s="1354"/>
      <c r="Z719" s="1354"/>
      <c r="AA719" s="1354"/>
      <c r="AB719" s="1355"/>
      <c r="AC719" s="1360">
        <v>0.4</v>
      </c>
      <c r="AD719" s="1361"/>
      <c r="AE719" s="1361"/>
      <c r="AF719" s="1361"/>
      <c r="AG719" s="1362"/>
      <c r="AH719" s="1356">
        <f t="shared" ref="AH719:AH752" si="36">IF($AC719&gt;0,($X719/$AZ719), "")</f>
        <v>0.4</v>
      </c>
      <c r="AI719" s="1357"/>
      <c r="AJ719" s="1358"/>
      <c r="AK719" s="1337" t="s">
        <v>2738</v>
      </c>
      <c r="AL719" s="1338"/>
      <c r="AM719" s="1338"/>
      <c r="AN719" s="1338"/>
      <c r="AO719" s="1339"/>
      <c r="AP719" s="3"/>
      <c r="AQ719" s="3"/>
      <c r="AR719" s="3"/>
      <c r="AS719" s="3"/>
      <c r="AZ719" s="118">
        <f t="shared" si="9"/>
        <v>3100</v>
      </c>
      <c r="BA719" s="3"/>
      <c r="BB719" s="3"/>
      <c r="BC719" s="3"/>
      <c r="BD719" s="3"/>
      <c r="BE719" s="204"/>
      <c r="BF719" s="294">
        <f t="shared" si="10"/>
        <v>11</v>
      </c>
      <c r="BG719" s="297">
        <f t="shared" si="11"/>
        <v>5.5837563451776651E-2</v>
      </c>
      <c r="BH719" s="298">
        <f t="shared" si="12"/>
        <v>2.2335025380710662E-2</v>
      </c>
      <c r="BI719" s="3"/>
      <c r="BJ719" s="3"/>
      <c r="BK719" s="3"/>
      <c r="BL719" s="3"/>
      <c r="BM719" s="3"/>
      <c r="BN719" s="3"/>
      <c r="BS719" s="294">
        <f t="shared" si="13"/>
        <v>11</v>
      </c>
      <c r="BT719" s="297">
        <f t="shared" si="14"/>
        <v>5.5837563451776651E-2</v>
      </c>
      <c r="BU719" s="298">
        <f t="shared" si="15"/>
        <v>2.2335025380710662E-2</v>
      </c>
      <c r="CC719" s="3"/>
      <c r="CD719" s="3"/>
      <c r="CE719" s="3"/>
      <c r="CF719" s="3"/>
      <c r="CG719" s="1463">
        <f t="shared" ref="CG719:CG752" si="37">IF(AND(AC719&lt;=0.5,AC719&gt;=0.36),1,0)</f>
        <v>1</v>
      </c>
      <c r="CH719" s="1464"/>
      <c r="CI719" s="1469">
        <f t="shared" ref="CI719:CI752" si="38">IF(CG719=1,G719,0)</f>
        <v>11</v>
      </c>
      <c r="CJ719" s="1470"/>
      <c r="CK719" s="1463">
        <f t="shared" si="16"/>
        <v>0</v>
      </c>
      <c r="CL719" s="1464"/>
      <c r="CM719" s="1469">
        <f t="shared" si="17"/>
        <v>0</v>
      </c>
      <c r="CN719" s="1470"/>
      <c r="CO719" s="3"/>
      <c r="CP719" s="1458">
        <f t="shared" si="18"/>
        <v>0</v>
      </c>
      <c r="CQ719" s="1459"/>
      <c r="CR719" s="1459"/>
      <c r="CS719" s="1459"/>
      <c r="CT719" s="1460"/>
      <c r="CU719" s="1443">
        <f t="shared" si="19"/>
        <v>11</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t="str">
        <f t="shared" si="30"/>
        <v/>
      </c>
      <c r="FA719" s="1465"/>
      <c r="FB719" s="1465"/>
      <c r="FC719" s="1465"/>
      <c r="FD719" s="1464"/>
      <c r="FE719" s="1463">
        <f t="shared" si="31"/>
        <v>1139</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7" t="s">
        <v>324</v>
      </c>
      <c r="C720" s="1338"/>
      <c r="D720" s="1338"/>
      <c r="E720" s="1338"/>
      <c r="F720" s="1339"/>
      <c r="G720" s="1350">
        <v>18</v>
      </c>
      <c r="H720" s="1351"/>
      <c r="I720" s="1351"/>
      <c r="J720" s="1352"/>
      <c r="K720" s="1343">
        <v>512</v>
      </c>
      <c r="L720" s="1344"/>
      <c r="M720" s="1344"/>
      <c r="N720" s="1345"/>
      <c r="O720" s="1340">
        <f>1860-101</f>
        <v>1759</v>
      </c>
      <c r="P720" s="1341"/>
      <c r="Q720" s="1341"/>
      <c r="R720" s="1341"/>
      <c r="S720" s="1342"/>
      <c r="T720" s="1340">
        <v>101</v>
      </c>
      <c r="U720" s="1341"/>
      <c r="V720" s="1341"/>
      <c r="W720" s="1342"/>
      <c r="X720" s="1353">
        <f t="shared" si="8"/>
        <v>1860</v>
      </c>
      <c r="Y720" s="1354"/>
      <c r="Z720" s="1354"/>
      <c r="AA720" s="1354"/>
      <c r="AB720" s="1355"/>
      <c r="AC720" s="1360">
        <v>0.6</v>
      </c>
      <c r="AD720" s="1361"/>
      <c r="AE720" s="1361"/>
      <c r="AF720" s="1361"/>
      <c r="AG720" s="1362"/>
      <c r="AH720" s="1356">
        <f t="shared" si="36"/>
        <v>0.6</v>
      </c>
      <c r="AI720" s="1357"/>
      <c r="AJ720" s="1358"/>
      <c r="AK720" s="1337" t="s">
        <v>591</v>
      </c>
      <c r="AL720" s="1338"/>
      <c r="AM720" s="1338"/>
      <c r="AN720" s="1338"/>
      <c r="AO720" s="1339"/>
      <c r="AP720" s="3"/>
      <c r="AQ720" s="3"/>
      <c r="AR720" s="3"/>
      <c r="AS720" s="3"/>
      <c r="AZ720" s="118">
        <f t="shared" si="9"/>
        <v>3100</v>
      </c>
      <c r="BA720" s="3"/>
      <c r="BB720" s="3"/>
      <c r="BC720" s="3"/>
      <c r="BD720" s="3"/>
      <c r="BE720" s="204"/>
      <c r="BF720" s="294">
        <f t="shared" si="10"/>
        <v>18</v>
      </c>
      <c r="BG720" s="297">
        <f t="shared" si="11"/>
        <v>9.1370558375634514E-2</v>
      </c>
      <c r="BH720" s="298">
        <f t="shared" si="12"/>
        <v>5.4822335025380704E-2</v>
      </c>
      <c r="BI720" s="3"/>
      <c r="BJ720" s="3"/>
      <c r="BK720" s="3"/>
      <c r="BL720" s="3"/>
      <c r="BM720" s="3"/>
      <c r="BN720" s="3"/>
      <c r="BS720" s="294">
        <f t="shared" si="13"/>
        <v>18</v>
      </c>
      <c r="BT720" s="297">
        <f t="shared" si="14"/>
        <v>9.1370558375634514E-2</v>
      </c>
      <c r="BU720" s="298">
        <f t="shared" si="15"/>
        <v>5.4822335025380704E-2</v>
      </c>
      <c r="CC720" s="3"/>
      <c r="CD720" s="3"/>
      <c r="CE720" s="3"/>
      <c r="CF720" s="3"/>
      <c r="CG720" s="1463">
        <f t="shared" si="37"/>
        <v>0</v>
      </c>
      <c r="CH720" s="1464"/>
      <c r="CI720" s="1469">
        <f t="shared" si="38"/>
        <v>0</v>
      </c>
      <c r="CJ720" s="1470"/>
      <c r="CK720" s="1463">
        <f t="shared" si="16"/>
        <v>0</v>
      </c>
      <c r="CL720" s="1464"/>
      <c r="CM720" s="1469">
        <f t="shared" si="17"/>
        <v>0</v>
      </c>
      <c r="CN720" s="1470"/>
      <c r="CO720" s="3"/>
      <c r="CP720" s="1458">
        <f t="shared" si="18"/>
        <v>0</v>
      </c>
      <c r="CQ720" s="1459"/>
      <c r="CR720" s="1459"/>
      <c r="CS720" s="1459"/>
      <c r="CT720" s="1460"/>
      <c r="CU720" s="1443">
        <f t="shared" si="19"/>
        <v>18</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t="str">
        <f t="shared" si="30"/>
        <v/>
      </c>
      <c r="FA720" s="1465"/>
      <c r="FB720" s="1465"/>
      <c r="FC720" s="1465"/>
      <c r="FD720" s="1464"/>
      <c r="FE720" s="1463">
        <f t="shared" si="31"/>
        <v>1759</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7" t="s">
        <v>324</v>
      </c>
      <c r="C721" s="1338"/>
      <c r="D721" s="1338"/>
      <c r="E721" s="1338"/>
      <c r="F721" s="1339"/>
      <c r="G721" s="1350">
        <v>14</v>
      </c>
      <c r="H721" s="1351"/>
      <c r="I721" s="1351"/>
      <c r="J721" s="1352"/>
      <c r="K721" s="1343">
        <v>512</v>
      </c>
      <c r="L721" s="1344"/>
      <c r="M721" s="1344"/>
      <c r="N721" s="1345"/>
      <c r="O721" s="1340">
        <f>2170-101</f>
        <v>2069</v>
      </c>
      <c r="P721" s="1341"/>
      <c r="Q721" s="1341"/>
      <c r="R721" s="1341"/>
      <c r="S721" s="1342"/>
      <c r="T721" s="1340">
        <v>101</v>
      </c>
      <c r="U721" s="1341"/>
      <c r="V721" s="1341"/>
      <c r="W721" s="1342"/>
      <c r="X721" s="1353">
        <f t="shared" si="8"/>
        <v>2170</v>
      </c>
      <c r="Y721" s="1354"/>
      <c r="Z721" s="1354"/>
      <c r="AA721" s="1354"/>
      <c r="AB721" s="1355"/>
      <c r="AC721" s="1360">
        <v>0.7</v>
      </c>
      <c r="AD721" s="1361"/>
      <c r="AE721" s="1361"/>
      <c r="AF721" s="1361"/>
      <c r="AG721" s="1362"/>
      <c r="AH721" s="1356">
        <f t="shared" si="36"/>
        <v>0.7</v>
      </c>
      <c r="AI721" s="1357"/>
      <c r="AJ721" s="1358"/>
      <c r="AK721" s="1337" t="s">
        <v>591</v>
      </c>
      <c r="AL721" s="1338"/>
      <c r="AM721" s="1338"/>
      <c r="AN721" s="1338"/>
      <c r="AO721" s="1339"/>
      <c r="AP721" s="3"/>
      <c r="AQ721" s="3"/>
      <c r="AR721" s="3"/>
      <c r="AS721" s="3"/>
      <c r="AY721" s="116"/>
      <c r="AZ721" s="118">
        <f t="shared" si="9"/>
        <v>3100</v>
      </c>
      <c r="BA721" s="3"/>
      <c r="BB721" s="3"/>
      <c r="BC721" s="3"/>
      <c r="BD721" s="3"/>
      <c r="BE721" s="204"/>
      <c r="BF721" s="294">
        <f t="shared" si="10"/>
        <v>14</v>
      </c>
      <c r="BG721" s="297">
        <f t="shared" si="11"/>
        <v>7.1065989847715741E-2</v>
      </c>
      <c r="BH721" s="298">
        <f t="shared" si="12"/>
        <v>4.9746192893401014E-2</v>
      </c>
      <c r="BI721" s="3"/>
      <c r="BJ721" s="3"/>
      <c r="BK721" s="3"/>
      <c r="BL721" s="3"/>
      <c r="BM721" s="3"/>
      <c r="BN721" s="3"/>
      <c r="BS721" s="294">
        <f t="shared" si="13"/>
        <v>14</v>
      </c>
      <c r="BT721" s="297">
        <f t="shared" si="14"/>
        <v>7.1065989847715741E-2</v>
      </c>
      <c r="BU721" s="298">
        <f t="shared" si="15"/>
        <v>4.9746192893401014E-2</v>
      </c>
      <c r="CC721" s="3"/>
      <c r="CD721" s="3"/>
      <c r="CE721" s="3"/>
      <c r="CF721" s="3"/>
      <c r="CG721" s="1463">
        <f t="shared" si="37"/>
        <v>0</v>
      </c>
      <c r="CH721" s="1464"/>
      <c r="CI721" s="1469">
        <f t="shared" si="38"/>
        <v>0</v>
      </c>
      <c r="CJ721" s="1470"/>
      <c r="CK721" s="1463">
        <f t="shared" si="16"/>
        <v>0</v>
      </c>
      <c r="CL721" s="1464"/>
      <c r="CM721" s="1469">
        <f t="shared" si="17"/>
        <v>0</v>
      </c>
      <c r="CN721" s="1470"/>
      <c r="CO721" s="3"/>
      <c r="CP721" s="1458">
        <f t="shared" si="18"/>
        <v>0</v>
      </c>
      <c r="CQ721" s="1459"/>
      <c r="CR721" s="1459"/>
      <c r="CS721" s="1459"/>
      <c r="CT721" s="1460"/>
      <c r="CU721" s="1443">
        <f t="shared" si="19"/>
        <v>14</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f t="shared" si="31"/>
        <v>2069</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7" t="s">
        <v>163</v>
      </c>
      <c r="C722" s="1338"/>
      <c r="D722" s="1338"/>
      <c r="E722" s="1338"/>
      <c r="F722" s="1339"/>
      <c r="G722" s="1350">
        <v>15</v>
      </c>
      <c r="H722" s="1351"/>
      <c r="I722" s="1351"/>
      <c r="J722" s="1352"/>
      <c r="K722" s="1343">
        <v>701</v>
      </c>
      <c r="L722" s="1344"/>
      <c r="M722" s="1344"/>
      <c r="N722" s="1345"/>
      <c r="O722" s="1340">
        <f>1116-137</f>
        <v>979</v>
      </c>
      <c r="P722" s="1341"/>
      <c r="Q722" s="1341"/>
      <c r="R722" s="1341"/>
      <c r="S722" s="1342"/>
      <c r="T722" s="1340">
        <v>137</v>
      </c>
      <c r="U722" s="1341"/>
      <c r="V722" s="1341"/>
      <c r="W722" s="1342"/>
      <c r="X722" s="1353">
        <f t="shared" si="8"/>
        <v>1116</v>
      </c>
      <c r="Y722" s="1354"/>
      <c r="Z722" s="1354"/>
      <c r="AA722" s="1354"/>
      <c r="AB722" s="1355"/>
      <c r="AC722" s="1360">
        <v>0.3</v>
      </c>
      <c r="AD722" s="1361"/>
      <c r="AE722" s="1361"/>
      <c r="AF722" s="1361"/>
      <c r="AG722" s="1362"/>
      <c r="AH722" s="1356">
        <f t="shared" si="36"/>
        <v>0.29983879634605048</v>
      </c>
      <c r="AI722" s="1357"/>
      <c r="AJ722" s="1358"/>
      <c r="AK722" s="1337" t="s">
        <v>591</v>
      </c>
      <c r="AL722" s="1338"/>
      <c r="AM722" s="1338"/>
      <c r="AN722" s="1338"/>
      <c r="AO722" s="1339"/>
      <c r="AP722" s="3"/>
      <c r="AQ722" s="3"/>
      <c r="AR722" s="3"/>
      <c r="AS722" s="3"/>
      <c r="AY722" s="116"/>
      <c r="AZ722" s="118">
        <f t="shared" si="9"/>
        <v>3722</v>
      </c>
      <c r="BA722" s="3"/>
      <c r="BB722" s="3"/>
      <c r="BC722" s="3"/>
      <c r="BD722" s="3"/>
      <c r="BE722" s="204"/>
      <c r="BF722" s="294">
        <f t="shared" si="10"/>
        <v>15</v>
      </c>
      <c r="BG722" s="297">
        <f t="shared" si="11"/>
        <v>7.6142131979695438E-2</v>
      </c>
      <c r="BH722" s="298">
        <f t="shared" si="12"/>
        <v>2.2842639593908632E-2</v>
      </c>
      <c r="BI722" s="3"/>
      <c r="BJ722" s="3"/>
      <c r="BK722" s="3"/>
      <c r="BL722" s="3"/>
      <c r="BM722" s="3"/>
      <c r="BN722" s="3"/>
      <c r="BS722" s="294">
        <f t="shared" si="13"/>
        <v>15</v>
      </c>
      <c r="BT722" s="297">
        <f t="shared" si="14"/>
        <v>7.6142131979695438E-2</v>
      </c>
      <c r="BU722" s="298">
        <f t="shared" si="15"/>
        <v>2.2830365204013998E-2</v>
      </c>
      <c r="CC722" s="3"/>
      <c r="CD722" s="3"/>
      <c r="CE722" s="3"/>
      <c r="CF722" s="3"/>
      <c r="CG722" s="1463">
        <f t="shared" si="37"/>
        <v>0</v>
      </c>
      <c r="CH722" s="1464"/>
      <c r="CI722" s="1469">
        <f t="shared" si="38"/>
        <v>0</v>
      </c>
      <c r="CJ722" s="1470"/>
      <c r="CK722" s="1463">
        <f t="shared" si="16"/>
        <v>1</v>
      </c>
      <c r="CL722" s="1464"/>
      <c r="CM722" s="1469">
        <f t="shared" si="17"/>
        <v>15</v>
      </c>
      <c r="CN722" s="1470"/>
      <c r="CO722" s="3"/>
      <c r="CP722" s="1458">
        <f t="shared" si="18"/>
        <v>0</v>
      </c>
      <c r="CQ722" s="1459"/>
      <c r="CR722" s="1459"/>
      <c r="CS722" s="1459"/>
      <c r="CT722" s="1460"/>
      <c r="CU722" s="1443">
        <f t="shared" si="19"/>
        <v>0</v>
      </c>
      <c r="CV722" s="1443"/>
      <c r="CW722" s="1443"/>
      <c r="CX722" s="1443"/>
      <c r="CY722" s="1443"/>
      <c r="CZ722" s="1443">
        <f t="shared" si="20"/>
        <v>15</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15</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t="str">
        <f t="shared" si="31"/>
        <v/>
      </c>
      <c r="FF722" s="1465"/>
      <c r="FG722" s="1465"/>
      <c r="FH722" s="1465"/>
      <c r="FI722" s="1464"/>
      <c r="FJ722" s="1463">
        <f t="shared" si="32"/>
        <v>979</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7" t="s">
        <v>163</v>
      </c>
      <c r="C723" s="1338"/>
      <c r="D723" s="1338"/>
      <c r="E723" s="1338"/>
      <c r="F723" s="1339"/>
      <c r="G723" s="1350">
        <v>42</v>
      </c>
      <c r="H723" s="1351"/>
      <c r="I723" s="1351"/>
      <c r="J723" s="1352"/>
      <c r="K723" s="1343">
        <v>701</v>
      </c>
      <c r="L723" s="1344"/>
      <c r="M723" s="1344"/>
      <c r="N723" s="1345"/>
      <c r="O723" s="1340">
        <v>2469</v>
      </c>
      <c r="P723" s="1341"/>
      <c r="Q723" s="1341"/>
      <c r="R723" s="1341"/>
      <c r="S723" s="1342"/>
      <c r="T723" s="1340">
        <v>137</v>
      </c>
      <c r="U723" s="1341"/>
      <c r="V723" s="1341"/>
      <c r="W723" s="1342"/>
      <c r="X723" s="1353">
        <f t="shared" si="8"/>
        <v>2606</v>
      </c>
      <c r="Y723" s="1354"/>
      <c r="Z723" s="1354"/>
      <c r="AA723" s="1354"/>
      <c r="AB723" s="1355"/>
      <c r="AC723" s="1360">
        <v>0.7</v>
      </c>
      <c r="AD723" s="1361"/>
      <c r="AE723" s="1361"/>
      <c r="AF723" s="1361"/>
      <c r="AG723" s="1362"/>
      <c r="AH723" s="1356">
        <f t="shared" si="36"/>
        <v>0.70016120365394952</v>
      </c>
      <c r="AI723" s="1357"/>
      <c r="AJ723" s="1358"/>
      <c r="AK723" s="1337" t="s">
        <v>591</v>
      </c>
      <c r="AL723" s="1338"/>
      <c r="AM723" s="1338"/>
      <c r="AN723" s="1338"/>
      <c r="AO723" s="1339"/>
      <c r="AP723" s="3"/>
      <c r="AQ723" s="3"/>
      <c r="AR723" s="3"/>
      <c r="AS723" s="3"/>
      <c r="AY723" s="116"/>
      <c r="AZ723" s="118">
        <f t="shared" si="9"/>
        <v>3722</v>
      </c>
      <c r="BA723" s="3"/>
      <c r="BB723" s="3"/>
      <c r="BC723" s="3"/>
      <c r="BD723" s="3"/>
      <c r="BE723" s="204"/>
      <c r="BF723" s="294">
        <f t="shared" si="10"/>
        <v>42</v>
      </c>
      <c r="BG723" s="297">
        <f t="shared" si="11"/>
        <v>0.21319796954314721</v>
      </c>
      <c r="BH723" s="298">
        <f t="shared" si="12"/>
        <v>0.14923857868020304</v>
      </c>
      <c r="BI723" s="3"/>
      <c r="BJ723" s="3"/>
      <c r="BK723" s="3"/>
      <c r="BL723" s="3"/>
      <c r="BM723" s="3"/>
      <c r="BN723" s="3"/>
      <c r="BS723" s="294">
        <f t="shared" si="13"/>
        <v>42</v>
      </c>
      <c r="BT723" s="297">
        <f t="shared" si="14"/>
        <v>0.21319796954314721</v>
      </c>
      <c r="BU723" s="298">
        <f t="shared" si="15"/>
        <v>0.14927294697190802</v>
      </c>
      <c r="CC723" s="3"/>
      <c r="CD723" s="3"/>
      <c r="CE723" s="3"/>
      <c r="CF723" s="3"/>
      <c r="CG723" s="1463">
        <f t="shared" si="37"/>
        <v>0</v>
      </c>
      <c r="CH723" s="1464"/>
      <c r="CI723" s="1469">
        <f t="shared" si="38"/>
        <v>0</v>
      </c>
      <c r="CJ723" s="1470"/>
      <c r="CK723" s="1463">
        <f t="shared" si="16"/>
        <v>0</v>
      </c>
      <c r="CL723" s="1464"/>
      <c r="CM723" s="1469">
        <f t="shared" si="17"/>
        <v>0</v>
      </c>
      <c r="CN723" s="1470"/>
      <c r="CO723" s="3"/>
      <c r="CP723" s="1458">
        <f t="shared" si="18"/>
        <v>0</v>
      </c>
      <c r="CQ723" s="1459"/>
      <c r="CR723" s="1459"/>
      <c r="CS723" s="1459"/>
      <c r="CT723" s="1460"/>
      <c r="CU723" s="1443">
        <f t="shared" si="19"/>
        <v>0</v>
      </c>
      <c r="CV723" s="1443"/>
      <c r="CW723" s="1443"/>
      <c r="CX723" s="1443"/>
      <c r="CY723" s="1443"/>
      <c r="CZ723" s="1443">
        <f t="shared" si="20"/>
        <v>42</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t="str">
        <f t="shared" si="31"/>
        <v/>
      </c>
      <c r="FF723" s="1465"/>
      <c r="FG723" s="1465"/>
      <c r="FH723" s="1465"/>
      <c r="FI723" s="1464"/>
      <c r="FJ723" s="1463">
        <f t="shared" si="32"/>
        <v>2469</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7" t="s">
        <v>164</v>
      </c>
      <c r="C724" s="1338"/>
      <c r="D724" s="1338"/>
      <c r="E724" s="1338"/>
      <c r="F724" s="1339"/>
      <c r="G724" s="1350">
        <v>30</v>
      </c>
      <c r="H724" s="1351"/>
      <c r="I724" s="1351"/>
      <c r="J724" s="1352"/>
      <c r="K724" s="1343">
        <v>1026</v>
      </c>
      <c r="L724" s="1344"/>
      <c r="M724" s="1344"/>
      <c r="N724" s="1345"/>
      <c r="O724" s="1340">
        <f>1290-178</f>
        <v>1112</v>
      </c>
      <c r="P724" s="1341"/>
      <c r="Q724" s="1341"/>
      <c r="R724" s="1341"/>
      <c r="S724" s="1342"/>
      <c r="T724" s="1340">
        <v>178</v>
      </c>
      <c r="U724" s="1341"/>
      <c r="V724" s="1341"/>
      <c r="W724" s="1342"/>
      <c r="X724" s="1353">
        <f t="shared" si="8"/>
        <v>1290</v>
      </c>
      <c r="Y724" s="1354"/>
      <c r="Z724" s="1354"/>
      <c r="AA724" s="1354"/>
      <c r="AB724" s="1355"/>
      <c r="AC724" s="1360">
        <v>0.3</v>
      </c>
      <c r="AD724" s="1361"/>
      <c r="AE724" s="1361"/>
      <c r="AF724" s="1361"/>
      <c r="AG724" s="1362"/>
      <c r="AH724" s="1356">
        <f t="shared" si="36"/>
        <v>0.3</v>
      </c>
      <c r="AI724" s="1357"/>
      <c r="AJ724" s="1358"/>
      <c r="AK724" s="1337" t="s">
        <v>591</v>
      </c>
      <c r="AL724" s="1338"/>
      <c r="AM724" s="1338"/>
      <c r="AN724" s="1338"/>
      <c r="AO724" s="1339"/>
      <c r="AP724" s="3"/>
      <c r="AQ724" s="3"/>
      <c r="AR724" s="3"/>
      <c r="AS724" s="3"/>
      <c r="AY724" s="116"/>
      <c r="AZ724" s="118">
        <f t="shared" si="9"/>
        <v>4300</v>
      </c>
      <c r="BA724" s="3"/>
      <c r="BB724" s="3"/>
      <c r="BC724" s="3"/>
      <c r="BD724" s="3"/>
      <c r="BE724" s="204"/>
      <c r="BF724" s="294">
        <f t="shared" si="10"/>
        <v>30</v>
      </c>
      <c r="BG724" s="297">
        <f t="shared" si="11"/>
        <v>0.15228426395939088</v>
      </c>
      <c r="BH724" s="298">
        <f t="shared" si="12"/>
        <v>4.5685279187817264E-2</v>
      </c>
      <c r="BI724" s="3"/>
      <c r="BJ724" s="3"/>
      <c r="BK724" s="3"/>
      <c r="BL724" s="3"/>
      <c r="BM724" s="3"/>
      <c r="BN724" s="3"/>
      <c r="BS724" s="294">
        <f t="shared" si="13"/>
        <v>30</v>
      </c>
      <c r="BT724" s="297">
        <f t="shared" si="14"/>
        <v>0.15228426395939088</v>
      </c>
      <c r="BU724" s="298">
        <f t="shared" si="15"/>
        <v>4.5685279187817264E-2</v>
      </c>
      <c r="CC724" s="3"/>
      <c r="CE724" s="3"/>
      <c r="CF724" s="3"/>
      <c r="CG724" s="1463">
        <f t="shared" si="37"/>
        <v>0</v>
      </c>
      <c r="CH724" s="1464"/>
      <c r="CI724" s="1469">
        <f t="shared" si="38"/>
        <v>0</v>
      </c>
      <c r="CJ724" s="1470"/>
      <c r="CK724" s="1463">
        <f t="shared" si="16"/>
        <v>1</v>
      </c>
      <c r="CL724" s="1464"/>
      <c r="CM724" s="1469">
        <f t="shared" si="17"/>
        <v>30</v>
      </c>
      <c r="CN724" s="1470"/>
      <c r="CO724" s="3"/>
      <c r="CP724" s="1458">
        <f t="shared" si="18"/>
        <v>0</v>
      </c>
      <c r="CQ724" s="1459"/>
      <c r="CR724" s="1459"/>
      <c r="CS724" s="1459"/>
      <c r="CT724" s="1460"/>
      <c r="CU724" s="1443">
        <f t="shared" si="19"/>
        <v>0</v>
      </c>
      <c r="CV724" s="1443"/>
      <c r="CW724" s="1443"/>
      <c r="CX724" s="1443"/>
      <c r="CY724" s="1443"/>
      <c r="CZ724" s="1443">
        <f t="shared" si="20"/>
        <v>0</v>
      </c>
      <c r="DA724" s="1443"/>
      <c r="DB724" s="1443"/>
      <c r="DC724" s="1443"/>
      <c r="DD724" s="1443"/>
      <c r="DE724" s="1443">
        <f t="shared" si="21"/>
        <v>30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30</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t="str">
        <f t="shared" si="31"/>
        <v/>
      </c>
      <c r="FF724" s="1465"/>
      <c r="FG724" s="1465"/>
      <c r="FH724" s="1465"/>
      <c r="FI724" s="1464"/>
      <c r="FJ724" s="1463" t="str">
        <f t="shared" si="32"/>
        <v/>
      </c>
      <c r="FK724" s="1465"/>
      <c r="FL724" s="1465"/>
      <c r="FM724" s="1465"/>
      <c r="FN724" s="1464"/>
      <c r="FO724" s="1463">
        <f t="shared" si="33"/>
        <v>1112</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7" t="s">
        <v>164</v>
      </c>
      <c r="C725" s="1338"/>
      <c r="D725" s="1338"/>
      <c r="E725" s="1338"/>
      <c r="F725" s="1339"/>
      <c r="G725" s="1350">
        <v>4</v>
      </c>
      <c r="H725" s="1351"/>
      <c r="I725" s="1351"/>
      <c r="J725" s="1352"/>
      <c r="K725" s="1343">
        <v>1026</v>
      </c>
      <c r="L725" s="1344"/>
      <c r="M725" s="1344"/>
      <c r="N725" s="1345"/>
      <c r="O725" s="1340">
        <f>2580-178</f>
        <v>2402</v>
      </c>
      <c r="P725" s="1341"/>
      <c r="Q725" s="1341"/>
      <c r="R725" s="1341"/>
      <c r="S725" s="1342"/>
      <c r="T725" s="1340">
        <v>178</v>
      </c>
      <c r="U725" s="1341"/>
      <c r="V725" s="1341"/>
      <c r="W725" s="1342"/>
      <c r="X725" s="1353">
        <f t="shared" si="8"/>
        <v>2580</v>
      </c>
      <c r="Y725" s="1354"/>
      <c r="Z725" s="1354"/>
      <c r="AA725" s="1354"/>
      <c r="AB725" s="1355"/>
      <c r="AC725" s="1360">
        <v>0.6</v>
      </c>
      <c r="AD725" s="1361"/>
      <c r="AE725" s="1361"/>
      <c r="AF725" s="1361"/>
      <c r="AG725" s="1362"/>
      <c r="AH725" s="1356">
        <f t="shared" si="36"/>
        <v>0.6</v>
      </c>
      <c r="AI725" s="1357"/>
      <c r="AJ725" s="1358"/>
      <c r="AK725" s="1337" t="s">
        <v>591</v>
      </c>
      <c r="AL725" s="1338"/>
      <c r="AM725" s="1338"/>
      <c r="AN725" s="1338"/>
      <c r="AO725" s="1339"/>
      <c r="AP725" s="3"/>
      <c r="AQ725" s="3"/>
      <c r="AR725" s="3"/>
      <c r="AS725" s="3"/>
      <c r="AY725" s="1085"/>
      <c r="AZ725" s="118">
        <f t="shared" si="9"/>
        <v>4300</v>
      </c>
      <c r="BA725" s="3"/>
      <c r="BB725" s="3"/>
      <c r="BC725" s="3"/>
      <c r="BD725" s="3"/>
      <c r="BE725" s="204"/>
      <c r="BF725" s="294">
        <f t="shared" si="10"/>
        <v>4</v>
      </c>
      <c r="BG725" s="297">
        <f t="shared" si="11"/>
        <v>2.030456852791878E-2</v>
      </c>
      <c r="BH725" s="298">
        <f t="shared" si="12"/>
        <v>1.2182741116751267E-2</v>
      </c>
      <c r="BI725" s="3"/>
      <c r="BJ725" s="3"/>
      <c r="BK725" s="3"/>
      <c r="BL725" s="3"/>
      <c r="BM725" s="3"/>
      <c r="BN725" s="3"/>
      <c r="BS725" s="294">
        <f t="shared" si="13"/>
        <v>4</v>
      </c>
      <c r="BT725" s="297">
        <f t="shared" si="14"/>
        <v>2.030456852791878E-2</v>
      </c>
      <c r="BU725" s="298">
        <f t="shared" si="15"/>
        <v>1.2182741116751267E-2</v>
      </c>
      <c r="BV725" s="292"/>
      <c r="BW725" s="3"/>
      <c r="BX725" s="3"/>
      <c r="BY725" s="3"/>
      <c r="BZ725" s="3"/>
      <c r="CA725" s="3"/>
      <c r="CB725" s="3"/>
      <c r="CC725" s="3"/>
      <c r="CE725" s="3"/>
      <c r="CF725" s="3"/>
      <c r="CG725" s="1463">
        <f t="shared" si="37"/>
        <v>0</v>
      </c>
      <c r="CH725" s="1464"/>
      <c r="CI725" s="1469">
        <f t="shared" si="38"/>
        <v>0</v>
      </c>
      <c r="CJ725" s="1470"/>
      <c r="CK725" s="1463">
        <f t="shared" si="16"/>
        <v>0</v>
      </c>
      <c r="CL725" s="1464"/>
      <c r="CM725" s="1469">
        <f t="shared" si="17"/>
        <v>0</v>
      </c>
      <c r="CN725" s="1470"/>
      <c r="CO725" s="3"/>
      <c r="CP725" s="1458">
        <f t="shared" si="18"/>
        <v>0</v>
      </c>
      <c r="CQ725" s="1459"/>
      <c r="CR725" s="1459"/>
      <c r="CS725" s="1459"/>
      <c r="CT725" s="1460"/>
      <c r="CU725" s="1443">
        <f t="shared" si="19"/>
        <v>0</v>
      </c>
      <c r="CV725" s="1443"/>
      <c r="CW725" s="1443"/>
      <c r="CX725" s="1443"/>
      <c r="CY725" s="1443"/>
      <c r="CZ725" s="1443">
        <f t="shared" si="20"/>
        <v>0</v>
      </c>
      <c r="DA725" s="1443"/>
      <c r="DB725" s="1443"/>
      <c r="DC725" s="1443"/>
      <c r="DD725" s="1443"/>
      <c r="DE725" s="1443">
        <f t="shared" si="21"/>
        <v>4</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t="str">
        <f t="shared" si="31"/>
        <v/>
      </c>
      <c r="FF725" s="1465"/>
      <c r="FG725" s="1465"/>
      <c r="FH725" s="1465"/>
      <c r="FI725" s="1464"/>
      <c r="FJ725" s="1463" t="str">
        <f t="shared" si="32"/>
        <v/>
      </c>
      <c r="FK725" s="1465"/>
      <c r="FL725" s="1465"/>
      <c r="FM725" s="1465"/>
      <c r="FN725" s="1464"/>
      <c r="FO725" s="1463">
        <f t="shared" si="33"/>
        <v>2402</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7" t="s">
        <v>164</v>
      </c>
      <c r="C726" s="1338"/>
      <c r="D726" s="1338"/>
      <c r="E726" s="1338"/>
      <c r="F726" s="1339"/>
      <c r="G726" s="1350">
        <v>58</v>
      </c>
      <c r="H726" s="1351"/>
      <c r="I726" s="1351"/>
      <c r="J726" s="1352"/>
      <c r="K726" s="1343">
        <v>1026</v>
      </c>
      <c r="L726" s="1344"/>
      <c r="M726" s="1344"/>
      <c r="N726" s="1345"/>
      <c r="O726" s="1340">
        <v>3150</v>
      </c>
      <c r="P726" s="1341"/>
      <c r="Q726" s="1341"/>
      <c r="R726" s="1341"/>
      <c r="S726" s="1342"/>
      <c r="T726" s="1340">
        <v>178</v>
      </c>
      <c r="U726" s="1341"/>
      <c r="V726" s="1341"/>
      <c r="W726" s="1342"/>
      <c r="X726" s="1353">
        <f t="shared" si="8"/>
        <v>3328</v>
      </c>
      <c r="Y726" s="1354"/>
      <c r="Z726" s="1354"/>
      <c r="AA726" s="1354"/>
      <c r="AB726" s="1355"/>
      <c r="AC726" s="1360">
        <v>0.8</v>
      </c>
      <c r="AD726" s="1361"/>
      <c r="AE726" s="1361"/>
      <c r="AF726" s="1361"/>
      <c r="AG726" s="1362"/>
      <c r="AH726" s="1356">
        <f t="shared" si="36"/>
        <v>0.77395348837209299</v>
      </c>
      <c r="AI726" s="1357"/>
      <c r="AJ726" s="1358"/>
      <c r="AK726" s="1337" t="s">
        <v>591</v>
      </c>
      <c r="AL726" s="1338"/>
      <c r="AM726" s="1338"/>
      <c r="AN726" s="1338"/>
      <c r="AO726" s="1339"/>
      <c r="AP726" s="3"/>
      <c r="AQ726" s="3"/>
      <c r="AR726" s="3"/>
      <c r="AS726" s="3"/>
      <c r="AY726" s="1085"/>
      <c r="AZ726" s="118">
        <f t="shared" si="9"/>
        <v>4300</v>
      </c>
      <c r="BA726" s="3"/>
      <c r="BB726" s="3"/>
      <c r="BC726" s="3"/>
      <c r="BD726" s="3"/>
      <c r="BE726" s="204"/>
      <c r="BF726" s="294">
        <f t="shared" si="10"/>
        <v>58</v>
      </c>
      <c r="BG726" s="297">
        <f t="shared" si="11"/>
        <v>0.29441624365482233</v>
      </c>
      <c r="BH726" s="298">
        <f t="shared" si="12"/>
        <v>0.23553299492385787</v>
      </c>
      <c r="BI726" s="3"/>
      <c r="BJ726" s="3"/>
      <c r="BK726" s="3"/>
      <c r="BL726" s="3"/>
      <c r="BM726" s="3"/>
      <c r="BN726" s="3"/>
      <c r="BS726" s="294">
        <f t="shared" si="13"/>
        <v>58</v>
      </c>
      <c r="BT726" s="297">
        <f t="shared" si="14"/>
        <v>0.29441624365482233</v>
      </c>
      <c r="BU726" s="298">
        <f t="shared" si="15"/>
        <v>0.22786447881005784</v>
      </c>
      <c r="BV726" s="3"/>
      <c r="BW726" s="3"/>
      <c r="BX726" s="3"/>
      <c r="BY726" s="3"/>
      <c r="BZ726" s="3"/>
      <c r="CA726" s="3"/>
      <c r="CB726" s="3"/>
      <c r="CC726" s="3"/>
      <c r="CE726" s="3"/>
      <c r="CF726" s="3"/>
      <c r="CG726" s="1463">
        <f t="shared" si="37"/>
        <v>0</v>
      </c>
      <c r="CH726" s="1464"/>
      <c r="CI726" s="1469">
        <f t="shared" si="38"/>
        <v>0</v>
      </c>
      <c r="CJ726" s="1470"/>
      <c r="CK726" s="1463">
        <f t="shared" si="16"/>
        <v>0</v>
      </c>
      <c r="CL726" s="1464"/>
      <c r="CM726" s="1469">
        <f t="shared" si="17"/>
        <v>0</v>
      </c>
      <c r="CN726" s="1470"/>
      <c r="CO726" s="3"/>
      <c r="CP726" s="1458">
        <f t="shared" si="18"/>
        <v>0</v>
      </c>
      <c r="CQ726" s="1459"/>
      <c r="CR726" s="1459"/>
      <c r="CS726" s="1459"/>
      <c r="CT726" s="1460"/>
      <c r="CU726" s="1443">
        <f t="shared" si="19"/>
        <v>0</v>
      </c>
      <c r="CV726" s="1443"/>
      <c r="CW726" s="1443"/>
      <c r="CX726" s="1443"/>
      <c r="CY726" s="1443"/>
      <c r="CZ726" s="1443">
        <f t="shared" si="20"/>
        <v>0</v>
      </c>
      <c r="DA726" s="1443"/>
      <c r="DB726" s="1443"/>
      <c r="DC726" s="1443"/>
      <c r="DD726" s="1443"/>
      <c r="DE726" s="1443">
        <f t="shared" si="21"/>
        <v>58</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t="str">
        <f t="shared" si="32"/>
        <v/>
      </c>
      <c r="FK726" s="1465"/>
      <c r="FL726" s="1465"/>
      <c r="FM726" s="1465"/>
      <c r="FN726" s="1464"/>
      <c r="FO726" s="1463">
        <f t="shared" si="33"/>
        <v>3150</v>
      </c>
      <c r="FP726" s="1465"/>
      <c r="FQ726" s="1465"/>
      <c r="FR726" s="1465"/>
      <c r="FS726" s="1464"/>
      <c r="FT726" s="1463" t="str">
        <f t="shared" si="34"/>
        <v/>
      </c>
      <c r="FU726" s="1465"/>
      <c r="FV726" s="1465"/>
      <c r="FW726" s="1465"/>
      <c r="FX726" s="1464"/>
      <c r="FY726" s="1463" t="str">
        <f t="shared" si="35"/>
        <v/>
      </c>
      <c r="FZ726" s="1465"/>
      <c r="GA726" s="1465"/>
      <c r="GB726" s="1465"/>
      <c r="GC726" s="1464"/>
    </row>
    <row r="727" spans="1:185" ht="12.95"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t="s">
        <v>591</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3">
        <f t="shared" si="37"/>
        <v>0</v>
      </c>
      <c r="CH727" s="1464"/>
      <c r="CI727" s="1469">
        <f t="shared" si="38"/>
        <v>0</v>
      </c>
      <c r="CJ727" s="1470"/>
      <c r="CK727" s="1463">
        <f t="shared" si="16"/>
        <v>0</v>
      </c>
      <c r="CL727" s="1464"/>
      <c r="CM727" s="1469">
        <f t="shared" si="17"/>
        <v>0</v>
      </c>
      <c r="CN727" s="1470"/>
      <c r="CO727" s="3"/>
      <c r="CP727" s="1458">
        <f t="shared" si="18"/>
        <v>0</v>
      </c>
      <c r="CQ727" s="1459"/>
      <c r="CR727" s="1459"/>
      <c r="CS727" s="1459"/>
      <c r="CT727" s="1460"/>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t="str">
        <f t="shared" si="32"/>
        <v/>
      </c>
      <c r="FK727" s="1465"/>
      <c r="FL727" s="1465"/>
      <c r="FM727" s="1465"/>
      <c r="FN727" s="1464"/>
      <c r="FO727" s="1463" t="str">
        <f t="shared" si="33"/>
        <v/>
      </c>
      <c r="FP727" s="1465"/>
      <c r="FQ727" s="1465"/>
      <c r="FR727" s="1465"/>
      <c r="FS727" s="1464"/>
      <c r="FT727" s="1463" t="str">
        <f t="shared" si="34"/>
        <v/>
      </c>
      <c r="FU727" s="1465"/>
      <c r="FV727" s="1465"/>
      <c r="FW727" s="1465"/>
      <c r="FX727" s="1464"/>
      <c r="FY727" s="1463" t="str">
        <f t="shared" si="35"/>
        <v/>
      </c>
      <c r="FZ727" s="1465"/>
      <c r="GA727" s="1465"/>
      <c r="GB727" s="1465"/>
      <c r="GC727" s="1464"/>
    </row>
    <row r="728" spans="1:185" ht="12.95"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t="s">
        <v>591</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3">
        <f t="shared" si="37"/>
        <v>0</v>
      </c>
      <c r="CH728" s="1464"/>
      <c r="CI728" s="1469">
        <f t="shared" si="38"/>
        <v>0</v>
      </c>
      <c r="CJ728" s="1470"/>
      <c r="CK728" s="1463">
        <f t="shared" si="16"/>
        <v>0</v>
      </c>
      <c r="CL728" s="1464"/>
      <c r="CM728" s="1469">
        <f t="shared" si="17"/>
        <v>0</v>
      </c>
      <c r="CN728" s="1470"/>
      <c r="CO728" s="3"/>
      <c r="CP728" s="1458">
        <f t="shared" si="18"/>
        <v>0</v>
      </c>
      <c r="CQ728" s="1459"/>
      <c r="CR728" s="1459"/>
      <c r="CS728" s="1459"/>
      <c r="CT728" s="1460"/>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t="str">
        <f t="shared" si="32"/>
        <v/>
      </c>
      <c r="FK728" s="1465"/>
      <c r="FL728" s="1465"/>
      <c r="FM728" s="1465"/>
      <c r="FN728" s="1464"/>
      <c r="FO728" s="1463" t="str">
        <f t="shared" si="33"/>
        <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t="s">
        <v>591</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3">
        <f t="shared" si="37"/>
        <v>0</v>
      </c>
      <c r="CH729" s="1464"/>
      <c r="CI729" s="1469">
        <f t="shared" si="38"/>
        <v>0</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t="str">
        <f t="shared" si="32"/>
        <v/>
      </c>
      <c r="FK729" s="1465"/>
      <c r="FL729" s="1465"/>
      <c r="FM729" s="1465"/>
      <c r="FN729" s="1464"/>
      <c r="FO729" s="1463" t="str">
        <f t="shared" si="33"/>
        <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t="s">
        <v>591</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3">
        <f t="shared" si="37"/>
        <v>0</v>
      </c>
      <c r="CH730" s="1464"/>
      <c r="CI730" s="1469">
        <f t="shared" si="38"/>
        <v>0</v>
      </c>
      <c r="CJ730" s="1470"/>
      <c r="CK730" s="1463">
        <f t="shared" si="16"/>
        <v>0</v>
      </c>
      <c r="CL730" s="1464"/>
      <c r="CM730" s="1469">
        <f t="shared" si="17"/>
        <v>0</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t="str">
        <f t="shared" si="33"/>
        <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t="s">
        <v>591</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3">
        <f t="shared" si="37"/>
        <v>0</v>
      </c>
      <c r="CH731" s="1464"/>
      <c r="CI731" s="1469">
        <f t="shared" si="38"/>
        <v>0</v>
      </c>
      <c r="CJ731" s="1470"/>
      <c r="CK731" s="1463">
        <f t="shared" si="16"/>
        <v>0</v>
      </c>
      <c r="CL731" s="1464"/>
      <c r="CM731" s="1469">
        <f t="shared" si="17"/>
        <v>0</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t="str">
        <f t="shared" si="33"/>
        <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3">
        <f t="shared" si="37"/>
        <v>0</v>
      </c>
      <c r="CH732" s="1464"/>
      <c r="CI732" s="1469">
        <f t="shared" si="38"/>
        <v>0</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t="str">
        <f t="shared" si="33"/>
        <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t="str">
        <f t="shared" si="33"/>
        <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1">
        <f>SUM(G718:G752)</f>
        <v>197</v>
      </c>
      <c r="H753" s="1622"/>
      <c r="I753" s="1622"/>
      <c r="J753" s="1623"/>
      <c r="K753" s="902" t="s">
        <v>124</v>
      </c>
      <c r="L753" s="5"/>
      <c r="M753" s="5"/>
      <c r="N753" s="46"/>
      <c r="O753" s="1353">
        <f>SUMPRODUCT(G718:G752,O718:O752)</f>
        <v>421353</v>
      </c>
      <c r="P753" s="1354"/>
      <c r="Q753" s="1354"/>
      <c r="R753" s="1354"/>
      <c r="S753" s="1355"/>
      <c r="T753"/>
      <c r="U753"/>
      <c r="V753"/>
      <c r="W753"/>
      <c r="X753" s="904" t="s">
        <v>900</v>
      </c>
      <c r="Y753" s="903"/>
      <c r="Z753" s="903"/>
      <c r="AA753" s="903"/>
      <c r="AB753" s="905"/>
      <c r="AC753" s="1604">
        <f>BH753</f>
        <v>0.60000000000000009</v>
      </c>
      <c r="AD753" s="1605"/>
      <c r="AE753" s="1605"/>
      <c r="AF753" s="1605"/>
      <c r="AG753" s="1606"/>
      <c r="AH753" s="1604">
        <f>IFERROR(BU753,"")</f>
        <v>0.59235357778801034</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197</v>
      </c>
      <c r="BG753" s="300">
        <f>SUM(BG718:BG752)</f>
        <v>1</v>
      </c>
      <c r="BH753" s="300">
        <f>SUM(BH718:BH752)</f>
        <v>0.60000000000000009</v>
      </c>
      <c r="BI753"/>
      <c r="BJ753"/>
      <c r="BK753"/>
      <c r="BL753"/>
      <c r="BO753"/>
      <c r="BP753"/>
      <c r="BQ753"/>
      <c r="BR753"/>
      <c r="BS753" s="859">
        <f>SUM(BS718:BS752)</f>
        <v>197</v>
      </c>
      <c r="BT753" s="300">
        <f>SUM(BT718:BT752)</f>
        <v>1</v>
      </c>
      <c r="BU753" s="300">
        <f>SUM(BU718:BU752)</f>
        <v>0.59235357778801034</v>
      </c>
      <c r="CI753" s="1463">
        <f>SUM(CI718:CJ752)</f>
        <v>11</v>
      </c>
      <c r="CJ753" s="1464"/>
      <c r="CM753" s="1463">
        <f>SUM(CM718:CN752)</f>
        <v>50</v>
      </c>
      <c r="CN753" s="1464"/>
      <c r="CP753" s="1463">
        <f>SUM(CP718:CT752)</f>
        <v>0</v>
      </c>
      <c r="CQ753" s="1465"/>
      <c r="CR753" s="1465"/>
      <c r="CS753" s="1465"/>
      <c r="CT753" s="1464"/>
      <c r="CU753" s="1461">
        <f>SUM(CU718:CY752)</f>
        <v>48</v>
      </c>
      <c r="CV753" s="1461"/>
      <c r="CW753" s="1461"/>
      <c r="CX753" s="1461"/>
      <c r="CY753" s="1461"/>
      <c r="CZ753" s="1461">
        <f>SUM(CZ718:DD752)</f>
        <v>57</v>
      </c>
      <c r="DA753" s="1461"/>
      <c r="DB753" s="1461"/>
      <c r="DC753" s="1461"/>
      <c r="DD753" s="1461"/>
      <c r="DE753" s="1461">
        <f>SUM(DE718:DI752)</f>
        <v>92</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5</v>
      </c>
      <c r="EA753" s="1461"/>
      <c r="EB753" s="1461"/>
      <c r="EC753" s="1461"/>
      <c r="ED753" s="1461"/>
      <c r="EE753" s="1461">
        <f>SUM(EE718:EI752)</f>
        <v>15</v>
      </c>
      <c r="EF753" s="1461"/>
      <c r="EG753" s="1461"/>
      <c r="EH753" s="1461"/>
      <c r="EI753" s="1461"/>
      <c r="EJ753" s="1461">
        <f>SUM(EJ718:EN752)</f>
        <v>30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5796</v>
      </c>
      <c r="FF753" s="1461"/>
      <c r="FG753" s="1461"/>
      <c r="FH753" s="1461"/>
      <c r="FI753" s="1461"/>
      <c r="FJ753" s="1461">
        <f>SUM(FJ718:FN752)</f>
        <v>3448</v>
      </c>
      <c r="FK753" s="1461"/>
      <c r="FL753" s="1461"/>
      <c r="FM753" s="1461"/>
      <c r="FN753" s="1461"/>
      <c r="FO753" s="1461">
        <f>SUM(FO718:FS752)</f>
        <v>6664</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1893</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1860</v>
      </c>
      <c r="DO754" s="1463">
        <f>CP753+CU753+CZ753+DE753+DJ753+DO753</f>
        <v>197</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48</v>
      </c>
      <c r="CZ755" s="3"/>
      <c r="DA755" s="3"/>
      <c r="DB755" s="3"/>
      <c r="DC755" s="3"/>
      <c r="DD755" s="861">
        <f>CZ753*2</f>
        <v>114</v>
      </c>
      <c r="DE755" s="3"/>
      <c r="DF755" s="3"/>
      <c r="DG755" s="3"/>
      <c r="DH755" s="3"/>
      <c r="DI755" s="861">
        <f>DE753*3</f>
        <v>276</v>
      </c>
      <c r="DJ755" s="3"/>
      <c r="DK755" s="3"/>
      <c r="DL755" s="3"/>
      <c r="DM755" s="3"/>
      <c r="DN755" s="861">
        <f>DJ753*4</f>
        <v>0</v>
      </c>
      <c r="DO755" s="3"/>
      <c r="DP755" s="3"/>
      <c r="DQ755" s="3"/>
      <c r="DR755" s="3"/>
      <c r="DS755" s="861">
        <f>DO753*5</f>
        <v>0</v>
      </c>
      <c r="DU755" s="861">
        <f>CT755+CY755+DD755+DI755+DN755+DS755</f>
        <v>438</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461">
        <f>DU755</f>
        <v>438</v>
      </c>
      <c r="P756" s="1461"/>
      <c r="Q756" s="1461"/>
      <c r="R756" s="1461"/>
      <c r="S756" s="969"/>
      <c r="T756" s="969"/>
      <c r="U756" s="118" t="s">
        <v>1892</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388</v>
      </c>
      <c r="K769" s="1364"/>
      <c r="L769" s="1364"/>
      <c r="M769" s="1364"/>
      <c r="N769" s="1365"/>
      <c r="O769" s="1619" t="s">
        <v>284</v>
      </c>
      <c r="P769" s="1619"/>
      <c r="Q769" s="1619"/>
      <c r="R769" s="1619"/>
      <c r="S769" s="1619"/>
      <c r="T769" s="1719" t="s">
        <v>1679</v>
      </c>
      <c r="U769" s="1720"/>
      <c r="V769" s="1720"/>
      <c r="W769" s="1721"/>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3">
        <v>2</v>
      </c>
      <c r="P773" s="1613"/>
      <c r="Q773" s="1613"/>
      <c r="R773" s="1613"/>
      <c r="S773" s="1613"/>
      <c r="T773" s="1343">
        <v>701</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2</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388</v>
      </c>
      <c r="K783" s="1364"/>
      <c r="L783" s="1364"/>
      <c r="M783" s="1364"/>
      <c r="N783" s="1365"/>
      <c r="O783" s="1619" t="s">
        <v>284</v>
      </c>
      <c r="P783" s="1619"/>
      <c r="Q783" s="1619"/>
      <c r="R783" s="1619"/>
      <c r="S783" s="1619"/>
      <c r="T783" s="1719" t="s">
        <v>1679</v>
      </c>
      <c r="U783" s="1720"/>
      <c r="V783" s="1720"/>
      <c r="W783" s="1721"/>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421353</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5056236</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48</v>
      </c>
      <c r="CV802" s="1473"/>
      <c r="CW802" s="1473"/>
      <c r="CX802" s="1473"/>
      <c r="CY802" s="1474"/>
      <c r="CZ802" s="1472">
        <f>CZ753+CZ777+CZ797</f>
        <v>59</v>
      </c>
      <c r="DA802" s="1473"/>
      <c r="DB802" s="1473"/>
      <c r="DC802" s="1473"/>
      <c r="DD802" s="1474"/>
      <c r="DE802" s="1472">
        <f>DE753+DE777+DE797</f>
        <v>92</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438</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v>61</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t="s">
        <v>2729</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1928160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50000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v>9750</v>
      </c>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333</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59750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7044146</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2"/>
      <c r="N825" s="1642"/>
      <c r="O825" s="1642"/>
      <c r="P825" s="1642"/>
      <c r="Q825" s="1642">
        <v>34</v>
      </c>
      <c r="R825" s="1642"/>
      <c r="S825" s="1642"/>
      <c r="T825" s="1642"/>
      <c r="U825" s="1642">
        <v>43</v>
      </c>
      <c r="V825" s="1642"/>
      <c r="W825" s="1642"/>
      <c r="X825" s="1642"/>
      <c r="Y825" s="1642">
        <v>52</v>
      </c>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v>14</v>
      </c>
      <c r="R827" s="1642"/>
      <c r="S827" s="1642"/>
      <c r="T827" s="1642"/>
      <c r="U827" s="1642">
        <v>20</v>
      </c>
      <c r="V827" s="1642"/>
      <c r="W827" s="1642"/>
      <c r="X827" s="1642"/>
      <c r="Y827" s="1642">
        <v>31</v>
      </c>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459</v>
      </c>
      <c r="D829" s="1626"/>
      <c r="E829" s="1626"/>
      <c r="F829" s="1626"/>
      <c r="G829" s="1626"/>
      <c r="H829" s="1626"/>
      <c r="I829" s="60"/>
      <c r="J829" s="60"/>
      <c r="K829" s="60"/>
      <c r="L829" s="61"/>
      <c r="M829" s="1642"/>
      <c r="N829" s="1642"/>
      <c r="O829" s="1642"/>
      <c r="P829" s="1642"/>
      <c r="Q829" s="1642">
        <v>53</v>
      </c>
      <c r="R829" s="1642"/>
      <c r="S829" s="1642"/>
      <c r="T829" s="1642"/>
      <c r="U829" s="1642">
        <v>74</v>
      </c>
      <c r="V829" s="1642"/>
      <c r="W829" s="1642"/>
      <c r="X829" s="1642"/>
      <c r="Y829" s="1642">
        <v>95</v>
      </c>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3" t="s">
        <v>333</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101</v>
      </c>
      <c r="R832" s="1636"/>
      <c r="S832" s="1636"/>
      <c r="T832" s="1636"/>
      <c r="U832" s="1636">
        <f>SUM(U825:X831)</f>
        <v>137</v>
      </c>
      <c r="V832" s="1636"/>
      <c r="W832" s="1636"/>
      <c r="X832" s="1636"/>
      <c r="Y832" s="1636">
        <f>SUM(Y825:AB831)</f>
        <v>178</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2721</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1">
        <v>5000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1">
        <v>10000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1">
        <v>12500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1">
        <v>50000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169</v>
      </c>
      <c r="K846" s="5"/>
      <c r="L846" s="5"/>
      <c r="M846" s="1593" t="s">
        <v>333</v>
      </c>
      <c r="N846" s="1594"/>
      <c r="O846" s="1594"/>
      <c r="P846" s="1594"/>
      <c r="Q846" s="1594"/>
      <c r="R846" s="1594"/>
      <c r="S846" s="1594"/>
      <c r="T846" s="1594"/>
      <c r="U846" s="1594"/>
      <c r="V846" s="1595"/>
      <c r="W846" s="1481"/>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5">
        <f>SUM(W842:W846)</f>
        <v>77500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343</v>
      </c>
      <c r="J849" s="1449" t="s">
        <v>344</v>
      </c>
      <c r="K849" s="1450"/>
      <c r="L849" s="1450"/>
      <c r="M849" s="1450"/>
      <c r="N849" s="1450"/>
      <c r="O849" s="1450"/>
      <c r="P849" s="1450"/>
      <c r="Q849" s="1450"/>
      <c r="R849" s="1450"/>
      <c r="S849" s="1450"/>
      <c r="T849" s="1450"/>
      <c r="U849" s="1450"/>
      <c r="V849" s="1451"/>
      <c r="W849" s="1466">
        <v>141840</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2.9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212500</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v>165000</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271</v>
      </c>
      <c r="W855" s="1705">
        <f>SUM(W851:W854)</f>
        <v>377500</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0">
        <v>211295</v>
      </c>
      <c r="X857" s="1631"/>
      <c r="Y857" s="1631"/>
      <c r="Z857" s="1631"/>
      <c r="AA857" s="1631"/>
      <c r="AB857" s="1631"/>
      <c r="AC857" s="1632"/>
      <c r="AD857" s="528"/>
      <c r="AZ857" s="34"/>
      <c r="BA857" s="34"/>
      <c r="BB857" s="34"/>
      <c r="BC857" s="34"/>
    </row>
    <row r="858" spans="3:55" ht="12.95" customHeight="1">
      <c r="C858" s="2" t="s">
        <v>346</v>
      </c>
      <c r="J858" s="121" t="s">
        <v>1655</v>
      </c>
      <c r="K858" s="5"/>
      <c r="L858" s="5"/>
      <c r="M858" s="5"/>
      <c r="N858" s="5"/>
      <c r="O858" s="5"/>
      <c r="P858" s="5"/>
      <c r="Q858" s="5"/>
      <c r="R858" s="5"/>
      <c r="S858" s="5"/>
      <c r="T858" s="1709">
        <v>2</v>
      </c>
      <c r="U858" s="1696"/>
      <c r="V858" s="1710"/>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0">
        <v>65000</v>
      </c>
      <c r="X859" s="1631"/>
      <c r="Y859" s="1631"/>
      <c r="Z859" s="1631"/>
      <c r="AA859" s="1631"/>
      <c r="AB859" s="1631"/>
      <c r="AC859" s="1632"/>
      <c r="AD859" s="533"/>
      <c r="AZ859" s="34"/>
      <c r="BA859" s="34"/>
      <c r="BB859" s="34"/>
      <c r="BC859" s="34"/>
    </row>
    <row r="860" spans="3:55" ht="12.95" customHeight="1">
      <c r="C860" s="2"/>
      <c r="J860" s="121" t="s">
        <v>1656</v>
      </c>
      <c r="K860" s="5"/>
      <c r="L860" s="5"/>
      <c r="M860" s="5"/>
      <c r="N860" s="5"/>
      <c r="O860" s="5"/>
      <c r="P860" s="5"/>
      <c r="Q860" s="5"/>
      <c r="R860" s="5"/>
      <c r="S860" s="5"/>
      <c r="T860" s="1709">
        <v>2</v>
      </c>
      <c r="U860" s="1696"/>
      <c r="V860" s="1710"/>
      <c r="W860" s="874"/>
      <c r="X860" s="875"/>
      <c r="Y860" s="875"/>
      <c r="Z860" s="875"/>
      <c r="AA860" s="875"/>
      <c r="AB860" s="875"/>
      <c r="AC860" s="876"/>
      <c r="AD860" s="533"/>
      <c r="AZ860" s="34"/>
      <c r="BA860" s="34"/>
      <c r="BB860" s="34"/>
      <c r="BC860" s="34"/>
    </row>
    <row r="861" spans="3:55" ht="12.95" customHeight="1">
      <c r="J861" s="45" t="s">
        <v>169</v>
      </c>
      <c r="K861" s="5"/>
      <c r="L861" s="5"/>
      <c r="M861" s="1593" t="s">
        <v>2730</v>
      </c>
      <c r="N861" s="1594"/>
      <c r="O861" s="1594"/>
      <c r="P861" s="1594"/>
      <c r="Q861" s="1594"/>
      <c r="R861" s="1594"/>
      <c r="S861" s="1594"/>
      <c r="T861" s="1594"/>
      <c r="U861" s="1594"/>
      <c r="V861" s="1595"/>
      <c r="W861" s="1630">
        <v>27850</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1">
        <f>SUM(W857:W861)</f>
        <v>304145</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0">
        <v>175000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1">
        <v>3500</v>
      </c>
      <c r="X865" s="1481"/>
      <c r="Y865" s="1481"/>
      <c r="Z865" s="1481"/>
      <c r="AA865" s="1481"/>
      <c r="AB865" s="1481"/>
      <c r="AC865" s="1481"/>
      <c r="AU865" s="14"/>
      <c r="AZ865" s="34"/>
      <c r="BA865" s="34"/>
      <c r="BB865" s="34"/>
      <c r="BC865" s="34"/>
    </row>
    <row r="866" spans="3:55" ht="12.95" customHeight="1">
      <c r="J866" s="45" t="s">
        <v>522</v>
      </c>
      <c r="K866" s="5"/>
      <c r="L866" s="5"/>
      <c r="M866" s="5"/>
      <c r="N866" s="5"/>
      <c r="O866" s="5"/>
      <c r="P866" s="5"/>
      <c r="Q866" s="5"/>
      <c r="R866" s="5"/>
      <c r="S866" s="5"/>
      <c r="T866" s="5"/>
      <c r="U866" s="5"/>
      <c r="V866" s="46"/>
      <c r="W866" s="1481">
        <v>58080</v>
      </c>
      <c r="X866" s="1481"/>
      <c r="Y866" s="1481"/>
      <c r="Z866" s="1481"/>
      <c r="AA866" s="1481"/>
      <c r="AB866" s="1481"/>
      <c r="AC866" s="1481"/>
      <c r="AU866" s="4"/>
      <c r="AZ866" s="34"/>
      <c r="BA866" s="34"/>
      <c r="BB866" s="34"/>
      <c r="BC866" s="34"/>
    </row>
    <row r="867" spans="3:55" ht="12.95" customHeight="1">
      <c r="J867" s="45" t="s">
        <v>521</v>
      </c>
      <c r="K867" s="5"/>
      <c r="L867" s="5"/>
      <c r="M867" s="5"/>
      <c r="N867" s="5"/>
      <c r="O867" s="5"/>
      <c r="P867" s="5"/>
      <c r="Q867" s="5"/>
      <c r="R867" s="5"/>
      <c r="S867" s="5"/>
      <c r="T867" s="5"/>
      <c r="U867" s="5"/>
      <c r="V867" s="46"/>
      <c r="W867" s="1481">
        <v>30000</v>
      </c>
      <c r="X867" s="1481"/>
      <c r="Y867" s="1481"/>
      <c r="Z867" s="1481"/>
      <c r="AA867" s="1481"/>
      <c r="AB867" s="1481"/>
      <c r="AC867" s="1481"/>
      <c r="AU867" s="4"/>
      <c r="AZ867" s="34"/>
      <c r="BA867" s="34"/>
      <c r="BB867" s="34"/>
      <c r="BC867" s="34"/>
    </row>
    <row r="868" spans="3:55" ht="12.95" customHeight="1">
      <c r="J868" s="45" t="s">
        <v>520</v>
      </c>
      <c r="K868" s="5"/>
      <c r="L868" s="5"/>
      <c r="M868" s="5"/>
      <c r="N868" s="5"/>
      <c r="O868" s="5"/>
      <c r="P868" s="5"/>
      <c r="Q868" s="5"/>
      <c r="R868" s="5"/>
      <c r="S868" s="5"/>
      <c r="T868" s="5"/>
      <c r="U868" s="5"/>
      <c r="V868" s="46"/>
      <c r="W868" s="1481">
        <v>4155</v>
      </c>
      <c r="X868" s="1481"/>
      <c r="Y868" s="1481"/>
      <c r="Z868" s="1481"/>
      <c r="AA868" s="1481"/>
      <c r="AB868" s="1481"/>
      <c r="AC868" s="1481"/>
      <c r="AU868" s="4"/>
      <c r="AZ868" s="34"/>
      <c r="BA868" s="34"/>
      <c r="BB868" s="34"/>
      <c r="BC868" s="34"/>
    </row>
    <row r="869" spans="3:55" ht="12.95" customHeight="1">
      <c r="J869" s="45" t="s">
        <v>519</v>
      </c>
      <c r="K869" s="5"/>
      <c r="L869" s="5"/>
      <c r="M869" s="5"/>
      <c r="N869" s="5"/>
      <c r="O869" s="5"/>
      <c r="P869" s="5"/>
      <c r="Q869" s="5"/>
      <c r="R869" s="5"/>
      <c r="S869" s="5"/>
      <c r="T869" s="5"/>
      <c r="U869" s="5"/>
      <c r="V869" s="46"/>
      <c r="W869" s="1481">
        <v>30000</v>
      </c>
      <c r="X869" s="1481"/>
      <c r="Y869" s="1481"/>
      <c r="Z869" s="1481"/>
      <c r="AA869" s="1481"/>
      <c r="AB869" s="1481"/>
      <c r="AC869" s="1481"/>
      <c r="AU869" s="4"/>
      <c r="AZ869" s="34"/>
      <c r="BA869" s="34"/>
      <c r="BB869" s="34"/>
      <c r="BC869" s="34"/>
    </row>
    <row r="870" spans="3:55" ht="12.95" customHeight="1">
      <c r="J870" s="45" t="s">
        <v>518</v>
      </c>
      <c r="K870" s="5"/>
      <c r="L870" s="5"/>
      <c r="M870" s="5"/>
      <c r="N870" s="5"/>
      <c r="O870" s="5"/>
      <c r="P870" s="5"/>
      <c r="Q870" s="5"/>
      <c r="R870" s="5"/>
      <c r="S870" s="5"/>
      <c r="T870" s="5"/>
      <c r="U870" s="5"/>
      <c r="V870" s="46"/>
      <c r="W870" s="1481">
        <v>10500</v>
      </c>
      <c r="X870" s="1481"/>
      <c r="Y870" s="1481"/>
      <c r="Z870" s="1481"/>
      <c r="AA870" s="1481"/>
      <c r="AB870" s="1481"/>
      <c r="AC870" s="1481"/>
      <c r="AU870" s="4"/>
      <c r="AZ870" s="34"/>
      <c r="BA870" s="34"/>
      <c r="BB870" s="34"/>
      <c r="BC870" s="34"/>
    </row>
    <row r="871" spans="3:55" ht="12.95" customHeight="1">
      <c r="J871" s="45" t="s">
        <v>169</v>
      </c>
      <c r="K871" s="5"/>
      <c r="L871" s="5"/>
      <c r="M871" s="1593" t="s">
        <v>333</v>
      </c>
      <c r="N871" s="1594"/>
      <c r="O871" s="1594"/>
      <c r="P871" s="1594"/>
      <c r="Q871" s="1594"/>
      <c r="R871" s="1594"/>
      <c r="S871" s="1594"/>
      <c r="T871" s="1594"/>
      <c r="U871" s="1594"/>
      <c r="V871" s="1595"/>
      <c r="W871" s="1481"/>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3">
        <f>SUM(W865:W871)</f>
        <v>136235</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3" t="s">
        <v>333</v>
      </c>
      <c r="N874" s="1594"/>
      <c r="O874" s="1594"/>
      <c r="P874" s="1594"/>
      <c r="Q874" s="1594"/>
      <c r="R874" s="1594"/>
      <c r="S874" s="1594"/>
      <c r="T874" s="1594"/>
      <c r="U874" s="1594"/>
      <c r="V874" s="1595"/>
      <c r="W874" s="1466"/>
      <c r="X874" s="1467"/>
      <c r="Y874" s="1467"/>
      <c r="Z874" s="1467"/>
      <c r="AA874" s="1467"/>
      <c r="AB874" s="1467"/>
      <c r="AC874" s="1468"/>
      <c r="AD874" s="533"/>
      <c r="AV874" s="14"/>
      <c r="AW874" s="14"/>
      <c r="AX874" s="14"/>
      <c r="AY874" s="14"/>
      <c r="AZ874" s="34"/>
      <c r="BA874" s="34"/>
      <c r="BB874" s="34"/>
      <c r="BC874" s="34"/>
    </row>
    <row r="875" spans="3:55" ht="12.95" customHeight="1">
      <c r="C875" s="2" t="s">
        <v>1244</v>
      </c>
      <c r="J875" s="45" t="s">
        <v>169</v>
      </c>
      <c r="K875" s="5"/>
      <c r="L875" s="5"/>
      <c r="M875" s="1593" t="s">
        <v>333</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169</v>
      </c>
      <c r="K876" s="5"/>
      <c r="L876" s="5"/>
      <c r="M876" s="1593" t="s">
        <v>333</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3" t="s">
        <v>333</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3" t="s">
        <v>333</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1212220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4">
        <f>O797+O777+G753</f>
        <v>199</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6091</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v>1500000</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24360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250*199</f>
        <v>49750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12500</v>
      </c>
      <c r="AD891" s="1467"/>
      <c r="AE891" s="1467"/>
      <c r="AF891" s="1467"/>
      <c r="AG891" s="1467"/>
      <c r="AH891" s="1468"/>
      <c r="AZ891" s="34"/>
      <c r="BA891" s="34"/>
      <c r="BB891" s="34"/>
      <c r="BC891" s="34"/>
    </row>
    <row r="892" spans="3:55" ht="12.95" hidden="1" customHeight="1">
      <c r="C892" s="1449" t="s">
        <v>2232</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2.9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f>AM554</f>
        <v>34000000</v>
      </c>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545</v>
      </c>
      <c r="V919" s="1403"/>
      <c r="W919" s="1403"/>
      <c r="X919" s="1403"/>
      <c r="Y919" s="1403"/>
      <c r="Z919" s="1404"/>
      <c r="AA919" s="1408">
        <v>63000000</v>
      </c>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2192</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2193</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2194</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2195</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2196</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2197</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39" t="s">
        <v>2201</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2.95" customHeight="1">
      <c r="F937" s="1639" t="s">
        <v>2202</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2.95" customHeight="1">
      <c r="F938" s="1601" t="s">
        <v>2198</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2.95" customHeight="1">
      <c r="F939" s="1601" t="s">
        <v>2199</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2.95" customHeight="1">
      <c r="F940" s="1601" t="s">
        <v>2200</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2203</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2204</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2191</v>
      </c>
      <c r="G946" s="1602"/>
      <c r="H946" s="1603"/>
      <c r="I946" s="1593" t="s">
        <v>333</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333</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93" t="s">
        <v>2731</v>
      </c>
      <c r="J948" s="1537"/>
      <c r="K948" s="1537"/>
      <c r="L948" s="1537"/>
      <c r="M948" s="1537"/>
      <c r="N948" s="1537"/>
      <c r="O948" s="1537"/>
      <c r="P948" s="1537"/>
      <c r="Q948" s="1537"/>
      <c r="R948" s="1537"/>
      <c r="S948" s="1537"/>
      <c r="T948" s="1538"/>
      <c r="U948" s="1402" t="s">
        <v>545</v>
      </c>
      <c r="V948" s="1403"/>
      <c r="W948" s="1403"/>
      <c r="X948" s="1403"/>
      <c r="Y948" s="1403"/>
      <c r="Z948" s="1404"/>
      <c r="AA948" s="1408">
        <v>6000000</v>
      </c>
      <c r="AB948" s="1409"/>
      <c r="AC948" s="1409"/>
      <c r="AD948" s="1409"/>
      <c r="AE948" s="1409"/>
      <c r="AF948" s="1410"/>
      <c r="AV948" s="2"/>
      <c r="AW948" s="2"/>
      <c r="AX948" s="2"/>
      <c r="AY948" s="2"/>
      <c r="AZ948" s="34"/>
      <c r="BA948" s="34"/>
      <c r="BB948" s="34"/>
      <c r="BC948" s="34"/>
    </row>
    <row r="949" spans="1:55" ht="12.95" customHeight="1">
      <c r="F949" s="47" t="s">
        <v>169</v>
      </c>
      <c r="G949" s="48"/>
      <c r="H949" s="48"/>
      <c r="I949" s="1593" t="s">
        <v>2732</v>
      </c>
      <c r="J949" s="1537"/>
      <c r="K949" s="1537"/>
      <c r="L949" s="1537"/>
      <c r="M949" s="1537"/>
      <c r="N949" s="1537"/>
      <c r="O949" s="1537"/>
      <c r="P949" s="1537"/>
      <c r="Q949" s="1537"/>
      <c r="R949" s="1537"/>
      <c r="S949" s="1537"/>
      <c r="T949" s="1538"/>
      <c r="U949" s="1402" t="s">
        <v>545</v>
      </c>
      <c r="V949" s="1403"/>
      <c r="W949" s="1403"/>
      <c r="X949" s="1403"/>
      <c r="Y949" s="1403"/>
      <c r="Z949" s="1404"/>
      <c r="AA949" s="1408">
        <v>15000000</v>
      </c>
      <c r="AB949" s="1409"/>
      <c r="AC949" s="1409"/>
      <c r="AD949" s="1409"/>
      <c r="AE949" s="1409"/>
      <c r="AF949" s="1410"/>
      <c r="AU949" s="2"/>
      <c r="AZ949" s="34"/>
      <c r="BA949" s="34"/>
      <c r="BB949" s="34"/>
      <c r="BC949" s="34"/>
    </row>
    <row r="950" spans="1:55" ht="12.95" customHeight="1">
      <c r="F950" s="47" t="s">
        <v>169</v>
      </c>
      <c r="G950" s="48"/>
      <c r="H950" s="48"/>
      <c r="I950" s="1536" t="s">
        <v>333</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45678</v>
      </c>
      <c r="N955" s="1534"/>
      <c r="O955" s="1534"/>
      <c r="P955" s="1534"/>
      <c r="Q955" s="1534"/>
      <c r="R955" s="1534"/>
      <c r="S955" s="1535"/>
      <c r="U955" s="66" t="s">
        <v>11</v>
      </c>
      <c r="V955" s="5"/>
      <c r="W955" s="5"/>
      <c r="X955" s="5"/>
      <c r="Y955" s="5"/>
      <c r="Z955" s="5"/>
      <c r="AA955" s="5"/>
      <c r="AB955" s="5"/>
      <c r="AC955" s="5"/>
      <c r="AD955" s="46"/>
      <c r="AE955" s="1533">
        <v>45678</v>
      </c>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2735</v>
      </c>
      <c r="N956" s="1546"/>
      <c r="O956" s="1546"/>
      <c r="P956" s="1546"/>
      <c r="Q956" s="1546"/>
      <c r="R956" s="1546"/>
      <c r="S956" s="1547"/>
      <c r="U956" s="66" t="s">
        <v>12</v>
      </c>
      <c r="V956" s="5"/>
      <c r="W956" s="5"/>
      <c r="X956" s="5"/>
      <c r="Y956" s="5"/>
      <c r="Z956" s="5"/>
      <c r="AA956" s="5"/>
      <c r="AB956" s="5"/>
      <c r="AC956" s="5"/>
      <c r="AD956" s="46"/>
      <c r="AE956" s="1545" t="s">
        <v>2734</v>
      </c>
      <c r="AF956" s="1546"/>
      <c r="AG956" s="1546"/>
      <c r="AH956" s="1546"/>
      <c r="AI956" s="1546"/>
      <c r="AJ956" s="1546"/>
      <c r="AK956" s="1547"/>
      <c r="AZ956" s="34"/>
      <c r="BA956" s="34"/>
      <c r="BB956" s="34"/>
      <c r="BC956" s="34"/>
    </row>
    <row r="957" spans="1:55" ht="12.95" customHeight="1">
      <c r="C957" s="66" t="s">
        <v>880</v>
      </c>
      <c r="D957" s="5"/>
      <c r="E957" s="5"/>
      <c r="J957" s="1553" t="s">
        <v>2733</v>
      </c>
      <c r="K957" s="1554"/>
      <c r="L957" s="1554"/>
      <c r="M957" s="1554"/>
      <c r="N957" s="1554"/>
      <c r="O957" s="1554"/>
      <c r="P957" s="1554"/>
      <c r="Q957" s="1554"/>
      <c r="R957" s="1554"/>
      <c r="S957" s="1555"/>
      <c r="U957" s="66" t="s">
        <v>880</v>
      </c>
      <c r="V957" s="5"/>
      <c r="W957" s="5"/>
      <c r="AB957" s="1553" t="s">
        <v>2733</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f>50/197</f>
        <v>0.25380710659898476</v>
      </c>
      <c r="N958" s="1597"/>
      <c r="O958" s="1597"/>
      <c r="P958" s="1597"/>
      <c r="Q958" s="1597"/>
      <c r="R958" s="1597"/>
      <c r="S958" s="1598"/>
      <c r="U958" s="66" t="s">
        <v>13</v>
      </c>
      <c r="V958" s="5"/>
      <c r="W958" s="5"/>
      <c r="X958" s="5"/>
      <c r="Y958" s="5"/>
      <c r="Z958" s="5"/>
      <c r="AA958" s="5"/>
      <c r="AB958" s="5"/>
      <c r="AC958" s="5"/>
      <c r="AD958" s="46"/>
      <c r="AE958" s="1596">
        <f>11/197</f>
        <v>5.5837563451776651E-2</v>
      </c>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50</v>
      </c>
      <c r="N959" s="1561"/>
      <c r="O959" s="1561"/>
      <c r="P959" s="1561"/>
      <c r="Q959" s="1561"/>
      <c r="R959" s="1561"/>
      <c r="S959" s="1562"/>
      <c r="U959" s="66" t="s">
        <v>14</v>
      </c>
      <c r="V959" s="5"/>
      <c r="W959" s="5"/>
      <c r="X959" s="5"/>
      <c r="Y959" s="5"/>
      <c r="Z959" s="5"/>
      <c r="AA959" s="5"/>
      <c r="AB959" s="5"/>
      <c r="AC959" s="5"/>
      <c r="AD959" s="46"/>
      <c r="AE959" s="1560">
        <v>11</v>
      </c>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v>1703760</v>
      </c>
      <c r="N960" s="1409"/>
      <c r="O960" s="1409"/>
      <c r="P960" s="1409"/>
      <c r="Q960" s="1409"/>
      <c r="R960" s="1409"/>
      <c r="S960" s="1410"/>
      <c r="U960" s="66" t="s">
        <v>15</v>
      </c>
      <c r="V960" s="5"/>
      <c r="W960" s="5"/>
      <c r="X960" s="5"/>
      <c r="Y960" s="5"/>
      <c r="Z960" s="5"/>
      <c r="AA960" s="5"/>
      <c r="AB960" s="5"/>
      <c r="AC960" s="5"/>
      <c r="AD960" s="46"/>
      <c r="AE960" s="1408">
        <f>'Subsidy Contract Calculation'!J5*12</f>
        <v>224400</v>
      </c>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f>M960*20</f>
        <v>34075200</v>
      </c>
      <c r="N961" s="1409"/>
      <c r="O961" s="1409"/>
      <c r="P961" s="1409"/>
      <c r="Q961" s="1409"/>
      <c r="R961" s="1409"/>
      <c r="S961" s="1410"/>
      <c r="U961" s="66" t="s">
        <v>16</v>
      </c>
      <c r="V961" s="5"/>
      <c r="W961" s="5"/>
      <c r="X961" s="5"/>
      <c r="Y961" s="5"/>
      <c r="Z961" s="5"/>
      <c r="AA961" s="5"/>
      <c r="AB961" s="5"/>
      <c r="AC961" s="5"/>
      <c r="AD961" s="46"/>
      <c r="AE961" s="1408">
        <f>AE960*20</f>
        <v>4488000</v>
      </c>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v>20</v>
      </c>
      <c r="N962" s="1406"/>
      <c r="O962" s="1406"/>
      <c r="P962" s="1406"/>
      <c r="Q962" s="1406"/>
      <c r="R962" s="1406"/>
      <c r="S962" s="1407"/>
      <c r="U962" s="121" t="s">
        <v>1661</v>
      </c>
      <c r="V962" s="5"/>
      <c r="W962" s="5"/>
      <c r="X962" s="5"/>
      <c r="Y962" s="5"/>
      <c r="Z962" s="5"/>
      <c r="AA962" s="5"/>
      <c r="AB962" s="5"/>
      <c r="AC962" s="5"/>
      <c r="AD962" s="46"/>
      <c r="AE962" s="1405">
        <v>20</v>
      </c>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353173</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324</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407205</v>
      </c>
      <c r="S987" s="1552"/>
      <c r="T987" s="1552"/>
      <c r="U987" s="1552"/>
      <c r="V987" s="1552"/>
      <c r="W987" s="1552"/>
      <c r="X987" s="1552"/>
      <c r="Y987" s="1552"/>
      <c r="Z987" s="1552"/>
      <c r="AA987" s="1552"/>
      <c r="AB987" s="1390">
        <f>CU802</f>
        <v>48</v>
      </c>
      <c r="AC987" s="1391"/>
      <c r="AD987" s="1391"/>
      <c r="AE987" s="1391"/>
      <c r="AF987" s="1391"/>
      <c r="AG987" s="1391"/>
      <c r="AH987" s="1391"/>
      <c r="AI987" s="1392"/>
      <c r="AJ987" s="1488">
        <f>IF(ISERROR((R987*AB987)),0,(R987*AB987))</f>
        <v>19545840</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491200</v>
      </c>
      <c r="S988" s="1552"/>
      <c r="T988" s="1552"/>
      <c r="U988" s="1552"/>
      <c r="V988" s="1552"/>
      <c r="W988" s="1552"/>
      <c r="X988" s="1552"/>
      <c r="Y988" s="1552"/>
      <c r="Z988" s="1552"/>
      <c r="AA988" s="1552"/>
      <c r="AB988" s="1390">
        <f>CZ802</f>
        <v>59</v>
      </c>
      <c r="AC988" s="1391"/>
      <c r="AD988" s="1391"/>
      <c r="AE988" s="1391"/>
      <c r="AF988" s="1391"/>
      <c r="AG988" s="1391"/>
      <c r="AH988" s="1391"/>
      <c r="AI988" s="1392"/>
      <c r="AJ988" s="1488">
        <f>IF(ISERROR((R988*AB988)),0,(R988*AB988))</f>
        <v>28980800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628736</v>
      </c>
      <c r="S989" s="1552"/>
      <c r="T989" s="1552"/>
      <c r="U989" s="1552"/>
      <c r="V989" s="1552"/>
      <c r="W989" s="1552"/>
      <c r="X989" s="1552"/>
      <c r="Y989" s="1552"/>
      <c r="Z989" s="1552"/>
      <c r="AA989" s="1552"/>
      <c r="AB989" s="1390">
        <f>DE802</f>
        <v>92</v>
      </c>
      <c r="AC989" s="1391"/>
      <c r="AD989" s="1391"/>
      <c r="AE989" s="1391"/>
      <c r="AF989" s="1391"/>
      <c r="AG989" s="1391"/>
      <c r="AH989" s="1391"/>
      <c r="AI989" s="1392"/>
      <c r="AJ989" s="1488">
        <f>IF(ISERROR((R989*AB989)),0,(R989*AB989))</f>
        <v>57843712</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700451</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199</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106370352</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545</v>
      </c>
      <c r="AH994" s="1501"/>
      <c r="AI994" s="87"/>
      <c r="AJ994" s="1393">
        <f>ROUND(IF(AND(AG994="yes",D1000&gt;0),AJ992*0.2,0),0)</f>
        <v>21274070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2234</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2205</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t="s">
        <v>2739</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197</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0.05</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0.25</v>
      </c>
      <c r="AZ1006" s="34"/>
      <c r="BB1006" s="34"/>
    </row>
    <row r="1007" spans="1:55" ht="12.95" customHeight="1">
      <c r="A1007" s="14"/>
      <c r="B1007" s="255"/>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211</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2606</v>
      </c>
    </row>
    <row r="1013" spans="1:52" ht="12.95" customHeight="1">
      <c r="A1013" s="14"/>
      <c r="B1013" s="79"/>
      <c r="C1013" s="80" t="s">
        <v>214</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217</v>
      </c>
      <c r="D1016" s="1504" t="s">
        <v>2235</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545</v>
      </c>
      <c r="AH1016" s="1503"/>
      <c r="AI1016" s="87"/>
      <c r="AJ1016" s="1393">
        <f>IF(AG1016="yes",AJ992*AY1024,0)</f>
        <v>21274070.400000002</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222</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2605</v>
      </c>
      <c r="AY1024" s="201">
        <f>IF(SUM(AY1013:AY1023)&lt;=0.2,SUM(AY1013:AY1023),0.2)</f>
        <v>0.2</v>
      </c>
    </row>
    <row r="1025" spans="1:57" ht="12.95" customHeight="1">
      <c r="A1025" s="14"/>
      <c r="B1025" s="79"/>
      <c r="C1025" s="80" t="s">
        <v>228</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545</v>
      </c>
      <c r="AH1025" s="1503"/>
      <c r="AI1025" s="87"/>
      <c r="AJ1025" s="1393">
        <f>ROUND(IF(AG1025="Yes",AF1027,0),0)</f>
        <v>3161516</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v>3161516</v>
      </c>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233</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10637035</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545</v>
      </c>
      <c r="AH1036" s="1583"/>
      <c r="AI1036" s="83"/>
      <c r="AJ1036" s="1393">
        <f>ROUND(IF(AND(AG1036="yes",AJ1032=0),(AJ992*0.1),0),0)</f>
        <v>10637035</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0.30964467005076141</v>
      </c>
      <c r="BB1039" s="3" t="s">
        <v>2492</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545</v>
      </c>
      <c r="AH1041" s="1503"/>
      <c r="AI1041" s="87"/>
      <c r="AJ1041" s="1393">
        <f>ROUND(IF(AG1041="yes",(AJ992*0.1),0),0)</f>
        <v>10637035</v>
      </c>
      <c r="AK1041" s="1394"/>
      <c r="AL1041" s="1394"/>
      <c r="AM1041" s="1394"/>
      <c r="AN1041" s="1394"/>
      <c r="AO1041" s="1394"/>
      <c r="AP1041" s="1394"/>
      <c r="AQ1041" s="1395"/>
      <c r="AR1041" s="68"/>
      <c r="AS1041" s="68"/>
      <c r="AT1041" s="68"/>
      <c r="AU1041" s="68"/>
      <c r="AV1041" s="68"/>
      <c r="AW1041" s="68"/>
      <c r="AX1041" s="68"/>
      <c r="AY1041" s="68"/>
      <c r="BA1041">
        <f>Q212</f>
        <v>0</v>
      </c>
      <c r="BB1041" s="3" t="s">
        <v>2490</v>
      </c>
    </row>
    <row r="1042" spans="1:56" ht="12.95" customHeight="1">
      <c r="A1042" s="14"/>
      <c r="B1042" s="73"/>
      <c r="C1042" s="74"/>
      <c r="D1042" s="1507" t="s">
        <v>2144</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2491</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4" t="s">
        <v>1864</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5318517.6000000006</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16714698.299999999</v>
      </c>
      <c r="BA1046" s="1182">
        <f>IF(BA1040,20%,15%)</f>
        <v>0.15</v>
      </c>
      <c r="BB1046" s="3" t="s">
        <v>2478</v>
      </c>
      <c r="BC1046" s="3" t="s">
        <v>2479</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570">
        <f>AY1003</f>
        <v>197</v>
      </c>
      <c r="J1048" s="1571"/>
      <c r="K1048" s="7"/>
      <c r="L1048" s="133"/>
      <c r="M1048" s="133"/>
      <c r="N1048" s="133"/>
      <c r="O1048" s="133"/>
      <c r="P1048" s="133"/>
      <c r="Q1048" s="133"/>
      <c r="R1048" s="133"/>
      <c r="S1048" s="133"/>
      <c r="T1048" s="133"/>
      <c r="U1048" s="133"/>
      <c r="V1048" s="134" t="s">
        <v>973</v>
      </c>
      <c r="W1048" s="48"/>
      <c r="X1048" s="1568">
        <f>CI753</f>
        <v>11</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494" t="s">
        <v>2170</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53185176</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197</v>
      </c>
      <c r="J1052" s="1571"/>
      <c r="K1052" s="14"/>
      <c r="L1052" s="133"/>
      <c r="M1052" s="133"/>
      <c r="N1052" s="133"/>
      <c r="O1052" s="133"/>
      <c r="P1052" s="133"/>
      <c r="Q1052" s="133"/>
      <c r="R1052" s="133"/>
      <c r="S1052" s="133"/>
      <c r="T1052" s="133"/>
      <c r="U1052" s="133"/>
      <c r="V1052" s="134" t="s">
        <v>974</v>
      </c>
      <c r="X1052" s="1568">
        <f>CM753</f>
        <v>50</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242494807</v>
      </c>
      <c r="AK1053" s="1580"/>
      <c r="AL1053" s="1580"/>
      <c r="AM1053" s="1580"/>
      <c r="AN1053" s="1580"/>
      <c r="AO1053" s="1580"/>
      <c r="AP1053" s="1580"/>
      <c r="AQ1053" s="1581"/>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128146020</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16714698.299999999</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0.6192218737886066</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16714698</v>
      </c>
      <c r="BB1058" s="3" t="s">
        <v>2493</v>
      </c>
    </row>
    <row r="1059" spans="1:54" ht="12.95"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14214698</v>
      </c>
      <c r="BB1059" s="3" t="s">
        <v>2494</v>
      </c>
    </row>
    <row r="1060" spans="1:54" ht="12.95"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545</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7" workbookViewId="0">
      <selection activeCell="E80" sqref="E8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8" t="s">
        <v>621</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373</v>
      </c>
      <c r="D2" s="138" t="s">
        <v>372</v>
      </c>
      <c r="E2" s="138" t="s">
        <v>24</v>
      </c>
      <c r="F2" s="139" t="str">
        <f>Application!B627&amp;Application!C627</f>
        <v xml:space="preserve">1)Citi Permanent Loan - Tax Exempt </v>
      </c>
      <c r="G2" s="139" t="str">
        <f>Application!B628&amp;Application!C628</f>
        <v xml:space="preserve">2)City of Oceanside </v>
      </c>
      <c r="H2" s="139" t="str">
        <f>Application!B629&amp;Application!C629</f>
        <v xml:space="preserve">3)Deferred Developer Fee </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7467500</v>
      </c>
      <c r="C4" s="147">
        <v>7467500</v>
      </c>
      <c r="D4" s="147"/>
      <c r="E4" s="147">
        <f>C4</f>
        <v>7467500</v>
      </c>
      <c r="F4" s="147"/>
      <c r="G4" s="147"/>
      <c r="H4" s="147"/>
      <c r="I4" s="147"/>
      <c r="J4" s="147"/>
      <c r="K4" s="147"/>
      <c r="L4" s="147"/>
      <c r="M4" s="147"/>
      <c r="N4" s="147"/>
      <c r="O4" s="147"/>
      <c r="P4" s="147"/>
      <c r="Q4" s="147"/>
      <c r="R4" s="516">
        <f>SUM(E4:Q4)</f>
        <v>7467500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50000</v>
      </c>
      <c r="C6" s="147">
        <v>50000</v>
      </c>
      <c r="D6" s="147"/>
      <c r="E6" s="147">
        <f>C6</f>
        <v>50000</v>
      </c>
      <c r="F6" s="147"/>
      <c r="G6" s="147"/>
      <c r="H6" s="147"/>
      <c r="I6" s="147"/>
      <c r="J6" s="147"/>
      <c r="K6" s="147"/>
      <c r="L6" s="147"/>
      <c r="M6" s="147"/>
      <c r="N6" s="147"/>
      <c r="O6" s="147"/>
      <c r="P6" s="147"/>
      <c r="Q6" s="147"/>
      <c r="R6" s="516">
        <f>SUM(E6:Q6)</f>
        <v>50000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7517500</v>
      </c>
      <c r="C8" s="146">
        <f t="shared" ref="C8:Q8" si="0">SUM(C4:C7)</f>
        <v>7517500</v>
      </c>
      <c r="D8" s="146">
        <f t="shared" si="0"/>
        <v>0</v>
      </c>
      <c r="E8" s="146">
        <f t="shared" si="0"/>
        <v>7517500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7517500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7517500</v>
      </c>
      <c r="C12" s="146">
        <f t="shared" si="2"/>
        <v>7517500</v>
      </c>
      <c r="D12" s="146">
        <f t="shared" si="2"/>
        <v>0</v>
      </c>
      <c r="E12" s="146">
        <f t="shared" si="2"/>
        <v>7517500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7517500</v>
      </c>
      <c r="S12" s="148"/>
      <c r="T12" s="148"/>
      <c r="U12" s="143"/>
    </row>
    <row r="13" spans="1:21" s="144" customFormat="1">
      <c r="A13" s="287" t="s">
        <v>902</v>
      </c>
      <c r="B13" s="146">
        <f>SUM(C13+D13)</f>
        <v>563600</v>
      </c>
      <c r="C13" s="147">
        <f>35000+100583+381017+47000</f>
        <v>563600</v>
      </c>
      <c r="D13" s="147"/>
      <c r="E13" s="147">
        <f>C13</f>
        <v>563600</v>
      </c>
      <c r="F13" s="147"/>
      <c r="G13" s="147"/>
      <c r="H13" s="147"/>
      <c r="I13" s="147"/>
      <c r="J13" s="147"/>
      <c r="K13" s="147"/>
      <c r="L13" s="147"/>
      <c r="M13" s="147"/>
      <c r="N13" s="147"/>
      <c r="O13" s="147"/>
      <c r="P13" s="147"/>
      <c r="Q13" s="147"/>
      <c r="R13" s="516">
        <f>SUM(E13:Q13)</f>
        <v>563600</v>
      </c>
      <c r="S13" s="147">
        <v>35000</v>
      </c>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7846158</v>
      </c>
      <c r="C29" s="147">
        <v>7846158</v>
      </c>
      <c r="D29" s="147"/>
      <c r="E29" s="147"/>
      <c r="F29" s="147">
        <f>C29-G29</f>
        <v>1846158</v>
      </c>
      <c r="G29" s="147">
        <v>6000000</v>
      </c>
      <c r="H29" s="147"/>
      <c r="I29" s="147"/>
      <c r="J29" s="147"/>
      <c r="K29" s="147"/>
      <c r="L29" s="147"/>
      <c r="M29" s="147"/>
      <c r="N29" s="147"/>
      <c r="O29" s="147"/>
      <c r="P29" s="147"/>
      <c r="Q29" s="147"/>
      <c r="R29" s="516">
        <f t="shared" ref="R29:R37" si="7">SUM(E29:Q29)</f>
        <v>7846158</v>
      </c>
      <c r="S29" s="147">
        <f>R29</f>
        <v>7846158</v>
      </c>
      <c r="T29" s="147"/>
      <c r="U29" s="143"/>
    </row>
    <row r="30" spans="1:21" s="144" customFormat="1">
      <c r="A30" s="145" t="s">
        <v>599</v>
      </c>
      <c r="B30" s="146">
        <f t="shared" si="6"/>
        <v>69825000</v>
      </c>
      <c r="C30" s="147">
        <v>69825000</v>
      </c>
      <c r="D30" s="147"/>
      <c r="E30" s="147">
        <f>C30-F30</f>
        <v>3882697</v>
      </c>
      <c r="F30" s="147">
        <v>65942303</v>
      </c>
      <c r="G30" s="147"/>
      <c r="H30" s="147"/>
      <c r="I30" s="147"/>
      <c r="J30" s="147"/>
      <c r="K30" s="147"/>
      <c r="L30" s="147"/>
      <c r="M30" s="147"/>
      <c r="N30" s="147"/>
      <c r="O30" s="147"/>
      <c r="P30" s="147"/>
      <c r="Q30" s="147"/>
      <c r="R30" s="516">
        <f t="shared" si="7"/>
        <v>69825000</v>
      </c>
      <c r="S30" s="147">
        <f t="shared" ref="S30:S37" si="8">R30</f>
        <v>69825000</v>
      </c>
      <c r="T30" s="147"/>
      <c r="U30" s="143"/>
    </row>
    <row r="31" spans="1:21" s="144" customFormat="1">
      <c r="A31" s="145" t="s">
        <v>600</v>
      </c>
      <c r="B31" s="146">
        <f t="shared" si="6"/>
        <v>1263400</v>
      </c>
      <c r="C31" s="147">
        <v>1263400</v>
      </c>
      <c r="D31" s="147"/>
      <c r="E31" s="147">
        <f>C31</f>
        <v>1263400</v>
      </c>
      <c r="F31" s="147"/>
      <c r="G31" s="147"/>
      <c r="H31" s="147"/>
      <c r="I31" s="147"/>
      <c r="J31" s="147"/>
      <c r="K31" s="147"/>
      <c r="L31" s="147"/>
      <c r="M31" s="147"/>
      <c r="N31" s="147"/>
      <c r="O31" s="147"/>
      <c r="P31" s="147"/>
      <c r="Q31" s="147"/>
      <c r="R31" s="516">
        <f t="shared" si="7"/>
        <v>1263400</v>
      </c>
      <c r="S31" s="147">
        <f t="shared" si="8"/>
        <v>1263400</v>
      </c>
      <c r="T31" s="147"/>
      <c r="U31" s="143"/>
    </row>
    <row r="32" spans="1:21" s="144" customFormat="1">
      <c r="A32" s="145" t="s">
        <v>137</v>
      </c>
      <c r="B32" s="146">
        <f t="shared" si="6"/>
        <v>1263400</v>
      </c>
      <c r="C32" s="147">
        <v>1263400</v>
      </c>
      <c r="D32" s="147"/>
      <c r="E32" s="147">
        <f>C32</f>
        <v>1263400</v>
      </c>
      <c r="F32" s="147"/>
      <c r="G32" s="147"/>
      <c r="H32" s="147"/>
      <c r="I32" s="147"/>
      <c r="J32" s="147"/>
      <c r="K32" s="147"/>
      <c r="L32" s="147"/>
      <c r="M32" s="147"/>
      <c r="N32" s="147"/>
      <c r="O32" s="147"/>
      <c r="P32" s="147"/>
      <c r="Q32" s="147"/>
      <c r="R32" s="516">
        <f t="shared" si="7"/>
        <v>1263400</v>
      </c>
      <c r="S32" s="147">
        <f t="shared" si="8"/>
        <v>1263400</v>
      </c>
      <c r="T32" s="147"/>
      <c r="U32" s="143"/>
    </row>
    <row r="33" spans="1:21" s="144" customFormat="1">
      <c r="A33" s="145" t="s">
        <v>138</v>
      </c>
      <c r="B33" s="146">
        <f t="shared" si="6"/>
        <v>2322456</v>
      </c>
      <c r="C33" s="147">
        <v>2322456</v>
      </c>
      <c r="D33" s="147"/>
      <c r="E33" s="147">
        <f>C33</f>
        <v>2322456</v>
      </c>
      <c r="F33" s="147"/>
      <c r="G33" s="147"/>
      <c r="H33" s="147"/>
      <c r="I33" s="147"/>
      <c r="J33" s="147"/>
      <c r="K33" s="147"/>
      <c r="L33" s="147"/>
      <c r="M33" s="147"/>
      <c r="N33" s="147"/>
      <c r="O33" s="147"/>
      <c r="P33" s="147"/>
      <c r="Q33" s="147"/>
      <c r="R33" s="516">
        <f t="shared" si="7"/>
        <v>2322456</v>
      </c>
      <c r="S33" s="147">
        <f t="shared" si="8"/>
        <v>2322456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425744</v>
      </c>
      <c r="C35" s="147">
        <v>425744</v>
      </c>
      <c r="D35" s="147"/>
      <c r="E35" s="147">
        <f>C35</f>
        <v>425744</v>
      </c>
      <c r="F35" s="147"/>
      <c r="G35" s="147"/>
      <c r="H35" s="147"/>
      <c r="I35" s="147"/>
      <c r="J35" s="147"/>
      <c r="K35" s="147"/>
      <c r="L35" s="147"/>
      <c r="M35" s="147"/>
      <c r="N35" s="147"/>
      <c r="O35" s="147"/>
      <c r="P35" s="147"/>
      <c r="Q35" s="147"/>
      <c r="R35" s="516">
        <f t="shared" si="7"/>
        <v>425744</v>
      </c>
      <c r="S35" s="147">
        <f t="shared" si="8"/>
        <v>425744</v>
      </c>
      <c r="T35" s="147"/>
      <c r="U35" s="143"/>
    </row>
    <row r="36" spans="1:21" s="144" customFormat="1">
      <c r="A36" s="283" t="s">
        <v>1640</v>
      </c>
      <c r="B36" s="146">
        <f t="shared" si="6"/>
        <v>450000</v>
      </c>
      <c r="C36" s="147">
        <v>450000</v>
      </c>
      <c r="D36" s="147"/>
      <c r="E36" s="147">
        <f>C36</f>
        <v>450000</v>
      </c>
      <c r="F36" s="147"/>
      <c r="G36" s="147"/>
      <c r="H36" s="147"/>
      <c r="I36" s="147"/>
      <c r="J36" s="147"/>
      <c r="K36" s="147"/>
      <c r="L36" s="147"/>
      <c r="M36" s="147"/>
      <c r="N36" s="147"/>
      <c r="O36" s="147"/>
      <c r="P36" s="147"/>
      <c r="Q36" s="147"/>
      <c r="R36" s="516">
        <f t="shared" si="7"/>
        <v>450000</v>
      </c>
      <c r="S36" s="147">
        <f t="shared" si="8"/>
        <v>450000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83396158</v>
      </c>
      <c r="C38" s="146">
        <f>SUM(C29:C37)</f>
        <v>83396158</v>
      </c>
      <c r="D38" s="146">
        <f t="shared" ref="D38:Q38" si="9">SUM(D29:D37)</f>
        <v>0</v>
      </c>
      <c r="E38" s="146">
        <f t="shared" si="9"/>
        <v>9607697</v>
      </c>
      <c r="F38" s="146">
        <f t="shared" si="9"/>
        <v>67788461</v>
      </c>
      <c r="G38" s="146">
        <f t="shared" si="9"/>
        <v>6000000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83396158</v>
      </c>
      <c r="S38" s="150">
        <f>SUM(S29:S37)</f>
        <v>83396158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2246590</v>
      </c>
      <c r="C40" s="147">
        <v>2246590</v>
      </c>
      <c r="D40" s="147"/>
      <c r="E40" s="147">
        <f>C40</f>
        <v>2246590</v>
      </c>
      <c r="F40" s="147"/>
      <c r="G40" s="147"/>
      <c r="H40" s="147"/>
      <c r="I40" s="147"/>
      <c r="J40" s="147"/>
      <c r="K40" s="147"/>
      <c r="L40" s="147"/>
      <c r="M40" s="147"/>
      <c r="N40" s="147"/>
      <c r="O40" s="147"/>
      <c r="P40" s="147"/>
      <c r="Q40" s="147"/>
      <c r="R40" s="516">
        <f>SUM(E40:Q40)</f>
        <v>2246590</v>
      </c>
      <c r="S40" s="147">
        <f>R40</f>
        <v>2246590</v>
      </c>
      <c r="T40" s="147"/>
      <c r="U40" s="143"/>
    </row>
    <row r="41" spans="1:21" s="144" customFormat="1">
      <c r="A41" s="145" t="s">
        <v>146</v>
      </c>
      <c r="B41" s="146">
        <f>SUM(C41+D41)</f>
        <v>750000</v>
      </c>
      <c r="C41" s="147">
        <v>750000</v>
      </c>
      <c r="D41" s="147"/>
      <c r="E41" s="147">
        <f>C41</f>
        <v>750000</v>
      </c>
      <c r="F41" s="147"/>
      <c r="G41" s="147"/>
      <c r="H41" s="147"/>
      <c r="I41" s="147"/>
      <c r="J41" s="147"/>
      <c r="K41" s="147"/>
      <c r="L41" s="147"/>
      <c r="M41" s="147"/>
      <c r="N41" s="147"/>
      <c r="O41" s="147"/>
      <c r="P41" s="147"/>
      <c r="Q41" s="147"/>
      <c r="R41" s="516">
        <f>SUM(E41:Q41)</f>
        <v>750000</v>
      </c>
      <c r="S41" s="147">
        <f>R41</f>
        <v>750000</v>
      </c>
      <c r="T41" s="147"/>
      <c r="U41" s="143"/>
    </row>
    <row r="42" spans="1:21" s="144" customFormat="1">
      <c r="A42" s="149" t="s">
        <v>147</v>
      </c>
      <c r="B42" s="146">
        <f>SUM(C42:D42)</f>
        <v>2996590</v>
      </c>
      <c r="C42" s="146">
        <f>SUM(C39:C41)</f>
        <v>2996590</v>
      </c>
      <c r="D42" s="146">
        <f>SUM(D39:D41)</f>
        <v>0</v>
      </c>
      <c r="E42" s="146">
        <f t="shared" ref="E42:T42" si="10">SUM(E40:E41)</f>
        <v>2996590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2996590</v>
      </c>
      <c r="S42" s="150">
        <f t="shared" si="10"/>
        <v>2996590</v>
      </c>
      <c r="T42" s="150">
        <f t="shared" si="10"/>
        <v>0</v>
      </c>
      <c r="U42" s="143"/>
    </row>
    <row r="43" spans="1:21" s="144" customFormat="1">
      <c r="A43" s="149" t="s">
        <v>148</v>
      </c>
      <c r="B43" s="146">
        <f>SUM(C43:D43)</f>
        <v>1764726</v>
      </c>
      <c r="C43" s="147">
        <v>1764726</v>
      </c>
      <c r="D43" s="147"/>
      <c r="E43" s="147">
        <f>C43</f>
        <v>1764726</v>
      </c>
      <c r="F43" s="147"/>
      <c r="G43" s="147"/>
      <c r="H43" s="147"/>
      <c r="I43" s="147"/>
      <c r="J43" s="147"/>
      <c r="K43" s="147"/>
      <c r="L43" s="147"/>
      <c r="M43" s="147"/>
      <c r="N43" s="147"/>
      <c r="O43" s="147"/>
      <c r="P43" s="147"/>
      <c r="Q43" s="147"/>
      <c r="R43" s="516">
        <f>SUM(E43:Q43)</f>
        <v>1764726</v>
      </c>
      <c r="S43" s="147">
        <f>R43</f>
        <v>1764726</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11380839</v>
      </c>
      <c r="C45" s="147">
        <v>11380839</v>
      </c>
      <c r="D45" s="147"/>
      <c r="E45" s="147">
        <f>C45</f>
        <v>11380839</v>
      </c>
      <c r="F45" s="147"/>
      <c r="G45" s="147"/>
      <c r="H45" s="147"/>
      <c r="I45" s="147"/>
      <c r="J45" s="147"/>
      <c r="K45" s="147"/>
      <c r="L45" s="147"/>
      <c r="M45" s="147"/>
      <c r="N45" s="147"/>
      <c r="O45" s="147"/>
      <c r="P45" s="147"/>
      <c r="Q45" s="147"/>
      <c r="R45" s="516">
        <f t="shared" ref="R45:R53" si="12">SUM(E45:Q45)</f>
        <v>11380839</v>
      </c>
      <c r="S45" s="147">
        <v>6601507</v>
      </c>
      <c r="T45" s="147"/>
      <c r="U45" s="143"/>
    </row>
    <row r="46" spans="1:21" s="144" customFormat="1">
      <c r="A46" s="145" t="s">
        <v>151</v>
      </c>
      <c r="B46" s="146">
        <f t="shared" si="11"/>
        <v>1080000</v>
      </c>
      <c r="C46" s="147">
        <v>1080000</v>
      </c>
      <c r="D46" s="147"/>
      <c r="E46" s="147">
        <f>C46</f>
        <v>1080000</v>
      </c>
      <c r="F46" s="147"/>
      <c r="G46" s="147"/>
      <c r="H46" s="147"/>
      <c r="I46" s="147"/>
      <c r="J46" s="147"/>
      <c r="K46" s="147"/>
      <c r="L46" s="147"/>
      <c r="M46" s="147"/>
      <c r="N46" s="147"/>
      <c r="O46" s="147"/>
      <c r="P46" s="147"/>
      <c r="Q46" s="147"/>
      <c r="R46" s="516">
        <f t="shared" si="12"/>
        <v>1080000</v>
      </c>
      <c r="S46" s="147">
        <f>R46</f>
        <v>1080000</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6">
        <f t="shared" si="12"/>
        <v>0</v>
      </c>
      <c r="S47" s="147">
        <f t="shared" ref="S47:S52" si="13">R47</f>
        <v>0</v>
      </c>
      <c r="T47" s="147"/>
      <c r="U47" s="143"/>
    </row>
    <row r="48" spans="1:21" s="144" customFormat="1">
      <c r="A48" s="145" t="s">
        <v>153</v>
      </c>
      <c r="B48" s="146">
        <f t="shared" si="11"/>
        <v>650000</v>
      </c>
      <c r="C48" s="147">
        <v>650000</v>
      </c>
      <c r="D48" s="147"/>
      <c r="E48" s="147">
        <f>C48</f>
        <v>650000</v>
      </c>
      <c r="F48" s="147"/>
      <c r="G48" s="147"/>
      <c r="H48" s="147"/>
      <c r="I48" s="147"/>
      <c r="J48" s="147"/>
      <c r="K48" s="147"/>
      <c r="L48" s="147"/>
      <c r="M48" s="147"/>
      <c r="N48" s="147"/>
      <c r="O48" s="147"/>
      <c r="P48" s="147"/>
      <c r="Q48" s="147"/>
      <c r="R48" s="516">
        <f t="shared" si="12"/>
        <v>650000</v>
      </c>
      <c r="S48" s="147">
        <f t="shared" si="13"/>
        <v>650000</v>
      </c>
      <c r="T48" s="147"/>
      <c r="U48" s="143"/>
    </row>
    <row r="49" spans="1:21" s="144" customFormat="1">
      <c r="A49" s="145" t="s">
        <v>57</v>
      </c>
      <c r="B49" s="146">
        <f t="shared" si="11"/>
        <v>540000</v>
      </c>
      <c r="C49" s="147">
        <v>540000</v>
      </c>
      <c r="D49" s="147"/>
      <c r="E49" s="147">
        <f>C49</f>
        <v>540000</v>
      </c>
      <c r="F49" s="147"/>
      <c r="G49" s="147"/>
      <c r="H49" s="147"/>
      <c r="I49" s="147"/>
      <c r="J49" s="147"/>
      <c r="K49" s="147"/>
      <c r="L49" s="147"/>
      <c r="M49" s="147"/>
      <c r="N49" s="147"/>
      <c r="O49" s="147"/>
      <c r="P49" s="147"/>
      <c r="Q49" s="147"/>
      <c r="R49" s="516">
        <f t="shared" si="12"/>
        <v>540000</v>
      </c>
      <c r="S49" s="147">
        <f t="shared" si="13"/>
        <v>540000</v>
      </c>
      <c r="T49" s="147"/>
      <c r="U49" s="143"/>
    </row>
    <row r="50" spans="1:21" s="144" customFormat="1">
      <c r="A50" s="145" t="s">
        <v>156</v>
      </c>
      <c r="B50" s="146">
        <f t="shared" si="11"/>
        <v>150000</v>
      </c>
      <c r="C50" s="147">
        <v>150000</v>
      </c>
      <c r="D50" s="147"/>
      <c r="E50" s="147">
        <f>C50</f>
        <v>150000</v>
      </c>
      <c r="F50" s="147"/>
      <c r="G50" s="147"/>
      <c r="H50" s="147"/>
      <c r="I50" s="147"/>
      <c r="J50" s="147"/>
      <c r="K50" s="147"/>
      <c r="L50" s="147"/>
      <c r="M50" s="147"/>
      <c r="N50" s="147"/>
      <c r="O50" s="147"/>
      <c r="P50" s="147"/>
      <c r="Q50" s="147"/>
      <c r="R50" s="516">
        <f t="shared" si="12"/>
        <v>150000</v>
      </c>
      <c r="S50" s="147">
        <f t="shared" si="13"/>
        <v>150000</v>
      </c>
      <c r="T50" s="147"/>
      <c r="U50" s="143"/>
    </row>
    <row r="51" spans="1:21" s="144" customFormat="1">
      <c r="A51" s="283" t="s">
        <v>154</v>
      </c>
      <c r="B51" s="146">
        <f t="shared" si="11"/>
        <v>250000</v>
      </c>
      <c r="C51" s="147">
        <v>250000</v>
      </c>
      <c r="D51" s="147"/>
      <c r="E51" s="147">
        <f>C51</f>
        <v>250000</v>
      </c>
      <c r="F51" s="147"/>
      <c r="G51" s="147"/>
      <c r="H51" s="147"/>
      <c r="I51" s="147"/>
      <c r="J51" s="147"/>
      <c r="K51" s="147"/>
      <c r="L51" s="147"/>
      <c r="M51" s="147"/>
      <c r="N51" s="147"/>
      <c r="O51" s="147"/>
      <c r="P51" s="147"/>
      <c r="Q51" s="147"/>
      <c r="R51" s="516">
        <f t="shared" si="12"/>
        <v>250000</v>
      </c>
      <c r="S51" s="147">
        <f t="shared" si="13"/>
        <v>250000</v>
      </c>
      <c r="T51" s="147"/>
      <c r="U51" s="143"/>
    </row>
    <row r="52" spans="1:21" s="144" customFormat="1">
      <c r="A52" s="145" t="s">
        <v>155</v>
      </c>
      <c r="B52" s="146">
        <f t="shared" si="11"/>
        <v>1500000</v>
      </c>
      <c r="C52" s="147">
        <v>1500000</v>
      </c>
      <c r="D52" s="147"/>
      <c r="E52" s="147">
        <f>C52</f>
        <v>1500000</v>
      </c>
      <c r="F52" s="147"/>
      <c r="G52" s="147"/>
      <c r="H52" s="147"/>
      <c r="I52" s="147"/>
      <c r="J52" s="147"/>
      <c r="K52" s="147"/>
      <c r="L52" s="147"/>
      <c r="M52" s="147"/>
      <c r="N52" s="147"/>
      <c r="O52" s="147"/>
      <c r="P52" s="147"/>
      <c r="Q52" s="147"/>
      <c r="R52" s="516">
        <f t="shared" si="12"/>
        <v>1500000</v>
      </c>
      <c r="S52" s="147">
        <f t="shared" si="13"/>
        <v>1500000</v>
      </c>
      <c r="T52" s="147"/>
      <c r="U52" s="143"/>
    </row>
    <row r="53" spans="1:21" s="144" customFormat="1">
      <c r="A53" s="1149" t="s">
        <v>34</v>
      </c>
      <c r="B53" s="146">
        <f t="shared" si="11"/>
        <v>0</v>
      </c>
      <c r="C53" s="147"/>
      <c r="D53" s="147"/>
      <c r="E53" s="147"/>
      <c r="F53" s="147"/>
      <c r="G53" s="147"/>
      <c r="H53" s="147"/>
      <c r="I53" s="147"/>
      <c r="J53" s="147"/>
      <c r="K53" s="147"/>
      <c r="L53" s="147"/>
      <c r="M53" s="147"/>
      <c r="N53" s="147"/>
      <c r="O53" s="147"/>
      <c r="P53" s="147"/>
      <c r="Q53" s="147"/>
      <c r="R53" s="516">
        <f t="shared" si="12"/>
        <v>0</v>
      </c>
      <c r="S53" s="147"/>
      <c r="T53" s="147"/>
      <c r="U53" s="143"/>
    </row>
    <row r="54" spans="1:21" s="153" customFormat="1">
      <c r="A54" s="149" t="s">
        <v>157</v>
      </c>
      <c r="B54" s="150">
        <f>SUM(C54:D54)</f>
        <v>15550839</v>
      </c>
      <c r="C54" s="150">
        <f t="shared" ref="C54:T54" si="14">SUM(C45:C53)</f>
        <v>15550839</v>
      </c>
      <c r="D54" s="150">
        <f t="shared" si="14"/>
        <v>0</v>
      </c>
      <c r="E54" s="150">
        <f t="shared" si="14"/>
        <v>15550839</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15550839</v>
      </c>
      <c r="S54" s="150">
        <f t="shared" si="14"/>
        <v>10771507</v>
      </c>
      <c r="T54" s="150">
        <f t="shared" si="1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55000</v>
      </c>
      <c r="C56" s="147">
        <v>55000</v>
      </c>
      <c r="D56" s="147"/>
      <c r="E56" s="147">
        <f>C56</f>
        <v>55000</v>
      </c>
      <c r="F56" s="147"/>
      <c r="G56" s="147"/>
      <c r="H56" s="147"/>
      <c r="I56" s="147"/>
      <c r="J56" s="147"/>
      <c r="K56" s="147"/>
      <c r="L56" s="147"/>
      <c r="M56" s="147"/>
      <c r="N56" s="147"/>
      <c r="O56" s="147"/>
      <c r="P56" s="147"/>
      <c r="Q56" s="147"/>
      <c r="R56" s="516">
        <f t="shared" ref="R56:R61" si="16">SUM(E56:Q56)</f>
        <v>55000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50000</v>
      </c>
      <c r="C58" s="147">
        <v>50000</v>
      </c>
      <c r="D58" s="147"/>
      <c r="E58" s="147">
        <f>C58</f>
        <v>50000</v>
      </c>
      <c r="F58" s="147"/>
      <c r="G58" s="147"/>
      <c r="H58" s="147"/>
      <c r="I58" s="147"/>
      <c r="J58" s="147"/>
      <c r="K58" s="147"/>
      <c r="L58" s="147"/>
      <c r="M58" s="147"/>
      <c r="N58" s="147"/>
      <c r="O58" s="147"/>
      <c r="P58" s="147"/>
      <c r="Q58" s="147"/>
      <c r="R58" s="516">
        <f t="shared" si="16"/>
        <v>50000</v>
      </c>
      <c r="S58" s="148"/>
      <c r="T58" s="148"/>
      <c r="U58" s="143"/>
    </row>
    <row r="59" spans="1:21" s="144" customFormat="1">
      <c r="A59" s="283" t="s">
        <v>154</v>
      </c>
      <c r="B59" s="146">
        <f t="shared" si="15"/>
        <v>281250</v>
      </c>
      <c r="C59" s="147">
        <v>281250</v>
      </c>
      <c r="D59" s="147"/>
      <c r="E59" s="147">
        <f>C59</f>
        <v>281250</v>
      </c>
      <c r="F59" s="147"/>
      <c r="G59" s="147"/>
      <c r="H59" s="147"/>
      <c r="I59" s="147"/>
      <c r="J59" s="147"/>
      <c r="K59" s="147"/>
      <c r="L59" s="147"/>
      <c r="M59" s="147"/>
      <c r="N59" s="147"/>
      <c r="O59" s="147"/>
      <c r="P59" s="147"/>
      <c r="Q59" s="147"/>
      <c r="R59" s="516">
        <f t="shared" si="16"/>
        <v>281250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300</v>
      </c>
      <c r="B62" s="146">
        <f>SUM(C62:D62)</f>
        <v>386250</v>
      </c>
      <c r="C62" s="146">
        <f t="shared" ref="C62:R62" si="17">SUM(C56:C61)</f>
        <v>386250</v>
      </c>
      <c r="D62" s="146">
        <f t="shared" si="17"/>
        <v>0</v>
      </c>
      <c r="E62" s="146">
        <f t="shared" si="17"/>
        <v>386250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386250</v>
      </c>
      <c r="S62" s="148"/>
      <c r="T62" s="148"/>
      <c r="U62" s="143"/>
    </row>
    <row r="63" spans="1:21" s="144" customFormat="1">
      <c r="A63" s="154" t="s">
        <v>301</v>
      </c>
      <c r="B63" s="146">
        <f t="shared" ref="B63:R63" si="18">SUM(B8+B11+B13+B14+B15+B26+B27+B38+B42+B43+B54+B62)</f>
        <v>112175663</v>
      </c>
      <c r="C63" s="146">
        <f t="shared" si="18"/>
        <v>112175663</v>
      </c>
      <c r="D63" s="146">
        <f t="shared" si="18"/>
        <v>0</v>
      </c>
      <c r="E63" s="146">
        <f t="shared" si="18"/>
        <v>38387202</v>
      </c>
      <c r="F63" s="146">
        <f t="shared" si="18"/>
        <v>67788461</v>
      </c>
      <c r="G63" s="146">
        <f t="shared" si="18"/>
        <v>6000000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112175663</v>
      </c>
      <c r="S63" s="146">
        <f>SUM(S10+S13+S14+S15+S26+S27+S38+S42+S43+S54)</f>
        <v>98963981</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135000</v>
      </c>
      <c r="C65" s="147">
        <v>135000</v>
      </c>
      <c r="D65" s="147"/>
      <c r="E65" s="147">
        <f>C65</f>
        <v>135000</v>
      </c>
      <c r="F65" s="147"/>
      <c r="G65" s="147"/>
      <c r="H65" s="147"/>
      <c r="I65" s="147"/>
      <c r="J65" s="147"/>
      <c r="K65" s="147"/>
      <c r="L65" s="147"/>
      <c r="M65" s="147"/>
      <c r="N65" s="147"/>
      <c r="O65" s="147"/>
      <c r="P65" s="147"/>
      <c r="Q65" s="147"/>
      <c r="R65" s="516">
        <f>SUM(E65:Q65)</f>
        <v>135000</v>
      </c>
      <c r="S65" s="147">
        <f>R65</f>
        <v>135000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300000</v>
      </c>
      <c r="C67" s="147">
        <v>300000</v>
      </c>
      <c r="D67" s="147"/>
      <c r="E67" s="147">
        <f>C67</f>
        <v>300000</v>
      </c>
      <c r="F67" s="147"/>
      <c r="G67" s="147"/>
      <c r="H67" s="147"/>
      <c r="I67" s="147"/>
      <c r="J67" s="147"/>
      <c r="K67" s="147"/>
      <c r="L67" s="147"/>
      <c r="M67" s="147"/>
      <c r="N67" s="147"/>
      <c r="O67" s="147"/>
      <c r="P67" s="147"/>
      <c r="Q67" s="147"/>
      <c r="R67" s="516">
        <f>SUM(E67:Q67)</f>
        <v>300000</v>
      </c>
      <c r="S67" s="147">
        <f>R67</f>
        <v>300000</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2745</v>
      </c>
      <c r="B69" s="146">
        <f>SUM(C69+D69)</f>
        <v>275000</v>
      </c>
      <c r="C69" s="147">
        <v>275000</v>
      </c>
      <c r="D69" s="147"/>
      <c r="E69" s="147">
        <f>C69</f>
        <v>275000</v>
      </c>
      <c r="F69" s="147"/>
      <c r="G69" s="147"/>
      <c r="H69" s="147"/>
      <c r="I69" s="147"/>
      <c r="J69" s="147"/>
      <c r="K69" s="147"/>
      <c r="L69" s="147"/>
      <c r="M69" s="147"/>
      <c r="N69" s="147"/>
      <c r="O69" s="147"/>
      <c r="P69" s="147"/>
      <c r="Q69" s="147"/>
      <c r="R69" s="516">
        <f>SUM(E69:Q69)</f>
        <v>275000</v>
      </c>
      <c r="S69" s="147">
        <f>R69</f>
        <v>275000</v>
      </c>
      <c r="T69" s="147"/>
      <c r="U69" s="143"/>
    </row>
    <row r="70" spans="1:21" s="144" customFormat="1">
      <c r="A70" s="149" t="s">
        <v>1645</v>
      </c>
      <c r="B70" s="146">
        <f>SUM(C70:D70)</f>
        <v>710000</v>
      </c>
      <c r="C70" s="146">
        <f>SUM(C65:C69)</f>
        <v>710000</v>
      </c>
      <c r="D70" s="146">
        <f>SUM(D65:D69)</f>
        <v>0</v>
      </c>
      <c r="E70" s="146">
        <f t="shared" ref="E70:T70" si="19">SUM(E65:E69)</f>
        <v>710000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710000</v>
      </c>
      <c r="S70" s="150">
        <f t="shared" si="19"/>
        <v>710000</v>
      </c>
      <c r="T70" s="150">
        <f t="shared" si="1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325000</v>
      </c>
      <c r="C73" s="147">
        <v>325000</v>
      </c>
      <c r="D73" s="147"/>
      <c r="E73" s="147">
        <f>C73</f>
        <v>325000</v>
      </c>
      <c r="F73" s="147"/>
      <c r="G73" s="147"/>
      <c r="H73" s="147"/>
      <c r="I73" s="147"/>
      <c r="J73" s="147"/>
      <c r="K73" s="147"/>
      <c r="L73" s="147"/>
      <c r="M73" s="147"/>
      <c r="N73" s="147"/>
      <c r="O73" s="147"/>
      <c r="P73" s="147"/>
      <c r="Q73" s="147"/>
      <c r="R73" s="516">
        <f>SUM(E73:Q73)</f>
        <v>325000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1500000</v>
      </c>
      <c r="C75" s="147">
        <v>1500000</v>
      </c>
      <c r="D75" s="147"/>
      <c r="E75" s="147">
        <f>C75</f>
        <v>1500000</v>
      </c>
      <c r="F75" s="147"/>
      <c r="G75" s="147"/>
      <c r="H75" s="147"/>
      <c r="I75" s="147"/>
      <c r="J75" s="147"/>
      <c r="K75" s="147"/>
      <c r="L75" s="147"/>
      <c r="M75" s="147"/>
      <c r="N75" s="147"/>
      <c r="O75" s="147"/>
      <c r="P75" s="147"/>
      <c r="Q75" s="147"/>
      <c r="R75" s="516">
        <f>SUM(E75:Q75)</f>
        <v>1500000</v>
      </c>
      <c r="S75" s="148"/>
      <c r="T75" s="148"/>
      <c r="U75" s="143"/>
    </row>
    <row r="76" spans="1:21" s="144" customFormat="1">
      <c r="A76" s="1149" t="s">
        <v>2746</v>
      </c>
      <c r="B76" s="146">
        <f>SUM(C76+D76)</f>
        <v>500000</v>
      </c>
      <c r="C76" s="147">
        <v>500000</v>
      </c>
      <c r="D76" s="147"/>
      <c r="E76" s="147">
        <f>C76</f>
        <v>500000</v>
      </c>
      <c r="F76" s="147"/>
      <c r="G76" s="147"/>
      <c r="H76" s="147"/>
      <c r="I76" s="147"/>
      <c r="J76" s="147"/>
      <c r="K76" s="147"/>
      <c r="L76" s="147"/>
      <c r="M76" s="147"/>
      <c r="N76" s="147"/>
      <c r="O76" s="147"/>
      <c r="P76" s="147"/>
      <c r="Q76" s="147"/>
      <c r="R76" s="516">
        <f>SUM(E76:Q76)</f>
        <v>500000</v>
      </c>
      <c r="S76" s="148"/>
      <c r="T76" s="148"/>
      <c r="U76" s="143"/>
    </row>
    <row r="77" spans="1:21" s="144" customFormat="1">
      <c r="A77" s="149" t="s">
        <v>606</v>
      </c>
      <c r="B77" s="146">
        <f>SUM(C77:D77)</f>
        <v>2325000</v>
      </c>
      <c r="C77" s="146">
        <f>SUM(C72:C76)</f>
        <v>2325000</v>
      </c>
      <c r="D77" s="146">
        <f>SUM(D72:D76)</f>
        <v>0</v>
      </c>
      <c r="E77" s="146">
        <f t="shared" ref="E77:Q77" si="20">SUM(E72:E76)</f>
        <v>2325000</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2325000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4557308</v>
      </c>
      <c r="C79" s="147">
        <f>4509231+48077</f>
        <v>4557308</v>
      </c>
      <c r="D79" s="147"/>
      <c r="E79" s="147">
        <f>C79-F79</f>
        <v>1715085</v>
      </c>
      <c r="F79" s="147">
        <f>71722493-68880270</f>
        <v>2842223</v>
      </c>
      <c r="G79" s="147"/>
      <c r="H79" s="147"/>
      <c r="I79" s="147"/>
      <c r="J79" s="147"/>
      <c r="K79" s="147"/>
      <c r="L79" s="147"/>
      <c r="M79" s="147"/>
      <c r="N79" s="147"/>
      <c r="O79" s="147"/>
      <c r="P79" s="147"/>
      <c r="Q79" s="147"/>
      <c r="R79" s="516">
        <f>SUM(E79:Q79)</f>
        <v>4557308</v>
      </c>
      <c r="S79" s="147">
        <f>R79</f>
        <v>4557308</v>
      </c>
      <c r="T79" s="147"/>
      <c r="U79" s="143"/>
    </row>
    <row r="80" spans="1:21" s="144" customFormat="1">
      <c r="A80" s="283" t="s">
        <v>58</v>
      </c>
      <c r="B80" s="146">
        <f>SUM(C80:D80)</f>
        <v>1091809</v>
      </c>
      <c r="C80" s="147">
        <v>1091809</v>
      </c>
      <c r="D80" s="147"/>
      <c r="E80" s="147"/>
      <c r="F80" s="147">
        <v>1091809</v>
      </c>
      <c r="G80" s="147"/>
      <c r="H80" s="147"/>
      <c r="I80" s="147"/>
      <c r="J80" s="147"/>
      <c r="K80" s="147"/>
      <c r="L80" s="147"/>
      <c r="M80" s="147"/>
      <c r="N80" s="147"/>
      <c r="O80" s="147"/>
      <c r="P80" s="147"/>
      <c r="Q80" s="147"/>
      <c r="R80" s="516">
        <f>SUM(E80:Q80)</f>
        <v>1091809</v>
      </c>
      <c r="S80" s="147">
        <f>R80</f>
        <v>1091809</v>
      </c>
      <c r="T80" s="147"/>
      <c r="U80" s="143"/>
    </row>
    <row r="81" spans="1:21" s="144" customFormat="1">
      <c r="A81" s="149" t="s">
        <v>1209</v>
      </c>
      <c r="B81" s="146">
        <f>SUM(C81:D81)</f>
        <v>5649117</v>
      </c>
      <c r="C81" s="509">
        <f>SUM(C79:C80)</f>
        <v>5649117</v>
      </c>
      <c r="D81" s="509">
        <f t="shared" ref="D81:T81" si="21">SUM(D79:D80)</f>
        <v>0</v>
      </c>
      <c r="E81" s="509">
        <f t="shared" si="21"/>
        <v>1715085</v>
      </c>
      <c r="F81" s="509">
        <f t="shared" si="21"/>
        <v>3934032</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5649117</v>
      </c>
      <c r="S81" s="509">
        <f t="shared" si="21"/>
        <v>5649117</v>
      </c>
      <c r="T81" s="509">
        <f t="shared" si="2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2">SUM(C83+D83)</f>
        <v>75000</v>
      </c>
      <c r="C83" s="147">
        <v>75000</v>
      </c>
      <c r="D83" s="147"/>
      <c r="E83" s="147">
        <f>C83</f>
        <v>75000</v>
      </c>
      <c r="F83" s="147"/>
      <c r="G83" s="147"/>
      <c r="H83" s="147"/>
      <c r="I83" s="147"/>
      <c r="J83" s="147"/>
      <c r="K83" s="147"/>
      <c r="L83" s="147"/>
      <c r="M83" s="147"/>
      <c r="N83" s="147"/>
      <c r="O83" s="147"/>
      <c r="P83" s="147"/>
      <c r="Q83" s="147"/>
      <c r="R83" s="516">
        <f t="shared" ref="R83:R95" si="23">SUM(E83:Q83)</f>
        <v>75000</v>
      </c>
      <c r="S83" s="148"/>
      <c r="T83" s="148"/>
      <c r="U83" s="143"/>
    </row>
    <row r="84" spans="1:21" s="144" customFormat="1">
      <c r="A84" s="145" t="s">
        <v>767</v>
      </c>
      <c r="B84" s="146">
        <f t="shared" si="22"/>
        <v>500000</v>
      </c>
      <c r="C84" s="147">
        <v>500000</v>
      </c>
      <c r="D84" s="147"/>
      <c r="E84" s="147">
        <f>C84</f>
        <v>500000</v>
      </c>
      <c r="F84" s="147"/>
      <c r="G84" s="147"/>
      <c r="H84" s="147"/>
      <c r="I84" s="147"/>
      <c r="J84" s="147"/>
      <c r="K84" s="147"/>
      <c r="L84" s="147"/>
      <c r="M84" s="147"/>
      <c r="N84" s="147"/>
      <c r="O84" s="147"/>
      <c r="P84" s="147"/>
      <c r="Q84" s="147"/>
      <c r="R84" s="516">
        <f t="shared" si="23"/>
        <v>500000</v>
      </c>
      <c r="S84" s="147">
        <f>R84</f>
        <v>500000</v>
      </c>
      <c r="T84" s="147"/>
      <c r="U84" s="143"/>
    </row>
    <row r="85" spans="1:21" s="144" customFormat="1">
      <c r="A85" s="145" t="s">
        <v>768</v>
      </c>
      <c r="B85" s="146">
        <f t="shared" si="22"/>
        <v>3161516</v>
      </c>
      <c r="C85" s="147">
        <v>3161516</v>
      </c>
      <c r="D85" s="147"/>
      <c r="E85" s="147">
        <f>C85</f>
        <v>3161516</v>
      </c>
      <c r="F85" s="147"/>
      <c r="G85" s="147"/>
      <c r="H85" s="147"/>
      <c r="I85" s="147"/>
      <c r="J85" s="147"/>
      <c r="K85" s="147"/>
      <c r="L85" s="147"/>
      <c r="M85" s="147"/>
      <c r="N85" s="147"/>
      <c r="O85" s="147"/>
      <c r="P85" s="147"/>
      <c r="Q85" s="147"/>
      <c r="R85" s="516">
        <f t="shared" si="23"/>
        <v>3161516</v>
      </c>
      <c r="S85" s="147">
        <f t="shared" ref="S85:S87" si="24">R85</f>
        <v>3161516</v>
      </c>
      <c r="T85" s="147"/>
      <c r="U85" s="143"/>
    </row>
    <row r="86" spans="1:21" s="144" customFormat="1">
      <c r="A86" s="145" t="s">
        <v>769</v>
      </c>
      <c r="B86" s="146">
        <f t="shared" si="22"/>
        <v>950000</v>
      </c>
      <c r="C86" s="147">
        <v>950000</v>
      </c>
      <c r="D86" s="147"/>
      <c r="E86" s="147">
        <f>C86</f>
        <v>950000</v>
      </c>
      <c r="F86" s="147"/>
      <c r="G86" s="147"/>
      <c r="H86" s="147"/>
      <c r="I86" s="147"/>
      <c r="J86" s="147"/>
      <c r="K86" s="147"/>
      <c r="L86" s="147"/>
      <c r="M86" s="147"/>
      <c r="N86" s="147"/>
      <c r="O86" s="147"/>
      <c r="P86" s="147"/>
      <c r="Q86" s="147"/>
      <c r="R86" s="516">
        <f t="shared" si="23"/>
        <v>950000</v>
      </c>
      <c r="S86" s="147">
        <f t="shared" si="24"/>
        <v>950000</v>
      </c>
      <c r="T86" s="147"/>
      <c r="U86" s="143"/>
    </row>
    <row r="87" spans="1:21" s="144" customFormat="1">
      <c r="A87" s="145" t="s">
        <v>770</v>
      </c>
      <c r="B87" s="146">
        <f t="shared" si="22"/>
        <v>0</v>
      </c>
      <c r="C87" s="147"/>
      <c r="D87" s="147"/>
      <c r="E87" s="147"/>
      <c r="F87" s="147"/>
      <c r="G87" s="147"/>
      <c r="H87" s="147"/>
      <c r="I87" s="147"/>
      <c r="J87" s="147"/>
      <c r="K87" s="147"/>
      <c r="L87" s="147"/>
      <c r="M87" s="147"/>
      <c r="N87" s="147"/>
      <c r="O87" s="147"/>
      <c r="P87" s="147"/>
      <c r="Q87" s="147"/>
      <c r="R87" s="516">
        <f t="shared" si="23"/>
        <v>0</v>
      </c>
      <c r="S87" s="147">
        <f t="shared" si="24"/>
        <v>0</v>
      </c>
      <c r="T87" s="147"/>
      <c r="U87" s="143"/>
    </row>
    <row r="88" spans="1:21" s="144" customFormat="1">
      <c r="A88" s="145" t="s">
        <v>771</v>
      </c>
      <c r="B88" s="146">
        <f t="shared" si="22"/>
        <v>150000</v>
      </c>
      <c r="C88" s="147">
        <v>150000</v>
      </c>
      <c r="D88" s="147"/>
      <c r="E88" s="147">
        <f t="shared" ref="E88:E93" si="25">C88</f>
        <v>150000</v>
      </c>
      <c r="F88" s="147"/>
      <c r="G88" s="147"/>
      <c r="H88" s="147"/>
      <c r="I88" s="147"/>
      <c r="J88" s="147"/>
      <c r="K88" s="147"/>
      <c r="L88" s="147"/>
      <c r="M88" s="147"/>
      <c r="N88" s="147"/>
      <c r="O88" s="147"/>
      <c r="P88" s="147"/>
      <c r="Q88" s="147"/>
      <c r="R88" s="516">
        <f t="shared" si="23"/>
        <v>150000</v>
      </c>
      <c r="S88" s="148"/>
      <c r="T88" s="148"/>
      <c r="U88" s="143"/>
    </row>
    <row r="89" spans="1:21" s="144" customFormat="1">
      <c r="A89" s="145" t="s">
        <v>772</v>
      </c>
      <c r="B89" s="146">
        <f t="shared" si="22"/>
        <v>350000</v>
      </c>
      <c r="C89" s="147">
        <v>350000</v>
      </c>
      <c r="D89" s="147"/>
      <c r="E89" s="147">
        <f t="shared" si="25"/>
        <v>350000</v>
      </c>
      <c r="F89" s="147"/>
      <c r="G89" s="147"/>
      <c r="H89" s="147"/>
      <c r="I89" s="147"/>
      <c r="J89" s="147"/>
      <c r="K89" s="147"/>
      <c r="L89" s="147"/>
      <c r="M89" s="147"/>
      <c r="N89" s="147"/>
      <c r="O89" s="147"/>
      <c r="P89" s="147"/>
      <c r="Q89" s="147"/>
      <c r="R89" s="516">
        <f t="shared" si="23"/>
        <v>350000</v>
      </c>
      <c r="S89" s="147">
        <f>R89</f>
        <v>350000</v>
      </c>
      <c r="T89" s="147"/>
      <c r="U89" s="143"/>
    </row>
    <row r="90" spans="1:21" s="144" customFormat="1">
      <c r="A90" s="145" t="s">
        <v>773</v>
      </c>
      <c r="B90" s="146">
        <f t="shared" si="22"/>
        <v>12500</v>
      </c>
      <c r="C90" s="147">
        <v>12500</v>
      </c>
      <c r="D90" s="147"/>
      <c r="E90" s="147">
        <f t="shared" si="25"/>
        <v>12500</v>
      </c>
      <c r="F90" s="147"/>
      <c r="G90" s="147"/>
      <c r="H90" s="147"/>
      <c r="I90" s="147"/>
      <c r="J90" s="147"/>
      <c r="K90" s="147"/>
      <c r="L90" s="147"/>
      <c r="M90" s="147"/>
      <c r="N90" s="147"/>
      <c r="O90" s="147"/>
      <c r="P90" s="147"/>
      <c r="Q90" s="147"/>
      <c r="R90" s="516">
        <f t="shared" si="23"/>
        <v>12500</v>
      </c>
      <c r="S90" s="147">
        <f t="shared" ref="S90:S93" si="26">R90</f>
        <v>12500</v>
      </c>
      <c r="T90" s="147"/>
      <c r="U90" s="143"/>
    </row>
    <row r="91" spans="1:21" s="144" customFormat="1">
      <c r="A91" s="145" t="s">
        <v>371</v>
      </c>
      <c r="B91" s="146">
        <f t="shared" si="22"/>
        <v>20000</v>
      </c>
      <c r="C91" s="147">
        <v>20000</v>
      </c>
      <c r="D91" s="147"/>
      <c r="E91" s="147">
        <f t="shared" si="25"/>
        <v>20000</v>
      </c>
      <c r="F91" s="147"/>
      <c r="G91" s="147"/>
      <c r="H91" s="147"/>
      <c r="I91" s="147"/>
      <c r="J91" s="147"/>
      <c r="K91" s="147"/>
      <c r="L91" s="147"/>
      <c r="M91" s="147"/>
      <c r="N91" s="147"/>
      <c r="O91" s="147"/>
      <c r="P91" s="147"/>
      <c r="Q91" s="147"/>
      <c r="R91" s="516">
        <f t="shared" si="23"/>
        <v>20000</v>
      </c>
      <c r="S91" s="147">
        <f t="shared" si="26"/>
        <v>20000</v>
      </c>
      <c r="T91" s="147"/>
      <c r="U91" s="143"/>
    </row>
    <row r="92" spans="1:21" s="144" customFormat="1">
      <c r="A92" s="283" t="s">
        <v>1211</v>
      </c>
      <c r="B92" s="146">
        <f t="shared" si="22"/>
        <v>15000</v>
      </c>
      <c r="C92" s="147">
        <v>15000</v>
      </c>
      <c r="D92" s="147"/>
      <c r="E92" s="147">
        <f t="shared" si="25"/>
        <v>15000</v>
      </c>
      <c r="F92" s="147"/>
      <c r="G92" s="147"/>
      <c r="H92" s="147"/>
      <c r="I92" s="147"/>
      <c r="J92" s="147"/>
      <c r="K92" s="147"/>
      <c r="L92" s="147"/>
      <c r="M92" s="147"/>
      <c r="N92" s="147"/>
      <c r="O92" s="147"/>
      <c r="P92" s="147"/>
      <c r="Q92" s="147"/>
      <c r="R92" s="516">
        <f>SUM(E92:Q92)</f>
        <v>15000</v>
      </c>
      <c r="S92" s="147">
        <f t="shared" si="26"/>
        <v>15000</v>
      </c>
      <c r="T92" s="147"/>
      <c r="U92" s="143"/>
    </row>
    <row r="93" spans="1:21" s="144" customFormat="1">
      <c r="A93" s="1149" t="s">
        <v>2747</v>
      </c>
      <c r="B93" s="146">
        <f t="shared" si="22"/>
        <v>1099208</v>
      </c>
      <c r="C93" s="147">
        <v>1099208</v>
      </c>
      <c r="D93" s="147"/>
      <c r="E93" s="147">
        <f t="shared" si="25"/>
        <v>1099208</v>
      </c>
      <c r="F93" s="147"/>
      <c r="G93" s="147"/>
      <c r="H93" s="147"/>
      <c r="I93" s="147"/>
      <c r="J93" s="147"/>
      <c r="K93" s="147"/>
      <c r="L93" s="147"/>
      <c r="M93" s="147"/>
      <c r="N93" s="147"/>
      <c r="O93" s="147"/>
      <c r="P93" s="147"/>
      <c r="Q93" s="147"/>
      <c r="R93" s="516">
        <f t="shared" si="23"/>
        <v>1099208</v>
      </c>
      <c r="S93" s="147">
        <f t="shared" si="26"/>
        <v>1099208</v>
      </c>
      <c r="T93" s="147"/>
      <c r="U93" s="143"/>
    </row>
    <row r="94" spans="1:21" s="144" customFormat="1">
      <c r="A94" s="1149" t="s">
        <v>34</v>
      </c>
      <c r="B94" s="146">
        <f t="shared" si="22"/>
        <v>0</v>
      </c>
      <c r="C94" s="147"/>
      <c r="D94" s="147"/>
      <c r="E94" s="147"/>
      <c r="F94" s="147"/>
      <c r="G94" s="147"/>
      <c r="H94" s="147"/>
      <c r="I94" s="147"/>
      <c r="J94" s="147"/>
      <c r="K94" s="147"/>
      <c r="L94" s="147"/>
      <c r="M94" s="147"/>
      <c r="N94" s="147"/>
      <c r="O94" s="147"/>
      <c r="P94" s="147"/>
      <c r="Q94" s="147"/>
      <c r="R94" s="516">
        <f t="shared" si="23"/>
        <v>0</v>
      </c>
      <c r="S94" s="147"/>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774</v>
      </c>
      <c r="B96" s="146">
        <f>SUM(C96:D96)</f>
        <v>6333224</v>
      </c>
      <c r="C96" s="146">
        <f t="shared" ref="C96:R96" si="27">SUM(C83:C95)</f>
        <v>6333224</v>
      </c>
      <c r="D96" s="146">
        <f t="shared" si="27"/>
        <v>0</v>
      </c>
      <c r="E96" s="146">
        <f t="shared" si="27"/>
        <v>6333224</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6333224</v>
      </c>
      <c r="S96" s="150">
        <f>SUM(S84:S87,S89:S95)</f>
        <v>6108224</v>
      </c>
      <c r="T96" s="146">
        <f>SUM(T84:T87,T89:T95)</f>
        <v>0</v>
      </c>
      <c r="U96" s="143"/>
    </row>
    <row r="97" spans="1:21" s="144" customFormat="1">
      <c r="A97" s="149" t="s">
        <v>775</v>
      </c>
      <c r="B97" s="146">
        <f>SUM(C97:D97)</f>
        <v>127193004</v>
      </c>
      <c r="C97" s="146">
        <f t="shared" ref="C97:R97" si="28">SUM(C63+C70+C77+C81+C96)</f>
        <v>127193004</v>
      </c>
      <c r="D97" s="146">
        <f t="shared" si="28"/>
        <v>0</v>
      </c>
      <c r="E97" s="146">
        <f t="shared" si="28"/>
        <v>49470511</v>
      </c>
      <c r="F97" s="146">
        <f t="shared" si="28"/>
        <v>71722493</v>
      </c>
      <c r="G97" s="146">
        <f t="shared" si="28"/>
        <v>6000000</v>
      </c>
      <c r="H97" s="146">
        <f t="shared" si="28"/>
        <v>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127193004</v>
      </c>
      <c r="S97" s="146">
        <f>SUM(S63+S70+S81+S96)</f>
        <v>111431322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16714698</v>
      </c>
      <c r="C99" s="979">
        <v>16714698</v>
      </c>
      <c r="D99" s="979"/>
      <c r="E99" s="979">
        <f>C99-H99</f>
        <v>6000000</v>
      </c>
      <c r="F99" s="147"/>
      <c r="G99" s="147"/>
      <c r="H99" s="147">
        <v>10714698</v>
      </c>
      <c r="I99" s="147"/>
      <c r="J99" s="147"/>
      <c r="K99" s="147"/>
      <c r="L99" s="147"/>
      <c r="M99" s="147"/>
      <c r="N99" s="147"/>
      <c r="O99" s="147"/>
      <c r="P99" s="147"/>
      <c r="Q99" s="147"/>
      <c r="R99" s="516">
        <f>SUM(E99:Q99)</f>
        <v>16714698</v>
      </c>
      <c r="S99" s="147">
        <f>R99</f>
        <v>16714698</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16714698</v>
      </c>
      <c r="C104" s="146">
        <f>SUM(C99:C103)</f>
        <v>16714698</v>
      </c>
      <c r="D104" s="146">
        <f t="shared" ref="D104:T104" si="29">SUM(D99:D103)</f>
        <v>0</v>
      </c>
      <c r="E104" s="146">
        <f t="shared" si="29"/>
        <v>6000000</v>
      </c>
      <c r="F104" s="146">
        <f t="shared" si="29"/>
        <v>0</v>
      </c>
      <c r="G104" s="146">
        <f t="shared" si="29"/>
        <v>0</v>
      </c>
      <c r="H104" s="146">
        <f t="shared" si="29"/>
        <v>10714698</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42">
        <f t="shared" si="29"/>
        <v>16714698</v>
      </c>
      <c r="S104" s="150">
        <f t="shared" si="29"/>
        <v>16714698</v>
      </c>
      <c r="T104" s="150">
        <f t="shared" si="29"/>
        <v>0</v>
      </c>
      <c r="U104" s="143"/>
    </row>
    <row r="105" spans="1:21" s="144" customFormat="1">
      <c r="A105" s="149" t="s">
        <v>780</v>
      </c>
      <c r="B105" s="150">
        <f>SUM(C105:D105)</f>
        <v>143907702</v>
      </c>
      <c r="C105" s="150">
        <f t="shared" ref="C105:R105" si="30">SUM(C97+C104)</f>
        <v>143907702</v>
      </c>
      <c r="D105" s="150">
        <f t="shared" si="30"/>
        <v>0</v>
      </c>
      <c r="E105" s="150">
        <f t="shared" si="30"/>
        <v>55470511</v>
      </c>
      <c r="F105" s="150">
        <f t="shared" si="30"/>
        <v>71722493</v>
      </c>
      <c r="G105" s="150">
        <f t="shared" si="30"/>
        <v>6000000</v>
      </c>
      <c r="H105" s="150">
        <f t="shared" si="30"/>
        <v>10714698</v>
      </c>
      <c r="I105" s="150">
        <f t="shared" si="30"/>
        <v>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42">
        <f t="shared" si="30"/>
        <v>143907702</v>
      </c>
      <c r="S105" s="150">
        <f>S97+S104</f>
        <v>128146020</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128146020</v>
      </c>
      <c r="T107" s="150">
        <f>T105+T106</f>
        <v>0</v>
      </c>
    </row>
    <row r="108" spans="1:21" s="189" customFormat="1">
      <c r="A108" s="162" t="s">
        <v>879</v>
      </c>
      <c r="B108" s="157"/>
      <c r="C108" s="157"/>
      <c r="D108" s="157"/>
      <c r="E108" s="301">
        <f>Application!AO640</f>
        <v>55470511</v>
      </c>
      <c r="F108" s="301">
        <f>Application!AO627</f>
        <v>71722493</v>
      </c>
      <c r="G108" s="301">
        <f>Application!AO628</f>
        <v>6000000</v>
      </c>
      <c r="H108" s="301">
        <f>Application!AO629</f>
        <v>10714698</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4" t="s">
        <v>990</v>
      </c>
      <c r="E122" s="1864"/>
      <c r="F122" s="1864"/>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6" t="s">
        <v>1224</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992</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993</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2.75">
      <c r="A129" s="117" t="s">
        <v>299</v>
      </c>
      <c r="B129" s="333"/>
      <c r="C129" s="117"/>
      <c r="D129" s="1863" t="s">
        <v>997</v>
      </c>
      <c r="E129" s="1863"/>
      <c r="F129" s="1863"/>
      <c r="G129" s="1863"/>
      <c r="H129" s="1863"/>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1000</v>
      </c>
      <c r="E132" s="1867"/>
      <c r="F132" s="1867"/>
      <c r="G132" s="1867"/>
      <c r="H132" s="1867"/>
      <c r="I132" s="117"/>
      <c r="J132" s="1867" t="s">
        <v>1001</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2.75">
      <c r="A139" s="1865" t="s">
        <v>1004</v>
      </c>
      <c r="B139" s="1865"/>
      <c r="C139" s="1865"/>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5" sqref="C5"/>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1227</v>
      </c>
      <c r="B1" s="1872"/>
      <c r="C1" s="1872"/>
      <c r="D1" s="1872"/>
      <c r="E1" s="1872"/>
      <c r="F1" s="1872"/>
      <c r="G1" s="1872"/>
      <c r="H1" s="1872"/>
      <c r="I1" s="1872"/>
      <c r="J1" s="187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7467500</v>
      </c>
      <c r="C4" s="362">
        <f>B4</f>
        <v>7467500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50000</v>
      </c>
      <c r="C6" s="362">
        <f>B6</f>
        <v>50000</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7517500</v>
      </c>
      <c r="C8" s="361">
        <f>SUM(C4:C7)</f>
        <v>7517500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7517500</v>
      </c>
      <c r="C12" s="361">
        <f>SUM(C8+C11)</f>
        <v>7517500</v>
      </c>
      <c r="D12" s="361">
        <f>SUM(D8+D11)</f>
        <v>0</v>
      </c>
      <c r="E12" s="363"/>
      <c r="F12" s="363"/>
      <c r="G12" s="363"/>
      <c r="H12" s="363"/>
      <c r="I12" s="363"/>
      <c r="J12" s="363"/>
      <c r="K12" s="359"/>
    </row>
    <row r="13" spans="1:11" s="360" customFormat="1">
      <c r="A13" s="366" t="s">
        <v>902</v>
      </c>
      <c r="B13" s="361">
        <f>'Sources and Uses Budget'!C13</f>
        <v>563600</v>
      </c>
      <c r="C13" s="362">
        <f>B13</f>
        <v>563600</v>
      </c>
      <c r="D13" s="362"/>
      <c r="E13" s="361">
        <f>'Sources and Uses Budget'!S13</f>
        <v>35000</v>
      </c>
      <c r="F13" s="362">
        <f>E13</f>
        <v>35000</v>
      </c>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7846158</v>
      </c>
      <c r="C29" s="362">
        <f>B29</f>
        <v>7846158</v>
      </c>
      <c r="D29" s="362"/>
      <c r="E29" s="361">
        <f>'Sources and Uses Budget'!S29</f>
        <v>7846158</v>
      </c>
      <c r="F29" s="362">
        <f>E29</f>
        <v>7846158</v>
      </c>
      <c r="G29" s="362"/>
      <c r="H29" s="361">
        <f>'Sources and Uses Budget'!T29</f>
        <v>0</v>
      </c>
      <c r="I29" s="362"/>
      <c r="J29" s="362"/>
      <c r="K29" s="359"/>
    </row>
    <row r="30" spans="1:11" s="360" customFormat="1">
      <c r="A30" s="145" t="s">
        <v>599</v>
      </c>
      <c r="B30" s="361">
        <f>'Sources and Uses Budget'!C30</f>
        <v>69825000</v>
      </c>
      <c r="C30" s="362">
        <f t="shared" ref="C30:C37" si="0">B30</f>
        <v>69825000</v>
      </c>
      <c r="D30" s="362"/>
      <c r="E30" s="361">
        <f>'Sources and Uses Budget'!S30</f>
        <v>69825000</v>
      </c>
      <c r="F30" s="362">
        <f t="shared" ref="F30:F37" si="1">E30</f>
        <v>69825000</v>
      </c>
      <c r="G30" s="362"/>
      <c r="H30" s="361">
        <f>'Sources and Uses Budget'!T30</f>
        <v>0</v>
      </c>
      <c r="I30" s="362"/>
      <c r="J30" s="362"/>
      <c r="K30" s="359"/>
    </row>
    <row r="31" spans="1:11" s="360" customFormat="1">
      <c r="A31" s="145" t="s">
        <v>600</v>
      </c>
      <c r="B31" s="361">
        <f>'Sources and Uses Budget'!C31</f>
        <v>1263400</v>
      </c>
      <c r="C31" s="362">
        <f t="shared" si="0"/>
        <v>1263400</v>
      </c>
      <c r="D31" s="362"/>
      <c r="E31" s="361">
        <f>'Sources and Uses Budget'!S31</f>
        <v>1263400</v>
      </c>
      <c r="F31" s="362">
        <f t="shared" si="1"/>
        <v>1263400</v>
      </c>
      <c r="G31" s="362"/>
      <c r="H31" s="361">
        <f>'Sources and Uses Budget'!T31</f>
        <v>0</v>
      </c>
      <c r="I31" s="362"/>
      <c r="J31" s="362"/>
      <c r="K31" s="359"/>
    </row>
    <row r="32" spans="1:11" s="360" customFormat="1">
      <c r="A32" s="145" t="s">
        <v>137</v>
      </c>
      <c r="B32" s="361">
        <f>'Sources and Uses Budget'!C32</f>
        <v>1263400</v>
      </c>
      <c r="C32" s="362">
        <f t="shared" si="0"/>
        <v>1263400</v>
      </c>
      <c r="D32" s="362"/>
      <c r="E32" s="361">
        <f>'Sources and Uses Budget'!S32</f>
        <v>1263400</v>
      </c>
      <c r="F32" s="362">
        <f t="shared" si="1"/>
        <v>1263400</v>
      </c>
      <c r="G32" s="362"/>
      <c r="H32" s="361">
        <f>'Sources and Uses Budget'!T32</f>
        <v>0</v>
      </c>
      <c r="I32" s="362"/>
      <c r="J32" s="362"/>
      <c r="K32" s="359"/>
    </row>
    <row r="33" spans="1:11" s="360" customFormat="1">
      <c r="A33" s="145" t="s">
        <v>138</v>
      </c>
      <c r="B33" s="361">
        <f>'Sources and Uses Budget'!C33</f>
        <v>2322456</v>
      </c>
      <c r="C33" s="362">
        <f t="shared" si="0"/>
        <v>2322456</v>
      </c>
      <c r="D33" s="362"/>
      <c r="E33" s="361">
        <f>'Sources and Uses Budget'!S33</f>
        <v>2322456</v>
      </c>
      <c r="F33" s="362">
        <f t="shared" si="1"/>
        <v>2322456</v>
      </c>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f t="shared" si="1"/>
        <v>0</v>
      </c>
      <c r="G34" s="362"/>
      <c r="H34" s="361">
        <f>'Sources and Uses Budget'!T34</f>
        <v>0</v>
      </c>
      <c r="I34" s="362"/>
      <c r="J34" s="362"/>
      <c r="K34" s="359"/>
    </row>
    <row r="35" spans="1:11" s="360" customFormat="1">
      <c r="A35" s="145" t="s">
        <v>140</v>
      </c>
      <c r="B35" s="361">
        <f>'Sources and Uses Budget'!C35</f>
        <v>425744</v>
      </c>
      <c r="C35" s="362">
        <f t="shared" si="0"/>
        <v>425744</v>
      </c>
      <c r="D35" s="362"/>
      <c r="E35" s="361">
        <f>'Sources and Uses Budget'!S35</f>
        <v>425744</v>
      </c>
      <c r="F35" s="362">
        <f t="shared" si="1"/>
        <v>425744</v>
      </c>
      <c r="G35" s="362"/>
      <c r="H35" s="361">
        <f>'Sources and Uses Budget'!T35</f>
        <v>0</v>
      </c>
      <c r="I35" s="362"/>
      <c r="J35" s="362"/>
      <c r="K35" s="359"/>
    </row>
    <row r="36" spans="1:11" s="360" customFormat="1">
      <c r="A36" s="508" t="s">
        <v>1640</v>
      </c>
      <c r="B36" s="361">
        <f>'Sources and Uses Budget'!C36</f>
        <v>450000</v>
      </c>
      <c r="C36" s="362">
        <f t="shared" si="0"/>
        <v>450000</v>
      </c>
      <c r="D36" s="362"/>
      <c r="E36" s="361">
        <f>'Sources and Uses Budget'!S36</f>
        <v>450000</v>
      </c>
      <c r="F36" s="362">
        <f t="shared" si="1"/>
        <v>450000</v>
      </c>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83396158</v>
      </c>
      <c r="C38" s="361">
        <f>SUM(C29:C37)</f>
        <v>83396158</v>
      </c>
      <c r="D38" s="361">
        <f>SUM(D29:D37)</f>
        <v>0</v>
      </c>
      <c r="E38" s="361">
        <f>'Sources and Uses Budget'!S38</f>
        <v>83396158</v>
      </c>
      <c r="F38" s="367">
        <f>SUM(F29:F37)</f>
        <v>83396158</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2246590</v>
      </c>
      <c r="C40" s="362">
        <f>B40</f>
        <v>2246590</v>
      </c>
      <c r="D40" s="362"/>
      <c r="E40" s="361">
        <f>'Sources and Uses Budget'!S40</f>
        <v>2246590</v>
      </c>
      <c r="F40" s="362">
        <f>E40</f>
        <v>2246590</v>
      </c>
      <c r="G40" s="362"/>
      <c r="H40" s="361">
        <f>'Sources and Uses Budget'!T40</f>
        <v>0</v>
      </c>
      <c r="I40" s="362"/>
      <c r="J40" s="362"/>
      <c r="K40" s="359"/>
    </row>
    <row r="41" spans="1:11" s="360" customFormat="1">
      <c r="A41" s="364" t="s">
        <v>146</v>
      </c>
      <c r="B41" s="361">
        <f>'Sources and Uses Budget'!C41</f>
        <v>750000</v>
      </c>
      <c r="C41" s="362">
        <f>B41</f>
        <v>750000</v>
      </c>
      <c r="D41" s="362"/>
      <c r="E41" s="361">
        <f>'Sources and Uses Budget'!S41</f>
        <v>750000</v>
      </c>
      <c r="F41" s="362">
        <f>E41</f>
        <v>750000</v>
      </c>
      <c r="G41" s="362"/>
      <c r="H41" s="361">
        <f>'Sources and Uses Budget'!T41</f>
        <v>0</v>
      </c>
      <c r="I41" s="362"/>
      <c r="J41" s="362"/>
      <c r="K41" s="359"/>
    </row>
    <row r="42" spans="1:11" s="360" customFormat="1">
      <c r="A42" s="365" t="s">
        <v>147</v>
      </c>
      <c r="B42" s="361">
        <f>'Sources and Uses Budget'!C42</f>
        <v>2996590</v>
      </c>
      <c r="C42" s="361">
        <f>SUM(C39:C41)</f>
        <v>2996590</v>
      </c>
      <c r="D42" s="361">
        <f>SUM(D39:D41)</f>
        <v>0</v>
      </c>
      <c r="E42" s="361">
        <f>'Sources and Uses Budget'!S42</f>
        <v>2996590</v>
      </c>
      <c r="F42" s="367">
        <f>SUM(F40:F41)</f>
        <v>2996590</v>
      </c>
      <c r="G42" s="367">
        <f>SUM(G40:G41)</f>
        <v>0</v>
      </c>
      <c r="H42" s="361">
        <f>'Sources and Uses Budget'!T42</f>
        <v>0</v>
      </c>
      <c r="I42" s="367">
        <f>SUM(I40:I41)</f>
        <v>0</v>
      </c>
      <c r="J42" s="367">
        <f>SUM(J40:J41)</f>
        <v>0</v>
      </c>
      <c r="K42" s="359"/>
    </row>
    <row r="43" spans="1:11" s="360" customFormat="1">
      <c r="A43" s="365" t="s">
        <v>148</v>
      </c>
      <c r="B43" s="361">
        <f>'Sources and Uses Budget'!C43</f>
        <v>1764726</v>
      </c>
      <c r="C43" s="362">
        <f>B43</f>
        <v>1764726</v>
      </c>
      <c r="D43" s="362"/>
      <c r="E43" s="361">
        <f>'Sources and Uses Budget'!S43</f>
        <v>1764726</v>
      </c>
      <c r="F43" s="362">
        <f>E43</f>
        <v>1764726</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11380839</v>
      </c>
      <c r="C45" s="362">
        <f>B45</f>
        <v>11380839</v>
      </c>
      <c r="D45" s="362"/>
      <c r="E45" s="361">
        <f>'Sources and Uses Budget'!S45</f>
        <v>6601507</v>
      </c>
      <c r="F45" s="362">
        <f>E45</f>
        <v>6601507</v>
      </c>
      <c r="G45" s="362"/>
      <c r="H45" s="361">
        <f>'Sources and Uses Budget'!T45</f>
        <v>0</v>
      </c>
      <c r="I45" s="362"/>
      <c r="J45" s="362"/>
      <c r="K45" s="359"/>
    </row>
    <row r="46" spans="1:11" s="360" customFormat="1">
      <c r="A46" s="364" t="s">
        <v>151</v>
      </c>
      <c r="B46" s="361">
        <f>'Sources and Uses Budget'!C46</f>
        <v>1080000</v>
      </c>
      <c r="C46" s="362">
        <f t="shared" ref="C46:C53" si="2">B46</f>
        <v>1080000</v>
      </c>
      <c r="D46" s="362"/>
      <c r="E46" s="361">
        <f>'Sources and Uses Budget'!S46</f>
        <v>1080000</v>
      </c>
      <c r="F46" s="362">
        <f t="shared" ref="F46:F53" si="3">E46</f>
        <v>1080000</v>
      </c>
      <c r="G46" s="362"/>
      <c r="H46" s="361">
        <f>'Sources and Uses Budget'!T46</f>
        <v>0</v>
      </c>
      <c r="I46" s="362"/>
      <c r="J46" s="362"/>
      <c r="K46" s="359"/>
    </row>
    <row r="47" spans="1:11" s="360" customFormat="1" ht="12" customHeight="1">
      <c r="A47" s="364" t="s">
        <v>152</v>
      </c>
      <c r="B47" s="361">
        <f>'Sources and Uses Budget'!C47</f>
        <v>0</v>
      </c>
      <c r="C47" s="362">
        <f t="shared" si="2"/>
        <v>0</v>
      </c>
      <c r="D47" s="362"/>
      <c r="E47" s="361">
        <f>'Sources and Uses Budget'!S47</f>
        <v>0</v>
      </c>
      <c r="F47" s="362">
        <f t="shared" si="3"/>
        <v>0</v>
      </c>
      <c r="G47" s="362"/>
      <c r="H47" s="361">
        <f>'Sources and Uses Budget'!T47</f>
        <v>0</v>
      </c>
      <c r="I47" s="362"/>
      <c r="J47" s="362"/>
      <c r="K47" s="359"/>
    </row>
    <row r="48" spans="1:11" s="360" customFormat="1">
      <c r="A48" s="364" t="s">
        <v>153</v>
      </c>
      <c r="B48" s="361">
        <f>'Sources and Uses Budget'!C48</f>
        <v>650000</v>
      </c>
      <c r="C48" s="362">
        <f t="shared" si="2"/>
        <v>650000</v>
      </c>
      <c r="D48" s="362"/>
      <c r="E48" s="361">
        <f>'Sources and Uses Budget'!S48</f>
        <v>650000</v>
      </c>
      <c r="F48" s="362">
        <f t="shared" si="3"/>
        <v>650000</v>
      </c>
      <c r="G48" s="362"/>
      <c r="H48" s="361">
        <f>'Sources and Uses Budget'!T48</f>
        <v>0</v>
      </c>
      <c r="I48" s="362"/>
      <c r="J48" s="362"/>
      <c r="K48" s="359"/>
    </row>
    <row r="49" spans="1:11" s="360" customFormat="1">
      <c r="A49" s="283" t="s">
        <v>57</v>
      </c>
      <c r="B49" s="361">
        <f>'Sources and Uses Budget'!C49</f>
        <v>540000</v>
      </c>
      <c r="C49" s="362">
        <f t="shared" si="2"/>
        <v>540000</v>
      </c>
      <c r="D49" s="362"/>
      <c r="E49" s="361">
        <f>'Sources and Uses Budget'!S49</f>
        <v>540000</v>
      </c>
      <c r="F49" s="362">
        <f t="shared" si="3"/>
        <v>540000</v>
      </c>
      <c r="G49" s="362"/>
      <c r="H49" s="361">
        <f>'Sources and Uses Budget'!T49</f>
        <v>0</v>
      </c>
      <c r="I49" s="362"/>
      <c r="J49" s="362"/>
      <c r="K49" s="359"/>
    </row>
    <row r="50" spans="1:11" s="360" customFormat="1">
      <c r="A50" s="364" t="s">
        <v>156</v>
      </c>
      <c r="B50" s="361">
        <f>'Sources and Uses Budget'!C50</f>
        <v>150000</v>
      </c>
      <c r="C50" s="362">
        <f t="shared" si="2"/>
        <v>150000</v>
      </c>
      <c r="D50" s="362"/>
      <c r="E50" s="361">
        <f>'Sources and Uses Budget'!S50</f>
        <v>150000</v>
      </c>
      <c r="F50" s="362">
        <f t="shared" si="3"/>
        <v>150000</v>
      </c>
      <c r="G50" s="362"/>
      <c r="H50" s="361">
        <f>'Sources and Uses Budget'!T50</f>
        <v>0</v>
      </c>
      <c r="I50" s="362"/>
      <c r="J50" s="362"/>
      <c r="K50" s="359"/>
    </row>
    <row r="51" spans="1:11" s="360" customFormat="1">
      <c r="A51" s="364" t="s">
        <v>154</v>
      </c>
      <c r="B51" s="361">
        <f>'Sources and Uses Budget'!C51</f>
        <v>250000</v>
      </c>
      <c r="C51" s="362">
        <f t="shared" si="2"/>
        <v>250000</v>
      </c>
      <c r="D51" s="362"/>
      <c r="E51" s="361">
        <f>'Sources and Uses Budget'!S51</f>
        <v>250000</v>
      </c>
      <c r="F51" s="362">
        <f t="shared" si="3"/>
        <v>250000</v>
      </c>
      <c r="G51" s="362"/>
      <c r="H51" s="361">
        <f>'Sources and Uses Budget'!T51</f>
        <v>0</v>
      </c>
      <c r="I51" s="362"/>
      <c r="J51" s="362"/>
      <c r="K51" s="359"/>
    </row>
    <row r="52" spans="1:11" s="360" customFormat="1">
      <c r="A52" s="364" t="s">
        <v>155</v>
      </c>
      <c r="B52" s="361">
        <f>'Sources and Uses Budget'!C52</f>
        <v>1500000</v>
      </c>
      <c r="C52" s="362">
        <f t="shared" si="2"/>
        <v>1500000</v>
      </c>
      <c r="D52" s="362"/>
      <c r="E52" s="361">
        <f>'Sources and Uses Budget'!S52</f>
        <v>1500000</v>
      </c>
      <c r="F52" s="362">
        <f t="shared" si="3"/>
        <v>1500000</v>
      </c>
      <c r="G52" s="362"/>
      <c r="H52" s="361">
        <f>'Sources and Uses Budget'!T52</f>
        <v>0</v>
      </c>
      <c r="I52" s="362"/>
      <c r="J52" s="362"/>
      <c r="K52" s="359"/>
    </row>
    <row r="53" spans="1:11" s="360" customFormat="1">
      <c r="A53" s="364" t="str">
        <f>'Sources and Uses Budget'!$A53</f>
        <v>Other: (Specify)</v>
      </c>
      <c r="B53" s="361">
        <f>'Sources and Uses Budget'!C53</f>
        <v>0</v>
      </c>
      <c r="C53" s="362">
        <f t="shared" si="2"/>
        <v>0</v>
      </c>
      <c r="D53" s="362"/>
      <c r="E53" s="361">
        <f>'Sources and Uses Budget'!S53</f>
        <v>0</v>
      </c>
      <c r="F53" s="362">
        <f t="shared" si="3"/>
        <v>0</v>
      </c>
      <c r="G53" s="362"/>
      <c r="H53" s="361">
        <f>'Sources and Uses Budget'!T53</f>
        <v>0</v>
      </c>
      <c r="I53" s="362"/>
      <c r="J53" s="362"/>
      <c r="K53" s="359"/>
    </row>
    <row r="54" spans="1:11" s="369" customFormat="1">
      <c r="A54" s="365" t="s">
        <v>157</v>
      </c>
      <c r="B54" s="361">
        <f>'Sources and Uses Budget'!C54</f>
        <v>15550839</v>
      </c>
      <c r="C54" s="367">
        <f>SUM(C45:C53)</f>
        <v>15550839</v>
      </c>
      <c r="D54" s="367">
        <f>SUM(D45:D53)</f>
        <v>0</v>
      </c>
      <c r="E54" s="361">
        <f>'Sources and Uses Budget'!S54</f>
        <v>10771507</v>
      </c>
      <c r="F54" s="367">
        <f>SUM(F45:F53)</f>
        <v>10771507</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55000</v>
      </c>
      <c r="C56" s="362">
        <f>B56</f>
        <v>55000</v>
      </c>
      <c r="D56" s="362"/>
      <c r="E56" s="363"/>
      <c r="F56" s="363"/>
      <c r="G56" s="363"/>
      <c r="H56" s="363"/>
      <c r="I56" s="363"/>
      <c r="J56" s="363"/>
      <c r="K56" s="359"/>
    </row>
    <row r="57" spans="1:11" s="360" customFormat="1" ht="12" customHeight="1">
      <c r="A57" s="364" t="s">
        <v>152</v>
      </c>
      <c r="B57" s="361">
        <f>'Sources and Uses Budget'!C57</f>
        <v>0</v>
      </c>
      <c r="C57" s="362">
        <f t="shared" ref="C57:C61" si="4">B57</f>
        <v>0</v>
      </c>
      <c r="D57" s="362"/>
      <c r="E57" s="363"/>
      <c r="F57" s="363"/>
      <c r="G57" s="363"/>
      <c r="H57" s="363"/>
      <c r="I57" s="363"/>
      <c r="J57" s="363"/>
      <c r="K57" s="359"/>
    </row>
    <row r="58" spans="1:11" s="360" customFormat="1">
      <c r="A58" s="364" t="s">
        <v>156</v>
      </c>
      <c r="B58" s="361">
        <f>'Sources and Uses Budget'!C58</f>
        <v>50000</v>
      </c>
      <c r="C58" s="362">
        <f t="shared" si="4"/>
        <v>50000</v>
      </c>
      <c r="D58" s="362"/>
      <c r="E58" s="363"/>
      <c r="F58" s="363"/>
      <c r="G58" s="363"/>
      <c r="H58" s="363"/>
      <c r="I58" s="363"/>
      <c r="J58" s="363"/>
      <c r="K58" s="359"/>
    </row>
    <row r="59" spans="1:11" s="360" customFormat="1">
      <c r="A59" s="364" t="s">
        <v>154</v>
      </c>
      <c r="B59" s="361">
        <f>'Sources and Uses Budget'!C59</f>
        <v>281250</v>
      </c>
      <c r="C59" s="362">
        <f t="shared" si="4"/>
        <v>281250</v>
      </c>
      <c r="D59" s="362"/>
      <c r="E59" s="363"/>
      <c r="F59" s="363"/>
      <c r="G59" s="363"/>
      <c r="H59" s="363"/>
      <c r="I59" s="363"/>
      <c r="J59" s="363"/>
      <c r="K59" s="359"/>
    </row>
    <row r="60" spans="1:11" s="360" customFormat="1">
      <c r="A60" s="364" t="s">
        <v>155</v>
      </c>
      <c r="B60" s="361">
        <f>'Sources and Uses Budget'!C60</f>
        <v>0</v>
      </c>
      <c r="C60" s="362">
        <f t="shared" si="4"/>
        <v>0</v>
      </c>
      <c r="D60" s="362"/>
      <c r="E60" s="363"/>
      <c r="F60" s="363"/>
      <c r="G60" s="363"/>
      <c r="H60" s="363"/>
      <c r="I60" s="363"/>
      <c r="J60" s="363"/>
      <c r="K60" s="359"/>
    </row>
    <row r="61" spans="1:11" s="360" customFormat="1">
      <c r="A61" s="364" t="str">
        <f>'Sources and Uses Budget'!$A61</f>
        <v>Other: (Specify)</v>
      </c>
      <c r="B61" s="361">
        <f>'Sources and Uses Budget'!C61</f>
        <v>0</v>
      </c>
      <c r="C61" s="362">
        <f t="shared" si="4"/>
        <v>0</v>
      </c>
      <c r="D61" s="362"/>
      <c r="E61" s="363"/>
      <c r="F61" s="363"/>
      <c r="G61" s="363"/>
      <c r="H61" s="363"/>
      <c r="I61" s="363"/>
      <c r="J61" s="363"/>
      <c r="K61" s="359"/>
    </row>
    <row r="62" spans="1:11" s="360" customFormat="1" ht="13.7" customHeight="1">
      <c r="A62" s="365" t="s">
        <v>300</v>
      </c>
      <c r="B62" s="361">
        <f>'Sources and Uses Budget'!C62</f>
        <v>386250</v>
      </c>
      <c r="C62" s="361">
        <f>SUM(C56:C61)</f>
        <v>386250</v>
      </c>
      <c r="D62" s="361">
        <f>SUM(D56:D61)</f>
        <v>0</v>
      </c>
      <c r="E62" s="363"/>
      <c r="F62" s="363"/>
      <c r="G62" s="363"/>
      <c r="H62" s="363"/>
      <c r="I62" s="363"/>
      <c r="J62" s="363"/>
      <c r="K62" s="359"/>
    </row>
    <row r="63" spans="1:11" s="360" customFormat="1">
      <c r="A63" s="370" t="s">
        <v>301</v>
      </c>
      <c r="B63" s="361">
        <f>'Sources and Uses Budget'!C63</f>
        <v>112175663</v>
      </c>
      <c r="C63" s="361">
        <f>SUM(C8+C11+C13+C14+C15+C26+C27+C38+C42+C43+C54+C62)</f>
        <v>112175663</v>
      </c>
      <c r="D63" s="361">
        <f>SUM(D8+D11+D13+D14+D15+D26+D27+D38+D42+D43+D54+D62)</f>
        <v>0</v>
      </c>
      <c r="E63" s="361">
        <f>'Sources and Uses Budget'!S63</f>
        <v>98963981</v>
      </c>
      <c r="F63" s="361">
        <f>SUM(F10+F13+F14+F15+F26+F27+F38+F42+F43+F54)</f>
        <v>98963981</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135000</v>
      </c>
      <c r="C65" s="362">
        <f>B65</f>
        <v>135000</v>
      </c>
      <c r="D65" s="362"/>
      <c r="E65" s="361">
        <f>'Sources and Uses Budget'!S65</f>
        <v>135000</v>
      </c>
      <c r="F65" s="362">
        <f>E65</f>
        <v>135000</v>
      </c>
      <c r="G65" s="362"/>
      <c r="H65" s="361">
        <f>'Sources and Uses Budget'!T65</f>
        <v>0</v>
      </c>
      <c r="I65" s="362"/>
      <c r="J65" s="362"/>
      <c r="K65" s="359"/>
    </row>
    <row r="66" spans="1:11" s="360" customFormat="1" ht="24">
      <c r="A66" s="283" t="s">
        <v>1641</v>
      </c>
      <c r="B66" s="361">
        <f>'Sources and Uses Budget'!C66</f>
        <v>0</v>
      </c>
      <c r="C66" s="362">
        <f t="shared" ref="C66:C69" si="5">B66</f>
        <v>0</v>
      </c>
      <c r="D66" s="362"/>
      <c r="E66" s="361">
        <f>'Sources and Uses Budget'!S66</f>
        <v>0</v>
      </c>
      <c r="F66" s="362">
        <f t="shared" ref="F66:F69" si="6">E66</f>
        <v>0</v>
      </c>
      <c r="G66" s="362"/>
      <c r="H66" s="361">
        <f>'Sources and Uses Budget'!T66</f>
        <v>0</v>
      </c>
      <c r="I66" s="362"/>
      <c r="J66" s="362"/>
      <c r="K66" s="359"/>
    </row>
    <row r="67" spans="1:11" s="360" customFormat="1" ht="24">
      <c r="A67" s="283" t="s">
        <v>1642</v>
      </c>
      <c r="B67" s="361">
        <f>'Sources and Uses Budget'!C67</f>
        <v>300000</v>
      </c>
      <c r="C67" s="362">
        <f t="shared" si="5"/>
        <v>300000</v>
      </c>
      <c r="D67" s="362"/>
      <c r="E67" s="361">
        <f>'Sources and Uses Budget'!S67</f>
        <v>300000</v>
      </c>
      <c r="F67" s="362">
        <f t="shared" si="6"/>
        <v>300000</v>
      </c>
      <c r="G67" s="362"/>
      <c r="H67" s="361">
        <f>'Sources and Uses Budget'!T67</f>
        <v>0</v>
      </c>
      <c r="I67" s="362"/>
      <c r="J67" s="362"/>
      <c r="K67" s="359"/>
    </row>
    <row r="68" spans="1:11" s="360" customFormat="1">
      <c r="A68" s="283" t="s">
        <v>1648</v>
      </c>
      <c r="B68" s="361">
        <f>'Sources and Uses Budget'!C68</f>
        <v>0</v>
      </c>
      <c r="C68" s="362">
        <f t="shared" si="5"/>
        <v>0</v>
      </c>
      <c r="D68" s="362"/>
      <c r="E68" s="361">
        <f>'Sources and Uses Budget'!S68</f>
        <v>0</v>
      </c>
      <c r="F68" s="362">
        <f t="shared" si="6"/>
        <v>0</v>
      </c>
      <c r="G68" s="362"/>
      <c r="H68" s="361">
        <f>'Sources and Uses Budget'!T68</f>
        <v>0</v>
      </c>
      <c r="I68" s="362"/>
      <c r="J68" s="362"/>
      <c r="K68" s="359"/>
    </row>
    <row r="69" spans="1:11" s="360" customFormat="1">
      <c r="A69" s="364" t="str">
        <f>'Sources and Uses Budget'!$A69</f>
        <v>Transaction Legal</v>
      </c>
      <c r="B69" s="361">
        <f>'Sources and Uses Budget'!C69</f>
        <v>275000</v>
      </c>
      <c r="C69" s="362">
        <f t="shared" si="5"/>
        <v>275000</v>
      </c>
      <c r="D69" s="362"/>
      <c r="E69" s="361">
        <f>'Sources and Uses Budget'!S69</f>
        <v>275000</v>
      </c>
      <c r="F69" s="362">
        <f t="shared" si="6"/>
        <v>275000</v>
      </c>
      <c r="G69" s="362"/>
      <c r="H69" s="361">
        <f>'Sources and Uses Budget'!T69</f>
        <v>0</v>
      </c>
      <c r="I69" s="362"/>
      <c r="J69" s="362"/>
      <c r="K69" s="359"/>
    </row>
    <row r="70" spans="1:11" s="360" customFormat="1">
      <c r="A70" s="365" t="s">
        <v>601</v>
      </c>
      <c r="B70" s="361">
        <f>'Sources and Uses Budget'!C70</f>
        <v>710000</v>
      </c>
      <c r="C70" s="361">
        <f>SUM(C64:C69)</f>
        <v>710000</v>
      </c>
      <c r="D70" s="361">
        <f>SUM(D64:D69)</f>
        <v>0</v>
      </c>
      <c r="E70" s="361">
        <f>'Sources and Uses Budget'!S70</f>
        <v>710000</v>
      </c>
      <c r="F70" s="367">
        <f>SUM(F65:F69)</f>
        <v>710000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f>B72</f>
        <v>0</v>
      </c>
      <c r="D72" s="362"/>
      <c r="E72" s="363"/>
      <c r="F72" s="363"/>
      <c r="G72" s="363"/>
      <c r="H72" s="363"/>
      <c r="I72" s="363"/>
      <c r="J72" s="363"/>
      <c r="K72" s="359"/>
    </row>
    <row r="73" spans="1:11" s="360" customFormat="1">
      <c r="A73" s="364" t="s">
        <v>604</v>
      </c>
      <c r="B73" s="361">
        <f>'Sources and Uses Budget'!C73</f>
        <v>325000</v>
      </c>
      <c r="C73" s="362">
        <f t="shared" ref="C73:C76" si="7">B73</f>
        <v>325000</v>
      </c>
      <c r="D73" s="362"/>
      <c r="E73" s="363"/>
      <c r="F73" s="363"/>
      <c r="G73" s="363"/>
      <c r="H73" s="363"/>
      <c r="I73" s="363"/>
      <c r="J73" s="363"/>
      <c r="K73" s="359"/>
    </row>
    <row r="74" spans="1:11" s="360" customFormat="1">
      <c r="A74" s="366" t="s">
        <v>986</v>
      </c>
      <c r="B74" s="361">
        <f>'Sources and Uses Budget'!C74</f>
        <v>0</v>
      </c>
      <c r="C74" s="362">
        <f t="shared" si="7"/>
        <v>0</v>
      </c>
      <c r="D74" s="362"/>
      <c r="E74" s="363"/>
      <c r="F74" s="363"/>
      <c r="G74" s="363"/>
      <c r="H74" s="363"/>
      <c r="I74" s="363"/>
      <c r="J74" s="363"/>
      <c r="K74" s="359"/>
    </row>
    <row r="75" spans="1:11" s="360" customFormat="1">
      <c r="A75" s="364" t="s">
        <v>605</v>
      </c>
      <c r="B75" s="361">
        <f>'Sources and Uses Budget'!C75</f>
        <v>1500000</v>
      </c>
      <c r="C75" s="362">
        <f t="shared" si="7"/>
        <v>1500000</v>
      </c>
      <c r="D75" s="362"/>
      <c r="E75" s="363"/>
      <c r="F75" s="363"/>
      <c r="G75" s="363"/>
      <c r="H75" s="363"/>
      <c r="I75" s="363"/>
      <c r="J75" s="363"/>
      <c r="K75" s="359"/>
    </row>
    <row r="76" spans="1:11" s="360" customFormat="1">
      <c r="A76" s="364" t="str">
        <f>'Sources and Uses Budget'!$A76</f>
        <v>Partnership Reserve</v>
      </c>
      <c r="B76" s="361">
        <f>'Sources and Uses Budget'!C76</f>
        <v>500000</v>
      </c>
      <c r="C76" s="362">
        <f t="shared" si="7"/>
        <v>500000</v>
      </c>
      <c r="D76" s="362"/>
      <c r="E76" s="363"/>
      <c r="F76" s="363"/>
      <c r="G76" s="363"/>
      <c r="H76" s="363"/>
      <c r="I76" s="363"/>
      <c r="J76" s="363"/>
      <c r="K76" s="359"/>
    </row>
    <row r="77" spans="1:11" s="360" customFormat="1">
      <c r="A77" s="365" t="s">
        <v>606</v>
      </c>
      <c r="B77" s="361">
        <f>'Sources and Uses Budget'!C77</f>
        <v>2325000</v>
      </c>
      <c r="C77" s="361">
        <f>SUM(C72:C76)</f>
        <v>2325000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4557308</v>
      </c>
      <c r="C79" s="362">
        <f>B79</f>
        <v>4557308</v>
      </c>
      <c r="D79" s="362"/>
      <c r="E79" s="361">
        <f>'Sources and Uses Budget'!S79</f>
        <v>4557308</v>
      </c>
      <c r="F79" s="362">
        <f>E79</f>
        <v>4557308</v>
      </c>
      <c r="G79" s="362"/>
      <c r="H79" s="361">
        <f>'Sources and Uses Budget'!T79</f>
        <v>0</v>
      </c>
      <c r="I79" s="362"/>
      <c r="J79" s="362"/>
      <c r="K79" s="359"/>
    </row>
    <row r="80" spans="1:11" s="360" customFormat="1">
      <c r="A80" s="364" t="s">
        <v>58</v>
      </c>
      <c r="B80" s="361">
        <f>'Sources and Uses Budget'!C80</f>
        <v>1091809</v>
      </c>
      <c r="C80" s="362">
        <f>B80</f>
        <v>1091809</v>
      </c>
      <c r="D80" s="362"/>
      <c r="E80" s="361">
        <f>'Sources and Uses Budget'!S80</f>
        <v>1091809</v>
      </c>
      <c r="F80" s="362">
        <f>E80</f>
        <v>1091809</v>
      </c>
      <c r="G80" s="362"/>
      <c r="H80" s="361">
        <f>'Sources and Uses Budget'!T80</f>
        <v>0</v>
      </c>
      <c r="I80" s="362"/>
      <c r="J80" s="362"/>
      <c r="K80" s="359"/>
    </row>
    <row r="81" spans="1:11" s="360" customFormat="1">
      <c r="A81" s="365" t="s">
        <v>1209</v>
      </c>
      <c r="B81" s="361">
        <f>'Sources and Uses Budget'!C81</f>
        <v>5649117</v>
      </c>
      <c r="C81" s="361">
        <f>SUM(C79:C80)</f>
        <v>5649117</v>
      </c>
      <c r="D81" s="361">
        <f>SUM(D79:D80)</f>
        <v>0</v>
      </c>
      <c r="E81" s="361">
        <f>'Sources and Uses Budget'!S81</f>
        <v>5649117</v>
      </c>
      <c r="F81" s="361">
        <f>SUM(F79:F80)</f>
        <v>5649117</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75000</v>
      </c>
      <c r="C83" s="362">
        <f>B83</f>
        <v>75000</v>
      </c>
      <c r="D83" s="362"/>
      <c r="E83" s="363"/>
      <c r="F83" s="363"/>
      <c r="G83" s="363"/>
      <c r="H83" s="363"/>
      <c r="I83" s="363"/>
      <c r="J83" s="363"/>
      <c r="K83" s="359"/>
    </row>
    <row r="84" spans="1:11" s="360" customFormat="1">
      <c r="A84" s="145" t="s">
        <v>767</v>
      </c>
      <c r="B84" s="361">
        <f>'Sources and Uses Budget'!C84</f>
        <v>500000</v>
      </c>
      <c r="C84" s="362">
        <f t="shared" ref="C84:C95" si="8">B84</f>
        <v>500000</v>
      </c>
      <c r="D84" s="362"/>
      <c r="E84" s="361">
        <f>'Sources and Uses Budget'!S84</f>
        <v>500000</v>
      </c>
      <c r="F84" s="362">
        <f>E84</f>
        <v>500000</v>
      </c>
      <c r="G84" s="362"/>
      <c r="H84" s="361">
        <f>'Sources and Uses Budget'!T84</f>
        <v>0</v>
      </c>
      <c r="I84" s="362"/>
      <c r="J84" s="362"/>
      <c r="K84" s="359"/>
    </row>
    <row r="85" spans="1:11" s="360" customFormat="1">
      <c r="A85" s="145" t="s">
        <v>768</v>
      </c>
      <c r="B85" s="361">
        <f>'Sources and Uses Budget'!C85</f>
        <v>3161516</v>
      </c>
      <c r="C85" s="362">
        <f t="shared" si="8"/>
        <v>3161516</v>
      </c>
      <c r="D85" s="362"/>
      <c r="E85" s="361">
        <f>'Sources and Uses Budget'!S85</f>
        <v>3161516</v>
      </c>
      <c r="F85" s="362">
        <f t="shared" ref="F85:F87" si="9">E85</f>
        <v>3161516</v>
      </c>
      <c r="G85" s="362"/>
      <c r="H85" s="361">
        <f>'Sources and Uses Budget'!T85</f>
        <v>0</v>
      </c>
      <c r="I85" s="362"/>
      <c r="J85" s="362"/>
      <c r="K85" s="359"/>
    </row>
    <row r="86" spans="1:11" s="360" customFormat="1">
      <c r="A86" s="145" t="s">
        <v>769</v>
      </c>
      <c r="B86" s="361">
        <f>'Sources and Uses Budget'!C86</f>
        <v>950000</v>
      </c>
      <c r="C86" s="362">
        <f t="shared" si="8"/>
        <v>950000</v>
      </c>
      <c r="D86" s="362"/>
      <c r="E86" s="361">
        <f>'Sources and Uses Budget'!S86</f>
        <v>950000</v>
      </c>
      <c r="F86" s="362">
        <f t="shared" si="9"/>
        <v>950000</v>
      </c>
      <c r="G86" s="362"/>
      <c r="H86" s="361">
        <f>'Sources and Uses Budget'!T86</f>
        <v>0</v>
      </c>
      <c r="I86" s="362"/>
      <c r="J86" s="362"/>
      <c r="K86" s="359"/>
    </row>
    <row r="87" spans="1:11" s="360" customFormat="1">
      <c r="A87" s="145" t="s">
        <v>770</v>
      </c>
      <c r="B87" s="361">
        <f>'Sources and Uses Budget'!C87</f>
        <v>0</v>
      </c>
      <c r="C87" s="362">
        <f t="shared" si="8"/>
        <v>0</v>
      </c>
      <c r="D87" s="362"/>
      <c r="E87" s="361">
        <f>'Sources and Uses Budget'!S87</f>
        <v>0</v>
      </c>
      <c r="F87" s="362">
        <f t="shared" si="9"/>
        <v>0</v>
      </c>
      <c r="G87" s="362"/>
      <c r="H87" s="361">
        <f>'Sources and Uses Budget'!T87</f>
        <v>0</v>
      </c>
      <c r="I87" s="362"/>
      <c r="J87" s="362"/>
      <c r="K87" s="359"/>
    </row>
    <row r="88" spans="1:11" s="360" customFormat="1">
      <c r="A88" s="145" t="s">
        <v>771</v>
      </c>
      <c r="B88" s="361">
        <f>'Sources and Uses Budget'!C88</f>
        <v>150000</v>
      </c>
      <c r="C88" s="362">
        <f t="shared" si="8"/>
        <v>150000</v>
      </c>
      <c r="D88" s="362"/>
      <c r="E88" s="363"/>
      <c r="F88" s="363"/>
      <c r="G88" s="363"/>
      <c r="H88" s="363"/>
      <c r="I88" s="363"/>
      <c r="J88" s="363"/>
      <c r="K88" s="359"/>
    </row>
    <row r="89" spans="1:11" s="360" customFormat="1">
      <c r="A89" s="145" t="s">
        <v>772</v>
      </c>
      <c r="B89" s="361">
        <f>'Sources and Uses Budget'!C89</f>
        <v>350000</v>
      </c>
      <c r="C89" s="362">
        <f t="shared" si="8"/>
        <v>350000</v>
      </c>
      <c r="D89" s="362"/>
      <c r="E89" s="361">
        <f>'Sources and Uses Budget'!S89</f>
        <v>350000</v>
      </c>
      <c r="F89" s="362">
        <f>E89</f>
        <v>350000</v>
      </c>
      <c r="G89" s="362"/>
      <c r="H89" s="361">
        <f>'Sources and Uses Budget'!T89</f>
        <v>0</v>
      </c>
      <c r="I89" s="362"/>
      <c r="J89" s="362"/>
      <c r="K89" s="359"/>
    </row>
    <row r="90" spans="1:11" s="360" customFormat="1">
      <c r="A90" s="145" t="s">
        <v>773</v>
      </c>
      <c r="B90" s="361">
        <f>'Sources and Uses Budget'!C90</f>
        <v>12500</v>
      </c>
      <c r="C90" s="362">
        <f t="shared" si="8"/>
        <v>12500</v>
      </c>
      <c r="D90" s="362"/>
      <c r="E90" s="361">
        <f>'Sources and Uses Budget'!S90</f>
        <v>12500</v>
      </c>
      <c r="F90" s="362">
        <f t="shared" ref="F90:F95" si="10">E90</f>
        <v>12500</v>
      </c>
      <c r="G90" s="362"/>
      <c r="H90" s="361">
        <f>'Sources and Uses Budget'!T90</f>
        <v>0</v>
      </c>
      <c r="I90" s="362"/>
      <c r="J90" s="362"/>
      <c r="K90" s="359"/>
    </row>
    <row r="91" spans="1:11" s="360" customFormat="1">
      <c r="A91" s="155" t="s">
        <v>371</v>
      </c>
      <c r="B91" s="361">
        <f>'Sources and Uses Budget'!C91</f>
        <v>20000</v>
      </c>
      <c r="C91" s="362">
        <f t="shared" si="8"/>
        <v>20000</v>
      </c>
      <c r="D91" s="362"/>
      <c r="E91" s="361">
        <f>'Sources and Uses Budget'!S91</f>
        <v>20000</v>
      </c>
      <c r="F91" s="362">
        <f t="shared" si="10"/>
        <v>20000</v>
      </c>
      <c r="G91" s="362"/>
      <c r="H91" s="361">
        <f>'Sources and Uses Budget'!T91</f>
        <v>0</v>
      </c>
      <c r="I91" s="362"/>
      <c r="J91" s="362"/>
      <c r="K91" s="359"/>
    </row>
    <row r="92" spans="1:11" s="360" customFormat="1">
      <c r="A92" s="508" t="s">
        <v>1211</v>
      </c>
      <c r="B92" s="361">
        <f>'Sources and Uses Budget'!C92</f>
        <v>15000</v>
      </c>
      <c r="C92" s="362">
        <f t="shared" si="8"/>
        <v>15000</v>
      </c>
      <c r="D92" s="362"/>
      <c r="E92" s="361">
        <f>'Sources and Uses Budget'!S92</f>
        <v>15000</v>
      </c>
      <c r="F92" s="362">
        <f t="shared" si="10"/>
        <v>15000</v>
      </c>
      <c r="G92" s="362"/>
      <c r="H92" s="361">
        <f>'Sources and Uses Budget'!T92</f>
        <v>0</v>
      </c>
      <c r="I92" s="362"/>
      <c r="J92" s="362"/>
      <c r="K92" s="359"/>
    </row>
    <row r="93" spans="1:11" s="360" customFormat="1">
      <c r="A93" s="364" t="str">
        <f>'Sources and Uses Budget'!$A93</f>
        <v>Utility Hookups</v>
      </c>
      <c r="B93" s="361">
        <f>'Sources and Uses Budget'!C93</f>
        <v>1099208</v>
      </c>
      <c r="C93" s="362">
        <f t="shared" si="8"/>
        <v>1099208</v>
      </c>
      <c r="D93" s="362"/>
      <c r="E93" s="361">
        <f>'Sources and Uses Budget'!S93</f>
        <v>1099208</v>
      </c>
      <c r="F93" s="362">
        <f t="shared" si="10"/>
        <v>1099208</v>
      </c>
      <c r="G93" s="362"/>
      <c r="H93" s="361">
        <f>'Sources and Uses Budget'!T93</f>
        <v>0</v>
      </c>
      <c r="I93" s="362"/>
      <c r="J93" s="362"/>
      <c r="K93" s="359"/>
    </row>
    <row r="94" spans="1:11" s="360" customFormat="1">
      <c r="A94" s="364" t="str">
        <f>'Sources and Uses Budget'!$A94</f>
        <v>Other: (Specify)</v>
      </c>
      <c r="B94" s="361">
        <f>'Sources and Uses Budget'!C94</f>
        <v>0</v>
      </c>
      <c r="C94" s="362">
        <f t="shared" si="8"/>
        <v>0</v>
      </c>
      <c r="D94" s="362"/>
      <c r="E94" s="361">
        <f>'Sources and Uses Budget'!S94</f>
        <v>0</v>
      </c>
      <c r="F94" s="362">
        <f t="shared" si="10"/>
        <v>0</v>
      </c>
      <c r="G94" s="362"/>
      <c r="H94" s="361">
        <f>'Sources and Uses Budget'!T94</f>
        <v>0</v>
      </c>
      <c r="I94" s="362"/>
      <c r="J94" s="362"/>
      <c r="K94" s="359"/>
    </row>
    <row r="95" spans="1:11" s="360" customFormat="1">
      <c r="A95" s="364" t="str">
        <f>'Sources and Uses Budget'!$A95</f>
        <v>Other: (Specify)</v>
      </c>
      <c r="B95" s="361">
        <f>'Sources and Uses Budget'!C95</f>
        <v>0</v>
      </c>
      <c r="C95" s="362">
        <f t="shared" si="8"/>
        <v>0</v>
      </c>
      <c r="D95" s="362"/>
      <c r="E95" s="361">
        <f>'Sources and Uses Budget'!S95</f>
        <v>0</v>
      </c>
      <c r="F95" s="362">
        <f t="shared" si="10"/>
        <v>0</v>
      </c>
      <c r="G95" s="362"/>
      <c r="H95" s="361">
        <f>'Sources and Uses Budget'!T95</f>
        <v>0</v>
      </c>
      <c r="I95" s="362"/>
      <c r="J95" s="362"/>
      <c r="K95" s="359"/>
    </row>
    <row r="96" spans="1:11" s="360" customFormat="1">
      <c r="A96" s="365" t="s">
        <v>774</v>
      </c>
      <c r="B96" s="361">
        <f>'Sources and Uses Budget'!C96</f>
        <v>6333224</v>
      </c>
      <c r="C96" s="361">
        <f>SUM(C83:C95)</f>
        <v>6333224</v>
      </c>
      <c r="D96" s="361">
        <f>SUM(D83:D95)</f>
        <v>0</v>
      </c>
      <c r="E96" s="361">
        <f>'Sources and Uses Budget'!S96</f>
        <v>6108224</v>
      </c>
      <c r="F96" s="367">
        <f>SUM(F84:F87,F89:F95)</f>
        <v>6108224</v>
      </c>
      <c r="G96" s="367">
        <f>SUM(G84:G87,G89:G95)</f>
        <v>0</v>
      </c>
      <c r="H96" s="361">
        <f>'Sources and Uses Budget'!T96</f>
        <v>0</v>
      </c>
      <c r="I96" s="361">
        <f>SUM(I84:I87,I89:I95)</f>
        <v>0</v>
      </c>
      <c r="J96" s="361">
        <f>SUM(J84:J87,J89:J95)</f>
        <v>0</v>
      </c>
      <c r="K96" s="359"/>
    </row>
    <row r="97" spans="1:11" s="360" customFormat="1">
      <c r="A97" s="365" t="s">
        <v>1029</v>
      </c>
      <c r="B97" s="361">
        <f>'Sources and Uses Budget'!C97</f>
        <v>127193004</v>
      </c>
      <c r="C97" s="361">
        <f>SUM(C63+C70+C77+C81+C96)</f>
        <v>127193004</v>
      </c>
      <c r="D97" s="361">
        <f>SUM(D63+D70+D77+D81+D96)</f>
        <v>0</v>
      </c>
      <c r="E97" s="361">
        <f>'Sources and Uses Budget'!S97</f>
        <v>111431322</v>
      </c>
      <c r="F97" s="367">
        <f>SUM(+F63+F70+F81+F96)</f>
        <v>111431322</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16714698</v>
      </c>
      <c r="C99" s="362">
        <f>B99</f>
        <v>16714698</v>
      </c>
      <c r="D99" s="362"/>
      <c r="E99" s="361">
        <f>'Sources and Uses Budget'!S99</f>
        <v>16714698</v>
      </c>
      <c r="F99" s="362">
        <f>E99</f>
        <v>16714698</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16714698</v>
      </c>
      <c r="C104" s="361">
        <f>SUM(C99:C103)</f>
        <v>16714698</v>
      </c>
      <c r="D104" s="361">
        <f>SUM(D99:D103)</f>
        <v>0</v>
      </c>
      <c r="E104" s="361">
        <f>'Sources and Uses Budget'!S104</f>
        <v>16714698</v>
      </c>
      <c r="F104" s="367">
        <f>SUM(F99:F103)</f>
        <v>16714698</v>
      </c>
      <c r="G104" s="367">
        <f>SUM(G99:G103)</f>
        <v>0</v>
      </c>
      <c r="H104" s="361">
        <f>'Sources and Uses Budget'!T104</f>
        <v>0</v>
      </c>
      <c r="I104" s="367">
        <f>SUM(I99:I103)</f>
        <v>0</v>
      </c>
      <c r="J104" s="367">
        <f>SUM(J99:J103)</f>
        <v>0</v>
      </c>
      <c r="K104" s="359"/>
    </row>
    <row r="105" spans="1:11" s="360" customFormat="1">
      <c r="A105" s="365" t="s">
        <v>1030</v>
      </c>
      <c r="B105" s="361">
        <f>'Sources and Uses Budget'!C105</f>
        <v>143907702</v>
      </c>
      <c r="C105" s="367">
        <f>SUM(C97+C104)</f>
        <v>143907702</v>
      </c>
      <c r="D105" s="367">
        <f>SUM(D97+D104)</f>
        <v>0</v>
      </c>
      <c r="E105" s="361">
        <f>'Sources and Uses Budget'!S105</f>
        <v>128146020</v>
      </c>
      <c r="F105" s="367">
        <f>F97+F104</f>
        <v>128146020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128146020</v>
      </c>
      <c r="F107" s="367">
        <f>F105+F106</f>
        <v>128146020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19" t="s">
        <v>2456</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2455</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1" t="str">
        <f>IF(Application!H18="","",Application!H18)</f>
        <v xml:space="preserve">Olive Park Apartments </v>
      </c>
      <c r="M4" s="2312"/>
      <c r="N4" s="2312"/>
      <c r="O4" s="2312"/>
      <c r="P4" s="2312"/>
      <c r="Q4" s="2312"/>
      <c r="R4" s="2312"/>
      <c r="S4" s="2312"/>
      <c r="T4" s="2312"/>
      <c r="U4" s="2312"/>
      <c r="V4" s="2312"/>
      <c r="W4" s="2312"/>
      <c r="X4" s="2312"/>
      <c r="Y4" s="2312"/>
      <c r="Z4" s="2312"/>
      <c r="AA4" s="2312"/>
      <c r="AB4" s="2312"/>
      <c r="AC4" s="2313"/>
      <c r="AD4" s="1190"/>
      <c r="AE4" s="1190"/>
      <c r="AF4" s="2307" t="s">
        <v>2454</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2453</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1" t="str">
        <f>IF(Application!H16="","",Application!H16)</f>
        <v xml:space="preserve">Capstone Equities, LLC </v>
      </c>
      <c r="M6" s="2312"/>
      <c r="N6" s="2312"/>
      <c r="O6" s="2312"/>
      <c r="P6" s="2312"/>
      <c r="Q6" s="2312"/>
      <c r="R6" s="2312"/>
      <c r="S6" s="2312"/>
      <c r="T6" s="2312"/>
      <c r="U6" s="2312"/>
      <c r="V6" s="2312"/>
      <c r="W6" s="2312"/>
      <c r="X6" s="2312"/>
      <c r="Y6" s="2312"/>
      <c r="Z6" s="2312"/>
      <c r="AA6" s="2312"/>
      <c r="AB6" s="2312"/>
      <c r="AC6" s="2313"/>
      <c r="AD6" s="1190"/>
      <c r="AE6" s="1190"/>
      <c r="AF6" s="2314" t="s">
        <v>2451</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2450</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2448</v>
      </c>
      <c r="AG8" s="2314"/>
      <c r="AH8" s="2314"/>
      <c r="AI8" s="2314"/>
      <c r="AJ8" s="2314"/>
      <c r="AK8" s="2314"/>
      <c r="AL8" s="2314"/>
      <c r="AM8" s="2314"/>
      <c r="AN8" s="2314"/>
      <c r="AO8" s="2314"/>
      <c r="AP8" s="2315" t="s">
        <v>2098</v>
      </c>
      <c r="AQ8" s="2315"/>
      <c r="AR8" s="2315"/>
      <c r="AS8" s="2315"/>
      <c r="AT8" s="2315"/>
      <c r="AU8" s="2315"/>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2447</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2310">
        <f>Application!AO627</f>
        <v>71722493</v>
      </c>
      <c r="O10" s="2310"/>
      <c r="P10" s="2310"/>
      <c r="Q10" s="2310"/>
      <c r="R10" s="2310"/>
      <c r="S10" s="2310"/>
      <c r="T10" s="2310"/>
      <c r="U10" s="1190"/>
      <c r="V10" s="1190"/>
      <c r="W10" s="1190"/>
      <c r="X10" s="1193"/>
      <c r="Y10" s="1193"/>
      <c r="Z10" s="1193"/>
      <c r="AA10" s="1193"/>
      <c r="AB10" s="1193"/>
      <c r="AC10" s="1193"/>
      <c r="AD10" s="1193"/>
      <c r="AE10" s="1193"/>
      <c r="AF10" s="2307" t="s">
        <v>2444</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2441</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2298" t="s">
        <v>2439</v>
      </c>
      <c r="C13" s="2299"/>
      <c r="D13" s="2299"/>
      <c r="E13" s="2299"/>
      <c r="F13" s="2299"/>
      <c r="G13" s="2299"/>
      <c r="H13" s="2299"/>
      <c r="I13" s="2299"/>
      <c r="J13" s="2299"/>
      <c r="K13" s="2299"/>
      <c r="L13" s="2299"/>
      <c r="M13" s="2299"/>
      <c r="N13" s="2299"/>
      <c r="O13" s="2299"/>
      <c r="P13" s="2300"/>
      <c r="Q13" s="2301" t="s">
        <v>669</v>
      </c>
      <c r="R13" s="2302"/>
      <c r="S13" s="2302"/>
      <c r="T13" s="2303"/>
      <c r="U13" s="1193"/>
      <c r="V13" s="1190"/>
      <c r="W13" s="1190"/>
      <c r="X13" s="1190"/>
      <c r="Y13" s="1190"/>
      <c r="Z13" s="1190"/>
      <c r="AA13" s="2288" t="s">
        <v>2438</v>
      </c>
      <c r="AB13" s="2288"/>
      <c r="AC13" s="2288"/>
      <c r="AD13" s="2288"/>
      <c r="AE13" s="2288"/>
      <c r="AF13" s="2288"/>
      <c r="AG13" s="2288"/>
      <c r="AH13" s="2288"/>
      <c r="AI13" s="2288"/>
      <c r="AJ13" s="2288"/>
      <c r="AK13" s="2288"/>
      <c r="AL13" s="2288"/>
      <c r="AM13" s="2288"/>
      <c r="AN13" s="2288"/>
      <c r="AO13" s="2304">
        <f>Application!W473</f>
        <v>30</v>
      </c>
      <c r="AP13" s="2305"/>
      <c r="AQ13" s="2305"/>
      <c r="AR13" s="2305"/>
      <c r="AS13" s="2305"/>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2436</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thickBot="1">
      <c r="A15" s="1190"/>
      <c r="B15" s="2283" t="s">
        <v>2435</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2434</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6" t="s">
        <v>2433</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2432</v>
      </c>
      <c r="C18" s="2292"/>
      <c r="D18" s="2292"/>
      <c r="E18" s="2292"/>
      <c r="F18" s="2292"/>
      <c r="G18" s="2292"/>
      <c r="H18" s="2292"/>
      <c r="I18" s="2293"/>
      <c r="J18" s="2294" t="s">
        <v>1586</v>
      </c>
      <c r="K18" s="2295"/>
      <c r="L18" s="2295"/>
      <c r="M18" s="2295"/>
      <c r="N18" s="2295"/>
      <c r="O18" s="2296"/>
      <c r="P18" s="2294" t="s">
        <v>323</v>
      </c>
      <c r="Q18" s="2295"/>
      <c r="R18" s="2295"/>
      <c r="S18" s="2295"/>
      <c r="T18" s="2295"/>
      <c r="U18" s="2296"/>
      <c r="V18" s="2294" t="s">
        <v>324</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2431</v>
      </c>
      <c r="AU18" s="2295"/>
      <c r="AV18" s="2295"/>
      <c r="AW18" s="2295"/>
      <c r="AX18" s="2295"/>
      <c r="AY18" s="2297"/>
      <c r="AZ18" s="1190"/>
      <c r="BA18" s="1190"/>
      <c r="BB18" s="1190"/>
      <c r="BC18" s="1190"/>
      <c r="BD18" s="1190"/>
      <c r="BE18" s="1194"/>
    </row>
    <row r="19" spans="1:58" ht="15">
      <c r="A19" s="1190"/>
      <c r="B19" s="2277">
        <v>0.3</v>
      </c>
      <c r="C19" s="2278"/>
      <c r="D19" s="2278"/>
      <c r="E19" s="2278"/>
      <c r="F19" s="2278"/>
      <c r="G19" s="2278"/>
      <c r="H19" s="2278"/>
      <c r="I19" s="2279"/>
      <c r="J19" s="2280">
        <f t="shared" ref="J19:J24" si="0">SUM(P19:AS19)</f>
        <v>50</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5</v>
      </c>
      <c r="W19" s="2281"/>
      <c r="X19" s="2281"/>
      <c r="Y19" s="2281"/>
      <c r="Z19" s="2281"/>
      <c r="AA19" s="2282"/>
      <c r="AB19" s="2280" cm="1">
        <f t="array" ref="AB19">SUMPRODUCT((Application!$B$714:$B$738 = 'CalHFA Addendum'!AB$18)*(Application!$AC$714:$AC$738 = 'CalHFA Addendum'!$B19),Application!$G$714:$G$738)</f>
        <v>15</v>
      </c>
      <c r="AC19" s="2281"/>
      <c r="AD19" s="2281"/>
      <c r="AE19" s="2281"/>
      <c r="AF19" s="2281"/>
      <c r="AG19" s="2282"/>
      <c r="AH19" s="2280" cm="1">
        <f t="array" ref="AH19">SUMPRODUCT((Application!$B$714:$B$738 = 'CalHFA Addendum'!AH$18)*(Application!$AC$714:$AC$738 = 'CalHFA Addendum'!$B19),Application!$G$714:$G$738)</f>
        <v>30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0.25125628140703515</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11</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11</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5.5276381909547742E-2</v>
      </c>
      <c r="AU20" s="2266"/>
      <c r="AV20" s="2266"/>
      <c r="AW20" s="2266"/>
      <c r="AX20" s="2266"/>
      <c r="AY20" s="2267"/>
      <c r="AZ20" s="1190"/>
      <c r="BA20" s="1190"/>
      <c r="BB20" s="1190"/>
      <c r="BC20" s="1190"/>
      <c r="BD20" s="1190"/>
      <c r="BE20" s="1194"/>
    </row>
    <row r="21" spans="1:58" ht="15">
      <c r="A21" s="1190"/>
      <c r="B21" s="2277">
        <v>0.5</v>
      </c>
      <c r="C21" s="2278"/>
      <c r="D21" s="2278"/>
      <c r="E21" s="2278"/>
      <c r="F21" s="2278"/>
      <c r="G21" s="2278"/>
      <c r="H21" s="2278"/>
      <c r="I21" s="2279"/>
      <c r="J21" s="2280">
        <f t="shared" si="0"/>
        <v>0</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0</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v>
      </c>
      <c r="AU21" s="2266"/>
      <c r="AV21" s="2266"/>
      <c r="AW21" s="2266"/>
      <c r="AX21" s="2266"/>
      <c r="AY21" s="2267"/>
      <c r="AZ21" s="1190"/>
      <c r="BA21" s="1190"/>
      <c r="BB21" s="1190"/>
      <c r="BC21" s="1190"/>
      <c r="BD21" s="1190"/>
      <c r="BE21" s="1194"/>
    </row>
    <row r="22" spans="1:58" ht="15">
      <c r="A22" s="1190"/>
      <c r="B22" s="2277">
        <v>0.6</v>
      </c>
      <c r="C22" s="2278"/>
      <c r="D22" s="2278"/>
      <c r="E22" s="2278"/>
      <c r="F22" s="2278"/>
      <c r="G22" s="2278"/>
      <c r="H22" s="2278"/>
      <c r="I22" s="2279"/>
      <c r="J22" s="2280">
        <f t="shared" si="0"/>
        <v>22</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18</v>
      </c>
      <c r="W22" s="2281"/>
      <c r="X22" s="2281"/>
      <c r="Y22" s="2281"/>
      <c r="Z22" s="2281"/>
      <c r="AA22" s="2282"/>
      <c r="AB22" s="2280" cm="1">
        <f t="array" ref="AB22">SUMPRODUCT((Application!$B$714:$B$738 = 'CalHFA Addendum'!AB$18)*(Application!$AC$714:$AC$738 = 'CalHFA Addendum'!$B22),Application!$G$714:$G$738)</f>
        <v>0</v>
      </c>
      <c r="AC22" s="2281"/>
      <c r="AD22" s="2281"/>
      <c r="AE22" s="2281"/>
      <c r="AF22" s="2281"/>
      <c r="AG22" s="2282"/>
      <c r="AH22" s="2280" cm="1">
        <f t="array" ref="AH22">SUMPRODUCT((Application!$B$714:$B$738 = 'CalHFA Addendum'!AH$18)*(Application!$AC$714:$AC$738 = 'CalHFA Addendum'!$B22),Application!$G$714:$G$738)</f>
        <v>4</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0.11055276381909548</v>
      </c>
      <c r="AU22" s="2266"/>
      <c r="AV22" s="2266"/>
      <c r="AW22" s="2266"/>
      <c r="AX22" s="2266"/>
      <c r="AY22" s="2267"/>
      <c r="AZ22" s="1190"/>
      <c r="BA22" s="1190"/>
      <c r="BB22" s="1190"/>
      <c r="BC22" s="1190"/>
      <c r="BD22" s="1190"/>
      <c r="BE22" s="1194"/>
    </row>
    <row r="23" spans="1:58" ht="15">
      <c r="A23" s="1190"/>
      <c r="B23" s="2277">
        <v>0.7</v>
      </c>
      <c r="C23" s="2278"/>
      <c r="D23" s="2278"/>
      <c r="E23" s="2278"/>
      <c r="F23" s="2278"/>
      <c r="G23" s="2278"/>
      <c r="H23" s="2278"/>
      <c r="I23" s="2279"/>
      <c r="J23" s="2280">
        <f t="shared" si="0"/>
        <v>56</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14</v>
      </c>
      <c r="W23" s="2281"/>
      <c r="X23" s="2281"/>
      <c r="Y23" s="2281"/>
      <c r="Z23" s="2281"/>
      <c r="AA23" s="2282"/>
      <c r="AB23" s="2280" cm="1">
        <f t="array" ref="AB23">SUMPRODUCT((Application!$B$714:$B$738 = 'CalHFA Addendum'!AB$18)*(Application!$AC$714:$AC$738 = 'CalHFA Addendum'!$B23),Application!$G$714:$G$738)</f>
        <v>42</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0.28140703517587939</v>
      </c>
      <c r="AU23" s="2266"/>
      <c r="AV23" s="2266"/>
      <c r="AW23" s="2266"/>
      <c r="AX23" s="2266"/>
      <c r="AY23" s="2267"/>
      <c r="AZ23" s="1190"/>
      <c r="BA23" s="1190"/>
      <c r="BB23" s="1190"/>
      <c r="BC23" s="1190"/>
      <c r="BD23" s="1190"/>
      <c r="BE23" s="1194"/>
    </row>
    <row r="24" spans="1:58" ht="15">
      <c r="A24" s="1190"/>
      <c r="B24" s="2277">
        <v>0.8</v>
      </c>
      <c r="C24" s="2278"/>
      <c r="D24" s="2278"/>
      <c r="E24" s="2278"/>
      <c r="F24" s="2278"/>
      <c r="G24" s="2278"/>
      <c r="H24" s="2278"/>
      <c r="I24" s="2279"/>
      <c r="J24" s="2280">
        <f t="shared" si="0"/>
        <v>58</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58</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0.29145728643216079</v>
      </c>
      <c r="AU24" s="2266"/>
      <c r="AV24" s="2266"/>
      <c r="AW24" s="2266"/>
      <c r="AX24" s="2266"/>
      <c r="AY24" s="2267"/>
      <c r="AZ24" s="1190"/>
      <c r="BA24" s="1190"/>
      <c r="BB24" s="1190"/>
      <c r="BC24" s="1190"/>
      <c r="BD24" s="1190"/>
      <c r="BE24" s="1194"/>
    </row>
    <row r="25" spans="1:58" ht="1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thickBot="1">
      <c r="A28" s="1190"/>
      <c r="B28" s="2268" t="s">
        <v>2430</v>
      </c>
      <c r="C28" s="2269"/>
      <c r="D28" s="2269"/>
      <c r="E28" s="2269"/>
      <c r="F28" s="2269"/>
      <c r="G28" s="2269"/>
      <c r="H28" s="2269"/>
      <c r="I28" s="2270"/>
      <c r="J28" s="2271">
        <f>SUM(P28:AS28)</f>
        <v>2</v>
      </c>
      <c r="K28" s="2272"/>
      <c r="L28" s="2272"/>
      <c r="M28" s="2272"/>
      <c r="N28" s="2272"/>
      <c r="O28" s="2273"/>
      <c r="P28" s="2271">
        <f>_xlfn.IFNA(VLOOKUP(P$18,Application!$J$773:$S$776,6,FALSE), 0)</f>
        <v>0</v>
      </c>
      <c r="Q28" s="2272"/>
      <c r="R28" s="2272"/>
      <c r="S28" s="2272"/>
      <c r="T28" s="2272"/>
      <c r="U28" s="2273"/>
      <c r="V28" s="2271">
        <f>_xlfn.IFNA(VLOOKUP(V$18,Application!$J$773:$S$776,6,FALSE), 0)</f>
        <v>0</v>
      </c>
      <c r="W28" s="2272"/>
      <c r="X28" s="2272"/>
      <c r="Y28" s="2272"/>
      <c r="Z28" s="2272"/>
      <c r="AA28" s="2273"/>
      <c r="AB28" s="2271">
        <f>_xlfn.IFNA(VLOOKUP(AB$18,Application!$J$773:$S$776,6,FALSE), 0)</f>
        <v>2</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1.0050251256281407E-2</v>
      </c>
      <c r="AU28" s="2275"/>
      <c r="AV28" s="2275"/>
      <c r="AW28" s="2275"/>
      <c r="AX28" s="2275"/>
      <c r="AY28" s="2276"/>
      <c r="AZ28" s="1190"/>
      <c r="BA28" s="1190"/>
      <c r="BB28" s="1190"/>
      <c r="BC28" s="1190"/>
      <c r="BD28" s="1190"/>
      <c r="BE28" s="1194"/>
    </row>
    <row r="29" spans="1:58" thickBot="1">
      <c r="A29" s="1190"/>
      <c r="B29" s="2251" t="s">
        <v>1586</v>
      </c>
      <c r="C29" s="2224"/>
      <c r="D29" s="2224"/>
      <c r="E29" s="2224"/>
      <c r="F29" s="2224"/>
      <c r="G29" s="2224"/>
      <c r="H29" s="2224"/>
      <c r="I29" s="2225"/>
      <c r="J29" s="2223">
        <f>SUM(J19:O28)</f>
        <v>199</v>
      </c>
      <c r="K29" s="2224"/>
      <c r="L29" s="2224"/>
      <c r="M29" s="2224"/>
      <c r="N29" s="2224"/>
      <c r="O29" s="2225"/>
      <c r="P29" s="2223">
        <f>SUM(P19:U28)</f>
        <v>0</v>
      </c>
      <c r="Q29" s="2224"/>
      <c r="R29" s="2224"/>
      <c r="S29" s="2224"/>
      <c r="T29" s="2224"/>
      <c r="U29" s="2225"/>
      <c r="V29" s="2223">
        <f>SUM(V19:AA28)</f>
        <v>48</v>
      </c>
      <c r="W29" s="2224"/>
      <c r="X29" s="2224"/>
      <c r="Y29" s="2224"/>
      <c r="Z29" s="2224"/>
      <c r="AA29" s="2225"/>
      <c r="AB29" s="2223">
        <f>SUM(AB19:AG28)</f>
        <v>59</v>
      </c>
      <c r="AC29" s="2224"/>
      <c r="AD29" s="2224"/>
      <c r="AE29" s="2224"/>
      <c r="AF29" s="2224"/>
      <c r="AG29" s="2225"/>
      <c r="AH29" s="2223">
        <f>SUM(AH19:AM28)</f>
        <v>92</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9" t="s">
        <v>2429</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thickBot="1">
      <c r="A32" s="1190"/>
      <c r="B32" s="2232" t="s">
        <v>2428</v>
      </c>
      <c r="C32" s="2233"/>
      <c r="D32" s="2233"/>
      <c r="E32" s="2233"/>
      <c r="F32" s="2233"/>
      <c r="G32" s="2233"/>
      <c r="H32" s="2233"/>
      <c r="I32" s="2233"/>
      <c r="J32" s="2236" t="s">
        <v>2427</v>
      </c>
      <c r="K32" s="2237"/>
      <c r="L32" s="2237"/>
      <c r="M32" s="2237"/>
      <c r="N32" s="2236" t="s">
        <v>2426</v>
      </c>
      <c r="O32" s="2237"/>
      <c r="P32" s="2237"/>
      <c r="Q32" s="2239"/>
      <c r="R32" s="2241" t="s">
        <v>2425</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2424</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2423</v>
      </c>
      <c r="AT35" s="2253"/>
      <c r="AU35" s="2253"/>
      <c r="AV35" s="2253"/>
      <c r="AW35" s="2253"/>
      <c r="AX35" s="2261"/>
      <c r="AY35" s="2252" t="s">
        <v>2422</v>
      </c>
      <c r="AZ35" s="2253"/>
      <c r="BA35" s="2253"/>
      <c r="BB35" s="2253"/>
      <c r="BC35" s="2253"/>
      <c r="BD35" s="2254"/>
      <c r="BE35" s="1194"/>
    </row>
    <row r="36" spans="1:58" ht="15.75" customHeight="1">
      <c r="A36" s="1190"/>
      <c r="B36" s="2156" t="s">
        <v>2421</v>
      </c>
      <c r="C36" s="2157"/>
      <c r="D36" s="2157"/>
      <c r="E36" s="2157"/>
      <c r="F36" s="2157"/>
      <c r="G36" s="2157"/>
      <c r="H36" s="2157"/>
      <c r="I36" s="2157"/>
      <c r="J36" s="2221" t="s">
        <v>2420</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2419</v>
      </c>
      <c r="C37" s="2157"/>
      <c r="D37" s="2157"/>
      <c r="E37" s="2157"/>
      <c r="F37" s="2157"/>
      <c r="G37" s="2157"/>
      <c r="H37" s="2157"/>
      <c r="I37" s="2157"/>
      <c r="J37" s="2221" t="s">
        <v>2418</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2417</v>
      </c>
      <c r="C38" s="2157"/>
      <c r="D38" s="2157"/>
      <c r="E38" s="2157"/>
      <c r="F38" s="2157"/>
      <c r="G38" s="2157"/>
      <c r="H38" s="2157"/>
      <c r="I38" s="2157"/>
      <c r="J38" s="2221" t="s">
        <v>2416</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2415</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2415</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2414</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2414</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2413</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2412</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2411</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2335</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299</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2408</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2401</v>
      </c>
      <c r="C51" s="2099"/>
      <c r="D51" s="2099"/>
      <c r="E51" s="2099"/>
      <c r="F51" s="2099"/>
      <c r="G51" s="2099"/>
      <c r="H51" s="2099"/>
      <c r="I51" s="2099"/>
      <c r="J51" s="2099" t="s">
        <v>2407</v>
      </c>
      <c r="K51" s="2099"/>
      <c r="L51" s="2099"/>
      <c r="M51" s="2099"/>
      <c r="N51" s="2099"/>
      <c r="O51" s="2099"/>
      <c r="P51" s="2099"/>
      <c r="Q51" s="2099"/>
      <c r="R51" s="2200" t="s">
        <v>2406</v>
      </c>
      <c r="S51" s="2200"/>
      <c r="T51" s="2200"/>
      <c r="U51" s="2200"/>
      <c r="V51" s="2200"/>
      <c r="W51" s="2200"/>
      <c r="X51" s="2200"/>
      <c r="Y51" s="2200"/>
      <c r="Z51" s="2200" t="s">
        <v>2405</v>
      </c>
      <c r="AA51" s="2200"/>
      <c r="AB51" s="2200"/>
      <c r="AC51" s="2200"/>
      <c r="AD51" s="2200"/>
      <c r="AE51" s="2200"/>
      <c r="AF51" s="2200"/>
      <c r="AG51" s="2200"/>
      <c r="AH51" s="2200" t="s">
        <v>2404</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2403</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2402</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1586</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2401</v>
      </c>
      <c r="C59" s="2190"/>
      <c r="D59" s="2190"/>
      <c r="E59" s="2190"/>
      <c r="F59" s="2190"/>
      <c r="G59" s="2190"/>
      <c r="H59" s="2190"/>
      <c r="I59" s="2191"/>
      <c r="J59" s="2097" t="s">
        <v>2400</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2398</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2397</v>
      </c>
      <c r="AD68" s="2023"/>
      <c r="AE68" s="2023"/>
      <c r="AF68" s="2023"/>
      <c r="AG68" s="2023"/>
      <c r="AH68" s="2023"/>
      <c r="AI68" s="2023"/>
      <c r="AJ68" s="2023"/>
      <c r="AK68" s="2023"/>
      <c r="AL68" s="2023"/>
      <c r="AM68" s="2023"/>
      <c r="AN68" s="2023"/>
      <c r="AO68" s="2023"/>
      <c r="AP68" s="2023"/>
      <c r="AQ68" s="2023"/>
      <c r="AR68" s="2023"/>
      <c r="AS68" s="2023"/>
      <c r="AT68" s="2023"/>
      <c r="AU68" s="2023"/>
      <c r="AV68" s="2173" t="s">
        <v>669</v>
      </c>
      <c r="AW68" s="2079"/>
      <c r="AX68" s="2079"/>
      <c r="AY68" s="2079"/>
      <c r="AZ68" s="2079"/>
      <c r="BA68" s="2079"/>
      <c r="BB68" s="2079"/>
      <c r="BC68" s="2080"/>
      <c r="BD68" s="1190"/>
      <c r="BE68" s="1194"/>
      <c r="BM68" s="1199" t="s">
        <v>2396</v>
      </c>
    </row>
    <row r="69" spans="1:94" ht="15.75" customHeight="1" thickTop="1" thickBot="1">
      <c r="A69" s="1190"/>
      <c r="B69" s="2174" t="s">
        <v>2395</v>
      </c>
      <c r="C69" s="2175"/>
      <c r="D69" s="2175"/>
      <c r="E69" s="2175"/>
      <c r="F69" s="2175"/>
      <c r="G69" s="2175"/>
      <c r="H69" s="2175"/>
      <c r="I69" s="2175"/>
      <c r="J69" s="2175"/>
      <c r="K69" s="2175"/>
      <c r="L69" s="2175"/>
      <c r="M69" s="2175"/>
      <c r="N69" s="2175"/>
      <c r="O69" s="2176" t="s">
        <v>2394</v>
      </c>
      <c r="P69" s="2177"/>
      <c r="Q69" s="2177"/>
      <c r="R69" s="2177"/>
      <c r="S69" s="2177"/>
      <c r="T69" s="2177"/>
      <c r="U69" s="2177"/>
      <c r="V69" s="2177"/>
      <c r="W69" s="2177"/>
      <c r="X69" s="2177"/>
      <c r="Y69" s="2177"/>
      <c r="Z69" s="2177"/>
      <c r="AA69" s="2178"/>
      <c r="AB69" s="1190"/>
      <c r="AC69" s="2179" t="s">
        <v>2393</v>
      </c>
      <c r="AD69" s="2180"/>
      <c r="AE69" s="2180"/>
      <c r="AF69" s="2180"/>
      <c r="AG69" s="2180"/>
      <c r="AH69" s="2180"/>
      <c r="AI69" s="2180"/>
      <c r="AJ69" s="2180"/>
      <c r="AK69" s="2180"/>
      <c r="AL69" s="2180"/>
      <c r="AM69" s="2180"/>
      <c r="AN69" s="2180"/>
      <c r="AO69" s="2180"/>
      <c r="AP69" s="2180"/>
      <c r="AQ69" s="2180"/>
      <c r="AR69" s="2180"/>
      <c r="AS69" s="2180"/>
      <c r="AT69" s="2180"/>
      <c r="AU69" s="2180"/>
      <c r="AV69" s="2173" t="s">
        <v>669</v>
      </c>
      <c r="AW69" s="2079"/>
      <c r="AX69" s="2079"/>
      <c r="AY69" s="2079"/>
      <c r="AZ69" s="2079"/>
      <c r="BA69" s="2079"/>
      <c r="BB69" s="2079"/>
      <c r="BC69" s="2080"/>
      <c r="BD69" s="1190"/>
      <c r="BE69" s="1194"/>
      <c r="BM69" s="1200" t="s">
        <v>545</v>
      </c>
    </row>
    <row r="70" spans="1:94" ht="15.75" customHeight="1">
      <c r="A70" s="1190"/>
      <c r="B70" s="2156" t="s">
        <v>2392</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2391</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669</v>
      </c>
    </row>
    <row r="71" spans="1:94" ht="15.75" customHeight="1" thickBot="1">
      <c r="A71" s="1190"/>
      <c r="B71" s="2156" t="s">
        <v>2390</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2389</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2388</v>
      </c>
    </row>
    <row r="72" spans="1:94" ht="15.75" customHeight="1">
      <c r="A72" s="1190"/>
      <c r="B72" s="2156" t="s">
        <v>2387</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2386</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2385</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2330</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2383</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2382</v>
      </c>
      <c r="C81" s="2151"/>
      <c r="D81" s="2151"/>
      <c r="E81" s="2151"/>
      <c r="F81" s="2151"/>
      <c r="G81" s="2151"/>
      <c r="H81" s="2151"/>
      <c r="I81" s="2151"/>
      <c r="J81" s="2151"/>
      <c r="K81" s="2151"/>
      <c r="L81" s="2151"/>
      <c r="M81" s="2151"/>
      <c r="N81" s="2151"/>
      <c r="O81" s="2151"/>
      <c r="P81" s="2151"/>
      <c r="Q81" s="2151"/>
      <c r="R81" s="2132" t="s">
        <v>2188</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2381</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2380</v>
      </c>
      <c r="AK83" s="2121"/>
      <c r="AL83" s="2121"/>
      <c r="AM83" s="2121"/>
      <c r="AN83" s="2121"/>
      <c r="AO83" s="2121"/>
      <c r="AP83" s="2121"/>
      <c r="AQ83" s="2121"/>
      <c r="AR83" s="2121"/>
      <c r="AS83" s="2121"/>
      <c r="AT83" s="2121"/>
      <c r="AU83" s="2121"/>
      <c r="AV83" s="2121"/>
      <c r="AW83" s="2121"/>
      <c r="AX83" s="2121"/>
      <c r="AY83" s="2137" t="s">
        <v>545</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2370</v>
      </c>
      <c r="J84" s="2099"/>
      <c r="K84" s="2099"/>
      <c r="L84" s="2099"/>
      <c r="M84" s="2099"/>
      <c r="N84" s="2099"/>
      <c r="O84" s="2099" t="s">
        <v>2346</v>
      </c>
      <c r="P84" s="2099"/>
      <c r="Q84" s="2099"/>
      <c r="R84" s="2099"/>
      <c r="S84" s="2099"/>
      <c r="T84" s="2099"/>
      <c r="U84" s="2099"/>
      <c r="V84" s="2135" t="s">
        <v>2345</v>
      </c>
      <c r="W84" s="2135"/>
      <c r="X84" s="2135"/>
      <c r="Y84" s="2135"/>
      <c r="Z84" s="2135"/>
      <c r="AA84" s="2135"/>
      <c r="AB84" s="2069" t="s">
        <v>2369</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2368</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2367</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2374</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2366</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2378</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2377</v>
      </c>
      <c r="C94" s="2151"/>
      <c r="D94" s="2151"/>
      <c r="E94" s="2151"/>
      <c r="F94" s="2151"/>
      <c r="G94" s="2151"/>
      <c r="H94" s="2151"/>
      <c r="I94" s="2151"/>
      <c r="J94" s="2151"/>
      <c r="K94" s="2151"/>
      <c r="L94" s="2151"/>
      <c r="M94" s="2151"/>
      <c r="N94" s="2151"/>
      <c r="O94" s="2151"/>
      <c r="P94" s="2151"/>
      <c r="Q94" s="2152"/>
      <c r="R94" s="2132" t="s">
        <v>2188</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2376</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2375</v>
      </c>
      <c r="AK96" s="2121"/>
      <c r="AL96" s="2121"/>
      <c r="AM96" s="2121"/>
      <c r="AN96" s="2121"/>
      <c r="AO96" s="2121"/>
      <c r="AP96" s="2121"/>
      <c r="AQ96" s="2121"/>
      <c r="AR96" s="2121"/>
      <c r="AS96" s="2121"/>
      <c r="AT96" s="2121"/>
      <c r="AU96" s="2121"/>
      <c r="AV96" s="2121"/>
      <c r="AW96" s="2121"/>
      <c r="AX96" s="2121"/>
      <c r="AY96" s="2137" t="s">
        <v>545</v>
      </c>
      <c r="AZ96" s="2137"/>
      <c r="BA96" s="2137"/>
      <c r="BB96" s="2138"/>
      <c r="BC96" s="1190"/>
      <c r="BD96" s="1190"/>
      <c r="BE96" s="1194"/>
      <c r="BQ96" s="1256" t="str">
        <f>Application!M243&amp;IF(TRIM(Application!AA249)&lt;&gt;""," ("&amp;Application!AA249&amp;")","")</f>
        <v>CE Olive Park Apartments, LLC  (Capstone Equities, LLC )</v>
      </c>
      <c r="BR96" s="1259">
        <f>Application!AH246</f>
        <v>8.9999999999999993E-3</v>
      </c>
      <c r="CM96" s="1188"/>
      <c r="CN96" s="1188"/>
      <c r="CO96" s="1188"/>
      <c r="CP96" s="1188"/>
    </row>
    <row r="97" spans="1:94" ht="15.75" customHeight="1">
      <c r="A97" s="1190"/>
      <c r="B97" s="2131"/>
      <c r="C97" s="2099"/>
      <c r="D97" s="2099"/>
      <c r="E97" s="2099"/>
      <c r="F97" s="2099"/>
      <c r="G97" s="2099"/>
      <c r="H97" s="2099"/>
      <c r="I97" s="2099" t="s">
        <v>2370</v>
      </c>
      <c r="J97" s="2099"/>
      <c r="K97" s="2099"/>
      <c r="L97" s="2099"/>
      <c r="M97" s="2099"/>
      <c r="N97" s="2099"/>
      <c r="O97" s="2099" t="s">
        <v>2346</v>
      </c>
      <c r="P97" s="2099"/>
      <c r="Q97" s="2099"/>
      <c r="R97" s="2099"/>
      <c r="S97" s="2099"/>
      <c r="T97" s="2099"/>
      <c r="U97" s="2099"/>
      <c r="V97" s="2135" t="s">
        <v>2345</v>
      </c>
      <c r="W97" s="2135"/>
      <c r="X97" s="2135"/>
      <c r="Y97" s="2135"/>
      <c r="Z97" s="2135"/>
      <c r="AA97" s="2135"/>
      <c r="AB97" s="2069" t="s">
        <v>2369</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Las Palmas Foundation</v>
      </c>
      <c r="BR97" s="1259">
        <f>Application!AH254</f>
        <v>1E-3</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2368</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2367</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2374</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2366</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 xml:space="preserve">CONAM Management Corporation </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2371</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2370</v>
      </c>
      <c r="J108" s="2099"/>
      <c r="K108" s="2099"/>
      <c r="L108" s="2099"/>
      <c r="M108" s="2099"/>
      <c r="N108" s="2099"/>
      <c r="O108" s="2099" t="s">
        <v>2346</v>
      </c>
      <c r="P108" s="2099"/>
      <c r="Q108" s="2099"/>
      <c r="R108" s="2099"/>
      <c r="S108" s="2099"/>
      <c r="T108" s="2099"/>
      <c r="U108" s="2099"/>
      <c r="V108" s="2135" t="s">
        <v>2345</v>
      </c>
      <c r="W108" s="2135"/>
      <c r="X108" s="2135"/>
      <c r="Y108" s="2135"/>
      <c r="Z108" s="2135"/>
      <c r="AA108" s="2135"/>
      <c r="AB108" s="2069" t="s">
        <v>2369</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2368</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2367</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2366</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2364</v>
      </c>
      <c r="C117" s="2105"/>
      <c r="D117" s="2105"/>
      <c r="E117" s="2105"/>
      <c r="F117" s="2105"/>
      <c r="G117" s="2105"/>
      <c r="H117" s="2105"/>
      <c r="I117" s="2105"/>
      <c r="J117" s="2105"/>
      <c r="K117" s="2105"/>
      <c r="L117" s="2105"/>
      <c r="M117" s="2105"/>
      <c r="N117" s="2105"/>
      <c r="O117" s="2105"/>
      <c r="P117" s="2105"/>
      <c r="Q117" s="2105"/>
      <c r="R117" s="2105"/>
      <c r="S117" s="2105"/>
      <c r="T117" s="2105"/>
      <c r="U117" s="2108" t="s">
        <v>545</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2364</v>
      </c>
      <c r="C121" s="2113"/>
      <c r="D121" s="2113"/>
      <c r="E121" s="2113"/>
      <c r="F121" s="2113"/>
      <c r="G121" s="2113"/>
      <c r="H121" s="2113"/>
      <c r="I121" s="2113"/>
      <c r="J121" s="2113"/>
      <c r="K121" s="2113"/>
      <c r="L121" s="2113"/>
      <c r="M121" s="2113"/>
      <c r="N121" s="2113"/>
      <c r="O121" s="2113"/>
      <c r="P121" s="2113"/>
      <c r="Q121" s="2113"/>
      <c r="R121" s="2113"/>
      <c r="S121" s="2113"/>
      <c r="T121" s="2113"/>
      <c r="U121" s="2116" t="s">
        <v>545</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2362</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1576</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2361</v>
      </c>
      <c r="J127" s="2099"/>
      <c r="K127" s="2099"/>
      <c r="L127" s="2099"/>
      <c r="M127" s="2099"/>
      <c r="N127" s="2099"/>
      <c r="O127" s="2100" t="s">
        <v>2360</v>
      </c>
      <c r="P127" s="2100"/>
      <c r="Q127" s="2100"/>
      <c r="R127" s="2100"/>
      <c r="S127" s="2100"/>
      <c r="T127" s="2100"/>
      <c r="U127" s="2101"/>
      <c r="V127" s="1190"/>
      <c r="W127" s="1190"/>
      <c r="X127" s="2039" t="s">
        <v>2330</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2344</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2343</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2358</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2346</v>
      </c>
      <c r="J134" s="2074"/>
      <c r="K134" s="2074"/>
      <c r="L134" s="2074"/>
      <c r="M134" s="2074"/>
      <c r="N134" s="2074"/>
      <c r="O134" s="2074"/>
      <c r="P134" s="2074" t="s">
        <v>2345</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2344</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2343</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2357</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545</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2356</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2355</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545</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2354</v>
      </c>
      <c r="C142" s="2082"/>
      <c r="D142" s="2082"/>
      <c r="E142" s="2082"/>
      <c r="F142" s="2082"/>
      <c r="G142" s="2082"/>
      <c r="H142" s="2082"/>
      <c r="I142" s="2082"/>
      <c r="J142" s="2082"/>
      <c r="K142" s="2082"/>
      <c r="L142" s="2082"/>
      <c r="M142" s="2082"/>
      <c r="N142" s="2082"/>
      <c r="O142" s="2082"/>
      <c r="P142" s="2082"/>
      <c r="Q142" s="2082"/>
      <c r="R142" s="2083" t="s">
        <v>2353</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249</v>
      </c>
      <c r="BD142" s="1190"/>
      <c r="BE142" s="1194"/>
    </row>
    <row r="143" spans="1:57" ht="15.75" customHeight="1">
      <c r="A143" s="1190"/>
      <c r="B143" s="2085" t="s">
        <v>2352</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2349</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2348</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2346</v>
      </c>
      <c r="J157" s="2074"/>
      <c r="K157" s="2074"/>
      <c r="L157" s="2074"/>
      <c r="M157" s="2074"/>
      <c r="N157" s="2074"/>
      <c r="O157" s="2074"/>
      <c r="P157" s="2074" t="s">
        <v>2347</v>
      </c>
      <c r="Q157" s="2074"/>
      <c r="R157" s="2074"/>
      <c r="S157" s="2074"/>
      <c r="T157" s="2074"/>
      <c r="U157" s="2075"/>
      <c r="V157" s="1190"/>
      <c r="W157" s="1190"/>
      <c r="X157" s="2036"/>
      <c r="Y157" s="2037"/>
      <c r="Z157" s="2037"/>
      <c r="AA157" s="2037"/>
      <c r="AB157" s="2037"/>
      <c r="AC157" s="2037"/>
      <c r="AD157" s="2037"/>
      <c r="AE157" s="2074" t="s">
        <v>2346</v>
      </c>
      <c r="AF157" s="2074"/>
      <c r="AG157" s="2074"/>
      <c r="AH157" s="2074"/>
      <c r="AI157" s="2074"/>
      <c r="AJ157" s="2074"/>
      <c r="AK157" s="2074"/>
      <c r="AL157" s="2074" t="s">
        <v>2345</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2344</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2344</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2343</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2342</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2327</v>
      </c>
      <c r="D163" s="2037"/>
      <c r="E163" s="2037"/>
      <c r="F163" s="2037"/>
      <c r="G163" s="2037"/>
      <c r="H163" s="2037"/>
      <c r="I163" s="2037"/>
      <c r="J163" s="2037"/>
      <c r="K163" s="2037"/>
      <c r="L163" s="2037"/>
      <c r="M163" s="2037"/>
      <c r="N163" s="2037"/>
      <c r="O163" s="2037"/>
      <c r="P163" s="2037"/>
      <c r="Q163" s="2037" t="s">
        <v>2341</v>
      </c>
      <c r="R163" s="2037"/>
      <c r="S163" s="2037"/>
      <c r="T163" s="2069" t="s">
        <v>2340</v>
      </c>
      <c r="U163" s="2069"/>
      <c r="V163" s="2069"/>
      <c r="W163" s="2069"/>
      <c r="X163" s="2069"/>
      <c r="Y163" s="2069"/>
      <c r="Z163" s="2069"/>
      <c r="AA163" s="2069"/>
      <c r="AB163" s="2037" t="s">
        <v>2339</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2338</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2337</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2336</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2335</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169</v>
      </c>
      <c r="D168" s="2052"/>
      <c r="E168" s="2052"/>
      <c r="F168" s="2053" t="s">
        <v>2316</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169</v>
      </c>
      <c r="D169" s="2052"/>
      <c r="E169" s="2052"/>
      <c r="F169" s="2053" t="s">
        <v>2316</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169</v>
      </c>
      <c r="D170" s="2058"/>
      <c r="E170" s="2058"/>
      <c r="F170" s="2059" t="s">
        <v>2316</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2334</v>
      </c>
      <c r="D172" s="2023"/>
      <c r="E172" s="2023"/>
      <c r="F172" s="2023"/>
      <c r="G172" s="2023"/>
      <c r="H172" s="2023"/>
      <c r="I172" s="2023"/>
      <c r="J172" s="2023"/>
      <c r="K172" s="2023"/>
      <c r="L172" s="2023"/>
      <c r="M172" s="2023"/>
      <c r="N172" s="2032"/>
      <c r="O172" s="1190"/>
      <c r="P172" s="2033" t="s">
        <v>2333</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2332</v>
      </c>
      <c r="D173" s="2037"/>
      <c r="E173" s="2037"/>
      <c r="F173" s="2037"/>
      <c r="G173" s="2037"/>
      <c r="H173" s="2037"/>
      <c r="I173" s="2037" t="s">
        <v>2331</v>
      </c>
      <c r="J173" s="2037"/>
      <c r="K173" s="2037"/>
      <c r="L173" s="2037"/>
      <c r="M173" s="2037"/>
      <c r="N173" s="2038"/>
      <c r="O173" s="1190"/>
      <c r="P173" s="2039" t="s">
        <v>2330</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2329</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2327</v>
      </c>
      <c r="D184" s="2023"/>
      <c r="E184" s="2023"/>
      <c r="F184" s="2023"/>
      <c r="G184" s="2023"/>
      <c r="H184" s="2023"/>
      <c r="I184" s="2023"/>
      <c r="J184" s="2023"/>
      <c r="K184" s="2023"/>
      <c r="L184" s="2023"/>
      <c r="M184" s="2023"/>
      <c r="N184" s="2023" t="s">
        <v>2328</v>
      </c>
      <c r="O184" s="2023"/>
      <c r="P184" s="2023"/>
      <c r="Q184" s="2023"/>
      <c r="R184" s="2023"/>
      <c r="S184" s="2023"/>
      <c r="T184" s="2023"/>
      <c r="U184" s="2024" t="s">
        <v>2327</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2326</v>
      </c>
      <c r="D185" s="2002"/>
      <c r="E185" s="2002"/>
      <c r="F185" s="2002"/>
      <c r="G185" s="2002"/>
      <c r="H185" s="2002"/>
      <c r="I185" s="2002"/>
      <c r="J185" s="2002"/>
      <c r="K185" s="2002"/>
      <c r="L185" s="2002"/>
      <c r="M185" s="2002"/>
      <c r="N185" s="2012">
        <f>'Sources and Uses Budget'!B105</f>
        <v>143907702</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2325</v>
      </c>
      <c r="D186" s="2002"/>
      <c r="E186" s="2002"/>
      <c r="F186" s="2002"/>
      <c r="G186" s="2002"/>
      <c r="H186" s="2002"/>
      <c r="I186" s="2002"/>
      <c r="J186" s="2002"/>
      <c r="K186" s="2002"/>
      <c r="L186" s="2002"/>
      <c r="M186" s="2002"/>
      <c r="N186" s="2012">
        <f>N185/J29</f>
        <v>723154.28140703519</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2324</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2323</v>
      </c>
      <c r="D188" s="2002"/>
      <c r="E188" s="2002"/>
      <c r="F188" s="2002"/>
      <c r="G188" s="2002"/>
      <c r="H188" s="2002"/>
      <c r="I188" s="2002"/>
      <c r="J188" s="2002"/>
      <c r="K188" s="2002"/>
      <c r="L188" s="2002"/>
      <c r="M188" s="2002"/>
      <c r="N188" s="2031">
        <f>SUM('Sources and Uses Budget'!B85:B86)</f>
        <v>4111516</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2322</v>
      </c>
      <c r="D189" s="2002"/>
      <c r="E189" s="2002"/>
      <c r="F189" s="2002"/>
      <c r="G189" s="2002"/>
      <c r="H189" s="2002"/>
      <c r="I189" s="2002"/>
      <c r="J189" s="2002"/>
      <c r="K189" s="2002"/>
      <c r="L189" s="2002"/>
      <c r="M189" s="2002"/>
      <c r="N189" s="2031">
        <f>'Sources and Uses Budget'!B8</f>
        <v>7517500</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2320</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2321</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2320</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2319</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2318</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299</v>
      </c>
      <c r="D192" s="1994"/>
      <c r="E192" s="1986" t="s">
        <v>2316</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2317</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299</v>
      </c>
      <c r="D193" s="1985"/>
      <c r="E193" s="1986" t="s">
        <v>2316</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299</v>
      </c>
      <c r="D194" s="1973"/>
      <c r="E194" s="1974" t="s">
        <v>2316</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2315</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2314</v>
      </c>
      <c r="D195" s="1956"/>
      <c r="E195" s="1956"/>
      <c r="F195" s="1956"/>
      <c r="G195" s="1956"/>
      <c r="H195" s="1956"/>
      <c r="I195" s="1956"/>
      <c r="J195" s="1956"/>
      <c r="K195" s="1956"/>
      <c r="L195" s="1956"/>
      <c r="M195" s="1956"/>
      <c r="N195" s="1957">
        <f>SUM(N187:T194)</f>
        <v>11629016</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2313</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2312</v>
      </c>
      <c r="D196" s="1966"/>
      <c r="E196" s="1966"/>
      <c r="F196" s="1966"/>
      <c r="G196" s="1966"/>
      <c r="H196" s="1966"/>
      <c r="I196" s="1966"/>
      <c r="J196" s="1966"/>
      <c r="K196" s="1966"/>
      <c r="L196" s="1966"/>
      <c r="M196" s="1966"/>
      <c r="N196" s="1967">
        <f>(N185-N195)/J29</f>
        <v>664717.01507537684</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2311</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2310</v>
      </c>
      <c r="D200" s="1953"/>
      <c r="E200" s="1953"/>
      <c r="F200" s="1953"/>
      <c r="G200" s="1953"/>
      <c r="H200" s="1953"/>
      <c r="I200" s="1953"/>
      <c r="J200" s="1953"/>
      <c r="K200" s="1953"/>
      <c r="L200" s="1953"/>
      <c r="M200" s="1953"/>
      <c r="N200" s="1953"/>
      <c r="O200" s="1954" t="s">
        <v>2309</v>
      </c>
      <c r="P200" s="1954"/>
      <c r="Q200" s="1954"/>
      <c r="R200" s="1954"/>
      <c r="S200" s="1954"/>
      <c r="T200" s="1954"/>
      <c r="U200" s="1954"/>
      <c r="V200" s="1954"/>
      <c r="W200" s="1954"/>
      <c r="X200" s="1954" t="s">
        <v>2308</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2307</v>
      </c>
      <c r="D201" s="1945"/>
      <c r="E201" s="1945"/>
      <c r="F201" s="1945"/>
      <c r="G201" s="1945"/>
      <c r="H201" s="1945"/>
      <c r="I201" s="1945"/>
      <c r="J201" s="1945"/>
      <c r="K201" s="1945"/>
      <c r="L201" s="1945"/>
      <c r="M201" s="1945"/>
      <c r="N201" s="1945"/>
      <c r="O201" s="1946" t="s">
        <v>2306</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854</v>
      </c>
      <c r="D202" s="1945"/>
      <c r="E202" s="1945"/>
      <c r="F202" s="1945"/>
      <c r="G202" s="1945"/>
      <c r="H202" s="1945"/>
      <c r="I202" s="1945"/>
      <c r="J202" s="1945"/>
      <c r="K202" s="1945"/>
      <c r="L202" s="1945"/>
      <c r="M202" s="1945"/>
      <c r="N202" s="1945"/>
      <c r="O202" s="1946" t="s">
        <v>2306</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2305</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2304</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2303</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2302</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2301</v>
      </c>
      <c r="D207" s="1924"/>
      <c r="E207" s="1924"/>
      <c r="F207" s="1925"/>
      <c r="G207" s="1929" t="s">
        <v>2300</v>
      </c>
      <c r="H207" s="1924"/>
      <c r="I207" s="1924"/>
      <c r="J207" s="1924"/>
      <c r="K207" s="1924"/>
      <c r="L207" s="1924"/>
      <c r="M207" s="1924"/>
      <c r="N207" s="1924"/>
      <c r="O207" s="1925"/>
      <c r="P207" s="1931" t="s">
        <v>2299</v>
      </c>
      <c r="Q207" s="1932"/>
      <c r="R207" s="1932"/>
      <c r="S207" s="1932"/>
      <c r="T207" s="1933"/>
      <c r="U207" s="1937" t="s">
        <v>2298</v>
      </c>
      <c r="V207" s="1938"/>
      <c r="W207" s="1938"/>
      <c r="X207" s="1939"/>
      <c r="Y207" s="1937" t="s">
        <v>2297</v>
      </c>
      <c r="Z207" s="1938"/>
      <c r="AA207" s="1938"/>
      <c r="AB207" s="1939"/>
      <c r="AC207" s="1937" t="s">
        <v>2296</v>
      </c>
      <c r="AD207" s="1938"/>
      <c r="AE207" s="1938"/>
      <c r="AF207" s="1939"/>
      <c r="AG207" s="1929" t="s">
        <v>2295</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1884</v>
      </c>
      <c r="H209" s="1914"/>
      <c r="I209" s="1914"/>
      <c r="J209" s="1914"/>
      <c r="K209" s="1914"/>
      <c r="L209" s="1914"/>
      <c r="M209" s="1914"/>
      <c r="N209" s="1914"/>
      <c r="O209" s="1914"/>
      <c r="P209" s="1915"/>
      <c r="Q209" s="1918"/>
      <c r="R209" s="1918"/>
      <c r="S209" s="1918"/>
      <c r="T209" s="1918"/>
      <c r="U209" s="1916" t="s">
        <v>1884</v>
      </c>
      <c r="V209" s="1916"/>
      <c r="W209" s="1916"/>
      <c r="X209" s="1916"/>
      <c r="Y209" s="1916" t="s">
        <v>1884</v>
      </c>
      <c r="Z209" s="1916"/>
      <c r="AA209" s="1916"/>
      <c r="AB209" s="1916"/>
      <c r="AC209" s="1917" t="s">
        <v>1884</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1884</v>
      </c>
      <c r="H210" s="1914"/>
      <c r="I210" s="1914"/>
      <c r="J210" s="1914"/>
      <c r="K210" s="1914"/>
      <c r="L210" s="1914"/>
      <c r="M210" s="1914"/>
      <c r="N210" s="1914"/>
      <c r="O210" s="1914"/>
      <c r="P210" s="1915"/>
      <c r="Q210" s="1915"/>
      <c r="R210" s="1915"/>
      <c r="S210" s="1915"/>
      <c r="T210" s="1915"/>
      <c r="U210" s="1916" t="s">
        <v>1884</v>
      </c>
      <c r="V210" s="1916"/>
      <c r="W210" s="1916"/>
      <c r="X210" s="1916"/>
      <c r="Y210" s="1916" t="s">
        <v>1884</v>
      </c>
      <c r="Z210" s="1916"/>
      <c r="AA210" s="1916"/>
      <c r="AB210" s="1916"/>
      <c r="AC210" s="1917" t="s">
        <v>1884</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1884</v>
      </c>
      <c r="H211" s="1914"/>
      <c r="I211" s="1914"/>
      <c r="J211" s="1914"/>
      <c r="K211" s="1914"/>
      <c r="L211" s="1914"/>
      <c r="M211" s="1914"/>
      <c r="N211" s="1914"/>
      <c r="O211" s="1914"/>
      <c r="P211" s="1915"/>
      <c r="Q211" s="1915"/>
      <c r="R211" s="1915"/>
      <c r="S211" s="1915"/>
      <c r="T211" s="1915"/>
      <c r="U211" s="1916" t="s">
        <v>1884</v>
      </c>
      <c r="V211" s="1916"/>
      <c r="W211" s="1916"/>
      <c r="X211" s="1916"/>
      <c r="Y211" s="1916" t="s">
        <v>1884</v>
      </c>
      <c r="Z211" s="1916"/>
      <c r="AA211" s="1916"/>
      <c r="AB211" s="1916"/>
      <c r="AC211" s="1917" t="s">
        <v>1884</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1884</v>
      </c>
      <c r="H212" s="1914"/>
      <c r="I212" s="1914"/>
      <c r="J212" s="1914"/>
      <c r="K212" s="1914"/>
      <c r="L212" s="1914"/>
      <c r="M212" s="1914"/>
      <c r="N212" s="1914"/>
      <c r="O212" s="1914"/>
      <c r="P212" s="1915"/>
      <c r="Q212" s="1915"/>
      <c r="R212" s="1915"/>
      <c r="S212" s="1915"/>
      <c r="T212" s="1915"/>
      <c r="U212" s="1916" t="s">
        <v>1884</v>
      </c>
      <c r="V212" s="1916"/>
      <c r="W212" s="1916"/>
      <c r="X212" s="1916"/>
      <c r="Y212" s="1916" t="s">
        <v>1884</v>
      </c>
      <c r="Z212" s="1916"/>
      <c r="AA212" s="1916"/>
      <c r="AB212" s="1916"/>
      <c r="AC212" s="1917" t="s">
        <v>1884</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1884</v>
      </c>
      <c r="H213" s="1914"/>
      <c r="I213" s="1914"/>
      <c r="J213" s="1914"/>
      <c r="K213" s="1914"/>
      <c r="L213" s="1914"/>
      <c r="M213" s="1914"/>
      <c r="N213" s="1914"/>
      <c r="O213" s="1914"/>
      <c r="P213" s="1915"/>
      <c r="Q213" s="1915"/>
      <c r="R213" s="1915"/>
      <c r="S213" s="1915"/>
      <c r="T213" s="1915"/>
      <c r="U213" s="1916" t="s">
        <v>1884</v>
      </c>
      <c r="V213" s="1916"/>
      <c r="W213" s="1916"/>
      <c r="X213" s="1916"/>
      <c r="Y213" s="1916" t="s">
        <v>1884</v>
      </c>
      <c r="Z213" s="1916"/>
      <c r="AA213" s="1916"/>
      <c r="AB213" s="1916"/>
      <c r="AC213" s="1917" t="s">
        <v>1884</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1884</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1884</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1884</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2294</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2292</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2291</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2290</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2289</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2287</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2286</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2285</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2284</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2283</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441</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2282</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2281</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Y41" sqref="Y41:AH41"/>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2" t="s">
        <v>1280</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5"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DDA/QCT
Building(s)</v>
      </c>
      <c r="U7" s="2352"/>
      <c r="V7" s="2352"/>
      <c r="W7" s="2352"/>
      <c r="X7" s="2352"/>
      <c r="Y7" s="2352" t="str">
        <f>IF(T25=100%,"",'Sources and Basis Breakdown'!G2)</f>
        <v>30% PVC for New Const/
Rehabilitation
NON-DDA/
NON-QCT Building(s)</v>
      </c>
      <c r="Z7" s="2352"/>
      <c r="AA7" s="2352"/>
      <c r="AB7" s="2352"/>
      <c r="AC7" s="2352"/>
      <c r="AD7" s="2352" t="str">
        <f xml:space="preserve"> IF(T25=100%, 'Sources and Basis Breakdown'!J2,'Sources and Basis Breakdown'!I2)</f>
        <v>30% PVC for Acquisition
DDA/QCT Building(s)</v>
      </c>
      <c r="AE7" s="2352"/>
      <c r="AF7" s="2352"/>
      <c r="AG7" s="2352"/>
      <c r="AH7" s="2352"/>
      <c r="AI7" s="2352" t="str">
        <f>IF(T25=100%,"",'Sources and Basis Breakdown'!J2)</f>
        <v>30% PVC for Acquisition
NON-DDA/
NON-QCT Building(s)</v>
      </c>
      <c r="AJ7" s="2352"/>
      <c r="AK7" s="2352"/>
      <c r="AL7" s="2352"/>
      <c r="AM7" s="2352"/>
    </row>
    <row r="8" spans="1:40" ht="12.95"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2.95"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5"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5" customHeight="1">
      <c r="B11" s="2338" t="s">
        <v>374</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128146020</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5" customHeight="1">
      <c r="B12" s="2376" t="s">
        <v>497</v>
      </c>
      <c r="C12" s="1308"/>
      <c r="D12" s="1308"/>
      <c r="E12" s="1308"/>
      <c r="F12" s="1308"/>
      <c r="G12" s="1308"/>
      <c r="H12" s="1308"/>
      <c r="I12" s="1308"/>
      <c r="J12" s="1308"/>
      <c r="K12" s="1308"/>
      <c r="L12" s="1308"/>
      <c r="M12" s="1308"/>
      <c r="N12" s="1308"/>
      <c r="O12" s="1308"/>
      <c r="P12" s="1308"/>
      <c r="Q12" s="1308"/>
      <c r="R12" s="1308"/>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5" customHeight="1">
      <c r="B13" s="435"/>
      <c r="C13" s="2378" t="s">
        <v>498</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5"/>
      <c r="C14" s="2378" t="s">
        <v>499</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5" customHeight="1">
      <c r="B15" s="435"/>
      <c r="C15" s="2378" t="s">
        <v>500</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5" customHeight="1">
      <c r="B16" s="435"/>
      <c r="C16" s="2378" t="s">
        <v>805</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5" customHeight="1">
      <c r="B17" s="435"/>
      <c r="C17" s="2378" t="s">
        <v>501</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5" customHeight="1">
      <c r="A18"/>
      <c r="B18" s="1150"/>
      <c r="C18" s="1564" t="s">
        <v>960</v>
      </c>
      <c r="D18" s="1564"/>
      <c r="E18" s="1564"/>
      <c r="F18" s="1564"/>
      <c r="G18" s="1564"/>
      <c r="H18" s="1564"/>
      <c r="I18" s="1564"/>
      <c r="J18" s="1564"/>
      <c r="K18" s="1564"/>
      <c r="L18" s="1564"/>
      <c r="M18" s="1564"/>
      <c r="N18" s="1564"/>
      <c r="O18" s="1564"/>
      <c r="P18" s="1564"/>
      <c r="Q18" s="1564"/>
      <c r="R18" s="1564"/>
      <c r="S18" s="1565"/>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5" customHeight="1">
      <c r="B19" s="1150"/>
      <c r="C19" s="1564" t="s">
        <v>960</v>
      </c>
      <c r="D19" s="1564"/>
      <c r="E19" s="1564"/>
      <c r="F19" s="1564"/>
      <c r="G19" s="1564"/>
      <c r="H19" s="1564"/>
      <c r="I19" s="1564"/>
      <c r="J19" s="1564"/>
      <c r="K19" s="1564"/>
      <c r="L19" s="1564"/>
      <c r="M19" s="1564"/>
      <c r="N19" s="1564"/>
      <c r="O19" s="1564"/>
      <c r="P19" s="1564"/>
      <c r="Q19" s="1564"/>
      <c r="R19" s="1564"/>
      <c r="S19" s="1565"/>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5" customHeight="1">
      <c r="B20" s="2338" t="s">
        <v>502</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5" customHeight="1">
      <c r="B21" s="2338" t="s">
        <v>1263</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5" customHeight="1">
      <c r="B22" s="2338" t="s">
        <v>503</v>
      </c>
      <c r="C22" s="2339"/>
      <c r="D22" s="2339"/>
      <c r="E22" s="2339"/>
      <c r="F22" s="2339"/>
      <c r="G22" s="2339"/>
      <c r="H22" s="2339"/>
      <c r="I22" s="2339"/>
      <c r="J22" s="2339"/>
      <c r="K22" s="2339"/>
      <c r="L22" s="2339"/>
      <c r="M22" s="2339"/>
      <c r="N22" s="2339"/>
      <c r="O22" s="2339"/>
      <c r="P22" s="2339"/>
      <c r="Q22" s="2339"/>
      <c r="R22" s="2339"/>
      <c r="S22" s="2340"/>
      <c r="T22" s="2356">
        <f>(ABS(T20)+ABS(T21))*-1</f>
        <v>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5" customHeight="1">
      <c r="B23" s="2338" t="s">
        <v>504</v>
      </c>
      <c r="C23" s="2339"/>
      <c r="D23" s="2339"/>
      <c r="E23" s="2339"/>
      <c r="F23" s="2339"/>
      <c r="G23" s="2339"/>
      <c r="H23" s="2339"/>
      <c r="I23" s="2339"/>
      <c r="J23" s="2339"/>
      <c r="K23" s="2339"/>
      <c r="L23" s="2339"/>
      <c r="M23" s="2339"/>
      <c r="N23" s="2339"/>
      <c r="O23" s="2339"/>
      <c r="P23" s="2339"/>
      <c r="Q23" s="2339"/>
      <c r="R23" s="2339"/>
      <c r="S23" s="2340"/>
      <c r="T23" s="2351">
        <f>T11+T22</f>
        <v>128146020</v>
      </c>
      <c r="U23" s="2332"/>
      <c r="V23" s="2332"/>
      <c r="W23" s="2332"/>
      <c r="X23" s="2332"/>
      <c r="Y23" s="2351">
        <f>Y11+Y22</f>
        <v>0</v>
      </c>
      <c r="Z23" s="2332"/>
      <c r="AA23" s="2332"/>
      <c r="AB23" s="2332"/>
      <c r="AC23" s="2332"/>
      <c r="AD23" s="2351">
        <f>AD11+AD22</f>
        <v>0</v>
      </c>
      <c r="AE23" s="2332"/>
      <c r="AF23" s="2332"/>
      <c r="AG23" s="2332"/>
      <c r="AH23" s="2332"/>
      <c r="AI23" s="2351">
        <f>AI11+AI22</f>
        <v>0</v>
      </c>
      <c r="AJ23" s="2332"/>
      <c r="AK23" s="2332"/>
      <c r="AL23" s="2332"/>
      <c r="AM23" s="2332"/>
    </row>
    <row r="24" spans="1:40" ht="12.95" customHeight="1">
      <c r="B24" s="2338" t="s">
        <v>961</v>
      </c>
      <c r="C24" s="2339"/>
      <c r="D24" s="2339"/>
      <c r="E24" s="2339"/>
      <c r="F24" s="2339"/>
      <c r="G24" s="2339"/>
      <c r="H24" s="2339"/>
      <c r="I24" s="2339"/>
      <c r="J24" s="2339"/>
      <c r="K24" s="2339"/>
      <c r="L24" s="2339"/>
      <c r="M24" s="2339"/>
      <c r="N24" s="2339"/>
      <c r="O24" s="2339"/>
      <c r="P24" s="2339"/>
      <c r="Q24" s="2339"/>
      <c r="R24" s="2339"/>
      <c r="S24" s="2340"/>
      <c r="T24" s="2342">
        <f>Application!AJ1053</f>
        <v>242494807</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5" customHeight="1">
      <c r="B25" s="2382" t="s">
        <v>1264</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8" t="s">
        <v>505</v>
      </c>
      <c r="C26" s="2339"/>
      <c r="D26" s="2339"/>
      <c r="E26" s="2339"/>
      <c r="F26" s="2339"/>
      <c r="G26" s="2339"/>
      <c r="H26" s="2339"/>
      <c r="I26" s="2339"/>
      <c r="J26" s="2339"/>
      <c r="K26" s="2339"/>
      <c r="L26" s="2339"/>
      <c r="M26" s="2339"/>
      <c r="N26" s="2339"/>
      <c r="O26" s="2339"/>
      <c r="P26" s="2339"/>
      <c r="Q26" s="2339"/>
      <c r="R26" s="2339"/>
      <c r="S26" s="2340"/>
      <c r="T26" s="2351">
        <f>T23*T25</f>
        <v>166589826</v>
      </c>
      <c r="U26" s="2332"/>
      <c r="V26" s="2332"/>
      <c r="W26" s="2332"/>
      <c r="X26" s="2332"/>
      <c r="Y26" s="2351">
        <f>Y23*Y25</f>
        <v>0</v>
      </c>
      <c r="Z26" s="2332"/>
      <c r="AA26" s="2332"/>
      <c r="AB26" s="2332"/>
      <c r="AC26" s="2332"/>
      <c r="AD26" s="2351">
        <f>AD23*AD25</f>
        <v>0</v>
      </c>
      <c r="AE26" s="2332"/>
      <c r="AF26" s="2332"/>
      <c r="AG26" s="2332"/>
      <c r="AH26" s="2332"/>
      <c r="AI26" s="2351">
        <f>AI23*AI25</f>
        <v>0</v>
      </c>
      <c r="AJ26" s="2332"/>
      <c r="AK26" s="2332"/>
      <c r="AL26" s="2332"/>
      <c r="AM26" s="2332"/>
    </row>
    <row r="27" spans="1:40" ht="12.95" customHeight="1">
      <c r="A27" s="410"/>
      <c r="B27" s="2385" t="s">
        <v>425</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5" customHeight="1">
      <c r="A28" s="404"/>
      <c r="B28" s="2338" t="s">
        <v>506</v>
      </c>
      <c r="C28" s="2339"/>
      <c r="D28" s="2339"/>
      <c r="E28" s="2339"/>
      <c r="F28" s="2339"/>
      <c r="G28" s="2339"/>
      <c r="H28" s="2339"/>
      <c r="I28" s="2339"/>
      <c r="J28" s="2339"/>
      <c r="K28" s="2339"/>
      <c r="L28" s="2339"/>
      <c r="M28" s="2339"/>
      <c r="N28" s="2339"/>
      <c r="O28" s="2339"/>
      <c r="P28" s="2339"/>
      <c r="Q28" s="2339"/>
      <c r="R28" s="2339"/>
      <c r="S28" s="2340"/>
      <c r="T28" s="2351">
        <f>IF(ISERROR((T26*T27)),0,(T26*T27))</f>
        <v>166589826</v>
      </c>
      <c r="U28" s="2332"/>
      <c r="V28" s="2332"/>
      <c r="W28" s="2332"/>
      <c r="X28" s="2332"/>
      <c r="Y28" s="2351">
        <f>IF(ISERROR((Y26*Y27)),0,(Y26*Y27))</f>
        <v>0</v>
      </c>
      <c r="Z28" s="2332"/>
      <c r="AA28" s="2332"/>
      <c r="AB28" s="2332"/>
      <c r="AC28" s="2332"/>
      <c r="AD28" s="2351">
        <f>IF(ISERROR((AD26*AD27)),0,(AD26*AD27))</f>
        <v>0</v>
      </c>
      <c r="AE28" s="2332"/>
      <c r="AF28" s="2332"/>
      <c r="AG28" s="2332"/>
      <c r="AH28" s="2332"/>
      <c r="AI28" s="2351">
        <f>IF(ISERROR((AI26*AI27)),0,(AI26*AI27))</f>
        <v>0</v>
      </c>
      <c r="AJ28" s="2332"/>
      <c r="AK28" s="2332"/>
      <c r="AL28" s="2332"/>
      <c r="AM28" s="2332"/>
    </row>
    <row r="29" spans="1:40" ht="12.95" customHeight="1">
      <c r="B29" s="2338" t="s">
        <v>523</v>
      </c>
      <c r="C29" s="2339"/>
      <c r="D29" s="2339"/>
      <c r="E29" s="2339"/>
      <c r="F29" s="2339"/>
      <c r="G29" s="2339"/>
      <c r="H29" s="2339"/>
      <c r="I29" s="2339"/>
      <c r="J29" s="2339"/>
      <c r="K29" s="2339"/>
      <c r="L29" s="2339"/>
      <c r="M29" s="2339"/>
      <c r="N29" s="2339"/>
      <c r="O29" s="2339"/>
      <c r="P29" s="2339"/>
      <c r="Q29" s="2339"/>
      <c r="R29" s="2339"/>
      <c r="S29" s="2340"/>
      <c r="T29" s="2342">
        <f>T28+Y28+AD28+AI28</f>
        <v>166589826</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5" customHeight="1">
      <c r="B30" s="2355" t="s">
        <v>1266</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5" customHeight="1">
      <c r="B31" s="2355" t="s">
        <v>1265</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1154</v>
      </c>
      <c r="Z35" s="2352"/>
      <c r="AA35" s="2352"/>
      <c r="AB35" s="2352"/>
      <c r="AC35" s="2352"/>
      <c r="AD35" s="2353" t="s">
        <v>368</v>
      </c>
      <c r="AE35" s="2353"/>
      <c r="AF35" s="2353"/>
      <c r="AG35" s="2353"/>
      <c r="AH35" s="2353"/>
    </row>
    <row r="36" spans="1:76" ht="12.95" customHeight="1">
      <c r="B36" s="407"/>
      <c r="X36" s="412"/>
      <c r="Y36" s="2352"/>
      <c r="Z36" s="2352"/>
      <c r="AA36" s="2352"/>
      <c r="AB36" s="2352"/>
      <c r="AC36" s="2352"/>
      <c r="AD36" s="2353"/>
      <c r="AE36" s="2353"/>
      <c r="AF36" s="2353"/>
      <c r="AG36" s="2353"/>
      <c r="AH36" s="235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2.95" customHeight="1">
      <c r="A38" s="404"/>
      <c r="B38" s="2338" t="s">
        <v>506</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166589826</v>
      </c>
      <c r="Z38" s="2332"/>
      <c r="AA38" s="2332"/>
      <c r="AB38" s="2332"/>
      <c r="AC38" s="2332"/>
      <c r="AD38" s="2332">
        <f>IF(T24&gt;=(T23+Y23+AD23+AI23),AD28+AI28,0)</f>
        <v>0</v>
      </c>
      <c r="AE38" s="2332"/>
      <c r="AF38" s="2332"/>
      <c r="AG38" s="2332"/>
      <c r="AH38" s="2332"/>
    </row>
    <row r="39" spans="1:76" ht="12.95" customHeight="1">
      <c r="B39" s="2338" t="s">
        <v>1691</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5" customHeight="1">
      <c r="A40" s="404"/>
      <c r="B40" s="2338" t="s">
        <v>642</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6663593</v>
      </c>
      <c r="Z40" s="2332"/>
      <c r="AA40" s="2332"/>
      <c r="AB40" s="2332"/>
      <c r="AC40" s="2332"/>
      <c r="AD40" s="2351">
        <f>ROUND(AD38*AD39,0)</f>
        <v>0</v>
      </c>
      <c r="AE40" s="2332"/>
      <c r="AF40" s="2332"/>
      <c r="AG40" s="2332"/>
      <c r="AH40" s="2332"/>
    </row>
    <row r="41" spans="1:76" ht="12.95" customHeight="1">
      <c r="B41" s="2338" t="s">
        <v>643</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6663593</v>
      </c>
      <c r="Z41" s="2350"/>
      <c r="AA41" s="2350"/>
      <c r="AB41" s="2350"/>
      <c r="AC41" s="2350"/>
      <c r="AD41" s="2350"/>
      <c r="AE41" s="2350"/>
      <c r="AF41" s="2350"/>
      <c r="AG41" s="2350"/>
      <c r="AH41" s="235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1276</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586</v>
      </c>
      <c r="C46" s="404" t="s">
        <v>281</v>
      </c>
    </row>
    <row r="47" spans="1:76" ht="12.95" customHeight="1">
      <c r="D47" s="404" t="s">
        <v>282</v>
      </c>
      <c r="AB47" s="2346">
        <f>'Sources and Uses Budget'!B105-MAX(IF('Sources and Uses Budget'!B15="",0,'Sources and Uses Budget'!B15),IF(Application!AG394="",0,Application!AG394))</f>
        <v>143907702</v>
      </c>
      <c r="AC47" s="2347"/>
      <c r="AD47" s="2347"/>
      <c r="AE47" s="2347"/>
      <c r="AF47" s="2348"/>
    </row>
    <row r="48" spans="1:76" ht="12.95" customHeight="1">
      <c r="D48" s="404" t="s">
        <v>21</v>
      </c>
      <c r="AB48" s="2346">
        <f>Application!AO639-MAX(IF('Sources and Uses Budget'!B15="",0,'Sources and Uses Budget'!B15),IF(Application!AG394="",0,Application!AG394))</f>
        <v>88437191</v>
      </c>
      <c r="AC48" s="2347"/>
      <c r="AD48" s="2347"/>
      <c r="AE48" s="2347"/>
      <c r="AF48" s="2348"/>
    </row>
    <row r="49" spans="1:76" ht="12.95" customHeight="1">
      <c r="D49" s="404" t="s">
        <v>91</v>
      </c>
      <c r="AB49" s="2346">
        <f>AB47-AB48</f>
        <v>55470511</v>
      </c>
      <c r="AC49" s="2347"/>
      <c r="AD49" s="2347"/>
      <c r="AE49" s="2347"/>
      <c r="AF49" s="2348"/>
    </row>
    <row r="50" spans="1:76" ht="12.95" customHeight="1">
      <c r="D50" s="404" t="s">
        <v>681</v>
      </c>
      <c r="AA50" s="415"/>
      <c r="AB50" s="2334">
        <v>0.83409999999999995</v>
      </c>
      <c r="AC50" s="2335"/>
      <c r="AD50" s="2335"/>
      <c r="AE50" s="2335"/>
      <c r="AF50" s="2336"/>
    </row>
    <row r="51" spans="1:76" s="417" customFormat="1" ht="12.95" customHeight="1">
      <c r="A51" s="402"/>
      <c r="B51" s="402"/>
      <c r="C51" s="402"/>
      <c r="D51" s="402"/>
      <c r="E51" s="2345" t="s">
        <v>2611</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6">
        <f>ROUND(IF(ISERROR((AB49/AB50)),0,(AB49/AB50)),0)</f>
        <v>66503430</v>
      </c>
      <c r="AC54" s="2347"/>
      <c r="AD54" s="2347"/>
      <c r="AE54" s="2347"/>
      <c r="AF54" s="2348"/>
    </row>
    <row r="55" spans="1:76" ht="12.95" customHeight="1">
      <c r="D55" s="404" t="s">
        <v>332</v>
      </c>
      <c r="AB55" s="2346">
        <f>(AB54/10)</f>
        <v>6650343</v>
      </c>
      <c r="AC55" s="2347"/>
      <c r="AD55" s="2347"/>
      <c r="AE55" s="2347"/>
      <c r="AF55" s="2348"/>
    </row>
    <row r="56" spans="1:76" ht="12.95" customHeight="1">
      <c r="D56" s="404" t="s">
        <v>756</v>
      </c>
      <c r="AB56" s="2346">
        <f>ROUND((IF((Y41&lt;AB55),Y41,AB55)),0)</f>
        <v>6650343</v>
      </c>
      <c r="AC56" s="2347"/>
      <c r="AD56" s="2347"/>
      <c r="AE56" s="2347"/>
      <c r="AF56" s="2348"/>
    </row>
    <row r="57" spans="1:76" ht="12.95" customHeight="1">
      <c r="D57" s="404" t="s">
        <v>755</v>
      </c>
      <c r="AB57" s="2346">
        <f>ROUND((10*AB56*AB50),0)</f>
        <v>55470511</v>
      </c>
      <c r="AC57" s="2347"/>
      <c r="AD57" s="2347"/>
      <c r="AE57" s="2347"/>
      <c r="AF57" s="2348"/>
    </row>
    <row r="58" spans="1:76" ht="12.95" customHeight="1">
      <c r="D58" s="404"/>
      <c r="AB58" s="423"/>
      <c r="AC58" s="423"/>
      <c r="AD58" s="423"/>
      <c r="AE58" s="423"/>
      <c r="AF58" s="423"/>
    </row>
    <row r="59" spans="1:76" ht="12.95" customHeight="1">
      <c r="D59" s="404" t="s">
        <v>754</v>
      </c>
      <c r="AB59" s="2330">
        <f>AB49-AB57</f>
        <v>0</v>
      </c>
      <c r="AC59" s="2330"/>
      <c r="AD59" s="2330"/>
      <c r="AE59" s="2330"/>
      <c r="AF59" s="2330"/>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589</v>
      </c>
      <c r="C63" s="205" t="s">
        <v>1248</v>
      </c>
      <c r="Y63" s="2341" t="s">
        <v>984</v>
      </c>
      <c r="Z63" s="2341"/>
      <c r="AA63" s="2341"/>
      <c r="AB63" s="2341"/>
      <c r="AC63" s="2341"/>
      <c r="AD63" s="2341" t="s">
        <v>368</v>
      </c>
      <c r="AE63" s="2341"/>
      <c r="AF63" s="2341"/>
      <c r="AG63" s="2341"/>
      <c r="AH63" s="2341"/>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128146020</v>
      </c>
      <c r="Z64" s="2343"/>
      <c r="AA64" s="2343"/>
      <c r="AB64" s="2343"/>
      <c r="AC64" s="2344"/>
      <c r="AD64" s="2342">
        <f>IF(AND(OR(Application!D211="At-Risk",Application!D211="At-Risk and Special Needs"),Application!M358="yes"),AD28+AI28,0)</f>
        <v>0</v>
      </c>
      <c r="AE64" s="2343"/>
      <c r="AF64" s="2343"/>
      <c r="AG64" s="2343"/>
      <c r="AH64" s="234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1">
        <f>IF(OR(Application!Z205="State Farmworker Credit",Application!Z205="$500M (Farmworker Housing)"),0.75,IF(Application!Z205="15% set-aside",0.13,IF(Application!Z205="15% set-aside with qualifying low value rehab",0.95,IF(Application!Z205="$500M",0.3,0))))</f>
        <v>0.3</v>
      </c>
      <c r="Z67" s="2331"/>
      <c r="AA67" s="2331"/>
      <c r="AB67" s="2331"/>
      <c r="AC67" s="2331"/>
      <c r="AD67" s="2331">
        <f>IF(Application!Z205="15% set-aside with qualifying low value rehab", 0.95,IF(OR(Application!D211="At-Risk",'Points System'!B13="Yes"),0.13,0))</f>
        <v>0</v>
      </c>
      <c r="AE67" s="2331"/>
      <c r="AF67" s="2331"/>
      <c r="AG67" s="2331"/>
      <c r="AH67" s="2331"/>
    </row>
    <row r="68" spans="1:36" ht="12.95" customHeight="1">
      <c r="C68" s="404"/>
      <c r="D68" s="205" t="s">
        <v>2224</v>
      </c>
      <c r="Y68" s="2332">
        <f>ROUND(Y64*Y67,0)</f>
        <v>38443806</v>
      </c>
      <c r="Z68" s="2333"/>
      <c r="AA68" s="2333"/>
      <c r="AB68" s="2333"/>
      <c r="AC68" s="2333"/>
      <c r="AD68" s="2332">
        <f>ROUND(AD64*AD67,0)</f>
        <v>0</v>
      </c>
      <c r="AE68" s="2333"/>
      <c r="AF68" s="2333"/>
      <c r="AG68" s="2333"/>
      <c r="AH68" s="2333"/>
    </row>
    <row r="69" spans="1:36" ht="12.95" customHeight="1">
      <c r="C69" s="404"/>
      <c r="D69" s="205" t="s">
        <v>2225</v>
      </c>
      <c r="Y69" s="2332">
        <f>IF(OR(Application!Z205="State Farmworker Credit",Application!Z205="$500M (Farmworker Housing)"),Y68+AD68,MIN(Y68+AD68,200000*(Application!G753+Application!O777)))</f>
        <v>38443806</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34"/>
      <c r="AC72" s="2335"/>
      <c r="AD72" s="2335"/>
      <c r="AE72" s="2335"/>
      <c r="AF72" s="2336"/>
    </row>
    <row r="73" spans="1:36" ht="12.95" customHeight="1">
      <c r="A73" s="404"/>
      <c r="C73" s="404"/>
      <c r="D73" s="404"/>
      <c r="E73" s="2337" t="s">
        <v>1251</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2.95"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2.95"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5">
        <f>ROUND(IF(ISERROR((AB59/AB72)),0,(AB59/AB72)),0)</f>
        <v>0</v>
      </c>
      <c r="AC77" s="2325"/>
      <c r="AD77" s="2325"/>
      <c r="AE77" s="2325"/>
      <c r="AF77" s="2325"/>
    </row>
    <row r="78" spans="1:36" ht="12.95" customHeight="1">
      <c r="C78" s="404"/>
      <c r="D78" s="205" t="s">
        <v>1253</v>
      </c>
      <c r="AB78" s="2326">
        <f>ROUNDUP(MIN(Y69,AB77),0)</f>
        <v>0</v>
      </c>
      <c r="AC78" s="2327"/>
      <c r="AD78" s="2327"/>
      <c r="AE78" s="2327"/>
      <c r="AF78" s="2328"/>
    </row>
    <row r="79" spans="1:36" ht="12.95" customHeight="1">
      <c r="C79" s="404"/>
      <c r="D79" s="205" t="s">
        <v>1254</v>
      </c>
      <c r="AB79" s="2329">
        <f>AB78*AB72</f>
        <v>0</v>
      </c>
      <c r="AC79" s="2329"/>
      <c r="AD79" s="2329"/>
      <c r="AE79" s="2329"/>
      <c r="AF79" s="2329"/>
    </row>
    <row r="80" spans="1:36" ht="12.95" customHeight="1">
      <c r="C80" s="404"/>
      <c r="D80" s="404"/>
      <c r="AB80" s="425"/>
      <c r="AC80" s="425"/>
      <c r="AD80" s="425"/>
      <c r="AE80" s="425"/>
      <c r="AF80" s="425"/>
    </row>
    <row r="81" spans="1:78" ht="12.95" customHeight="1">
      <c r="D81" s="404" t="s">
        <v>754</v>
      </c>
      <c r="AB81" s="2330">
        <f>AB49-(AB57+AB79)</f>
        <v>0</v>
      </c>
      <c r="AC81" s="2330"/>
      <c r="AD81" s="2330"/>
      <c r="AE81" s="2330"/>
      <c r="AF81" s="2330"/>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81"/>
      <c r="AC87" s="2381"/>
      <c r="AD87" s="2381"/>
      <c r="AE87" s="2381"/>
      <c r="AF87" s="2381"/>
    </row>
    <row r="88" spans="1:78" ht="12.95"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85" workbookViewId="0">
      <selection activeCell="C541" sqref="C541:D54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23" t="s">
        <v>1300</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1305</v>
      </c>
      <c r="AF7" s="2404"/>
      <c r="AG7" s="2404"/>
      <c r="AH7" s="2404"/>
      <c r="AI7" s="2404"/>
      <c r="AJ7" s="2404"/>
      <c r="AK7" s="240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591</v>
      </c>
      <c r="C13" s="239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591</v>
      </c>
      <c r="C16" s="2394"/>
      <c r="D16" s="547"/>
      <c r="E16" s="2405" t="s">
        <v>1307</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591</v>
      </c>
      <c r="C22" s="2394"/>
      <c r="D22" s="547"/>
      <c r="E22" s="2430" t="s">
        <v>1310</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591</v>
      </c>
      <c r="C25" s="2394"/>
      <c r="D25" s="547"/>
      <c r="E25" s="2395" t="s">
        <v>2033</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591</v>
      </c>
      <c r="C28" s="2394"/>
      <c r="D28" s="547"/>
      <c r="E28" s="2418" t="s">
        <v>2248</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4" t="s">
        <v>591</v>
      </c>
      <c r="C33" s="2394"/>
      <c r="D33" s="547"/>
      <c r="E33" s="2430" t="s">
        <v>2250</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591</v>
      </c>
      <c r="C36" s="2394"/>
      <c r="D36" s="547"/>
      <c r="E36" s="2395" t="s">
        <v>2251</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4" t="s">
        <v>591</v>
      </c>
      <c r="C40" s="2394"/>
      <c r="D40" s="547"/>
      <c r="E40" s="2395" t="s">
        <v>2249</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591</v>
      </c>
      <c r="C45" s="2394"/>
      <c r="D45" s="1142"/>
      <c r="E45" s="2395" t="s">
        <v>2008</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591</v>
      </c>
      <c r="C52" s="2394"/>
      <c r="D52" s="540"/>
      <c r="E52" s="2395" t="s">
        <v>2013</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591</v>
      </c>
      <c r="C56" s="2394"/>
      <c r="D56" s="540"/>
      <c r="E56" s="2415" t="s">
        <v>2014</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591</v>
      </c>
      <c r="C58" s="2394"/>
      <c r="D58" s="540"/>
      <c r="E58" s="2395" t="s">
        <v>2015</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7">
        <f>AO39</f>
        <v>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1314</v>
      </c>
      <c r="AF65" s="2404"/>
      <c r="AG65" s="2404"/>
      <c r="AH65" s="2404"/>
      <c r="AI65" s="2404"/>
      <c r="AJ65" s="2404"/>
      <c r="AK65" s="240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545</v>
      </c>
      <c r="C68" s="2394"/>
      <c r="D68" s="547" t="s">
        <v>1315</v>
      </c>
      <c r="E68" s="2405" t="s">
        <v>2016</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10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10</v>
      </c>
      <c r="AP71" s="574" t="s">
        <v>1316</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591</v>
      </c>
      <c r="C74" s="239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591</v>
      </c>
      <c r="F75" s="239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591</v>
      </c>
      <c r="F76" s="239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591</v>
      </c>
      <c r="F77" s="239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591</v>
      </c>
      <c r="F79" s="239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591</v>
      </c>
      <c r="C81" s="2394"/>
      <c r="D81" s="547" t="s">
        <v>1320</v>
      </c>
      <c r="E81" s="2395" t="s">
        <v>1740</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7">
        <f>IF(AK62&gt;0,0,AO71)</f>
        <v>10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1305</v>
      </c>
      <c r="AF87" s="2404"/>
      <c r="AG87" s="2404"/>
      <c r="AH87" s="2404"/>
      <c r="AI87" s="2404"/>
      <c r="AJ87" s="2404"/>
      <c r="AK87" s="240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591</v>
      </c>
      <c r="C90" s="2394"/>
      <c r="D90" s="547" t="s">
        <v>1315</v>
      </c>
      <c r="E90" s="2405" t="s">
        <v>1325</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0.60000000000000009</v>
      </c>
      <c r="F93" s="2389"/>
      <c r="G93" s="2389"/>
      <c r="H93" s="238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0</v>
      </c>
      <c r="F94" s="2391"/>
      <c r="G94" s="2391"/>
      <c r="H94" s="239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0</v>
      </c>
      <c r="F95" s="2422"/>
      <c r="G95" s="2422"/>
      <c r="H95" s="242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545</v>
      </c>
      <c r="C98" s="2394"/>
      <c r="D98" s="547" t="s">
        <v>1317</v>
      </c>
      <c r="E98" s="2405" t="s">
        <v>1725</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0.60000000000000009</v>
      </c>
      <c r="F103" s="2389"/>
      <c r="G103" s="2389"/>
      <c r="H103" s="238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0.25380710659898476</v>
      </c>
      <c r="F104" s="2389"/>
      <c r="G104" s="2389"/>
      <c r="H104" s="238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5.5837563451776651E-2</v>
      </c>
      <c r="F105" s="2389"/>
      <c r="G105" s="2389"/>
      <c r="H105" s="238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1314</v>
      </c>
      <c r="AF112" s="2404"/>
      <c r="AG112" s="2404"/>
      <c r="AH112" s="2404"/>
      <c r="AI112" s="2404"/>
      <c r="AJ112" s="2404"/>
      <c r="AK112" s="2404"/>
      <c r="AL112" s="540"/>
      <c r="AM112" s="540"/>
      <c r="AN112" s="535"/>
      <c r="AO112" s="536" t="str">
        <f>Application!B718</f>
        <v>1 Bedroom</v>
      </c>
      <c r="AQ112" s="536">
        <f>Application!O718</f>
        <v>829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1139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1759</v>
      </c>
    </row>
    <row r="115" spans="1:52" s="536" customFormat="1" ht="12.75" customHeight="1">
      <c r="A115" s="540"/>
      <c r="B115" s="2394" t="s">
        <v>545</v>
      </c>
      <c r="C115" s="2394"/>
      <c r="D115" s="547" t="s">
        <v>1315</v>
      </c>
      <c r="E115" s="2405" t="s">
        <v>1857</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t="str">
        <f>Application!B721</f>
        <v>1 Bedroom</v>
      </c>
      <c r="AQ115" s="536">
        <f>Application!O721</f>
        <v>2069</v>
      </c>
      <c r="AU115" s="536" t="s">
        <v>1840</v>
      </c>
      <c r="AV115" s="595" t="s">
        <v>1841</v>
      </c>
      <c r="AW115" s="536" t="s">
        <v>1842</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t="str">
        <f>Application!B722</f>
        <v>2 Bedrooms</v>
      </c>
      <c r="AQ116" s="536">
        <f>Application!O722</f>
        <v>979</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t="str">
        <f>Application!B723</f>
        <v>2 Bedrooms</v>
      </c>
      <c r="AQ117" s="536">
        <f>Application!O723</f>
        <v>2469</v>
      </c>
      <c r="AU117" s="856" t="str">
        <f>J124</f>
        <v>1-bedroom</v>
      </c>
      <c r="AV117" s="536">
        <f t="array" ref="AV117">SUM(IF(Application!B718:F752="1 Bedroom",Application!G718:J752))</f>
        <v>48</v>
      </c>
      <c r="AW117" s="1011">
        <f>AV117/AV122</f>
        <v>0.24365482233502539</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t="str">
        <f>Application!B724</f>
        <v>3 Bedrooms</v>
      </c>
      <c r="AQ118" s="536">
        <f>Application!O724</f>
        <v>1112</v>
      </c>
      <c r="AU118" s="856" t="str">
        <f>O124</f>
        <v>2-bedroom</v>
      </c>
      <c r="AV118" s="536">
        <f t="array" ref="AV118">SUM(IF(Application!B718:F752="2 Bedrooms",Application!G718:J752))</f>
        <v>57</v>
      </c>
      <c r="AW118" s="1011">
        <f>AV118/AV122</f>
        <v>0.28934010152284262</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t="str">
        <f>Application!B725</f>
        <v>3 Bedrooms</v>
      </c>
      <c r="AQ119" s="536">
        <f>Application!O725</f>
        <v>2402</v>
      </c>
      <c r="AU119" s="856" t="str">
        <f>T124</f>
        <v>3-bedroom</v>
      </c>
      <c r="AV119" s="536">
        <f t="array" ref="AV119">SUM(IF(Application!B718:F752="3 Bedrooms",Application!G718:J752))</f>
        <v>92</v>
      </c>
      <c r="AW119" s="1011">
        <f>AV119/AV122</f>
        <v>0.46700507614213199</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t="str">
        <f>Application!B726</f>
        <v>3 Bedrooms</v>
      </c>
      <c r="AQ120" s="536">
        <f>Application!O726</f>
        <v>3150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197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1588</v>
      </c>
      <c r="F124" s="2389"/>
      <c r="G124" s="2389"/>
      <c r="H124" s="2389"/>
      <c r="I124" s="577"/>
      <c r="J124" s="2389" t="s">
        <v>1631</v>
      </c>
      <c r="K124" s="2389"/>
      <c r="L124" s="2389"/>
      <c r="M124" s="2389"/>
      <c r="N124" s="577"/>
      <c r="O124" s="2389" t="s">
        <v>1632</v>
      </c>
      <c r="P124" s="2389"/>
      <c r="Q124" s="2389"/>
      <c r="R124" s="2389"/>
      <c r="S124" s="577"/>
      <c r="T124" s="2389" t="s">
        <v>1334</v>
      </c>
      <c r="U124" s="2389"/>
      <c r="V124" s="2389"/>
      <c r="W124" s="2389"/>
      <c r="X124" s="577"/>
      <c r="Y124" s="2389" t="s">
        <v>1633</v>
      </c>
      <c r="Z124" s="2389"/>
      <c r="AA124" s="2389"/>
      <c r="AB124" s="2389"/>
      <c r="AC124" s="577"/>
      <c r="AD124" s="2389" t="s">
        <v>1634</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c r="F127" s="2449"/>
      <c r="G127" s="2449"/>
      <c r="H127" s="2449"/>
      <c r="I127" s="864"/>
      <c r="J127" s="2449">
        <v>2845</v>
      </c>
      <c r="K127" s="2449"/>
      <c r="L127" s="2449"/>
      <c r="M127" s="2449"/>
      <c r="N127" s="864"/>
      <c r="O127" s="2449">
        <v>3251</v>
      </c>
      <c r="P127" s="2449"/>
      <c r="Q127" s="2449"/>
      <c r="R127" s="2449"/>
      <c r="S127" s="864"/>
      <c r="T127" s="2449">
        <v>3623</v>
      </c>
      <c r="U127" s="2449"/>
      <c r="V127" s="2449"/>
      <c r="W127" s="2449"/>
      <c r="X127" s="864"/>
      <c r="Y127" s="2449"/>
      <c r="Z127" s="2449"/>
      <c r="AA127" s="2449"/>
      <c r="AB127" s="2449"/>
      <c r="AC127" s="864"/>
      <c r="AD127" s="2449"/>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0</v>
      </c>
      <c r="F130" s="2442"/>
      <c r="G130" s="2442"/>
      <c r="H130" s="2442"/>
      <c r="I130" s="864"/>
      <c r="J130" s="2442">
        <f>Application!EC670</f>
        <v>1610.4583333333335</v>
      </c>
      <c r="K130" s="2442"/>
      <c r="L130" s="2442"/>
      <c r="M130" s="2442"/>
      <c r="N130" s="864"/>
      <c r="O130" s="2442">
        <f>Application!EH670</f>
        <v>2076.894736842105</v>
      </c>
      <c r="P130" s="2442"/>
      <c r="Q130" s="2442"/>
      <c r="R130" s="2442"/>
      <c r="S130" s="868"/>
      <c r="T130" s="2442">
        <f>Application!EM670</f>
        <v>2452.913043478261</v>
      </c>
      <c r="U130" s="2442"/>
      <c r="V130" s="2442"/>
      <c r="W130" s="2442"/>
      <c r="X130" s="868"/>
      <c r="Y130" s="2442">
        <f>Application!ER670</f>
        <v>0</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t="e">
        <f>(E127-E130)/E127</f>
        <v>#DIV/0!</v>
      </c>
      <c r="F133" s="2391"/>
      <c r="G133" s="2391"/>
      <c r="H133" s="2641"/>
      <c r="I133" s="577"/>
      <c r="J133" s="2640">
        <f>(J127-J130)/J127</f>
        <v>0.43393380199179843</v>
      </c>
      <c r="K133" s="2391"/>
      <c r="L133" s="2391"/>
      <c r="M133" s="2641"/>
      <c r="N133" s="577"/>
      <c r="O133" s="2640">
        <f>(O127-O130)/O127</f>
        <v>0.36115203419190867</v>
      </c>
      <c r="P133" s="2391"/>
      <c r="Q133" s="2391"/>
      <c r="R133" s="2641"/>
      <c r="S133" s="577"/>
      <c r="T133" s="2640">
        <f>(T127-T130)/T127</f>
        <v>0.32296079396128596</v>
      </c>
      <c r="U133" s="2391"/>
      <c r="V133" s="2391"/>
      <c r="W133" s="2641"/>
      <c r="X133" s="577"/>
      <c r="Y133" s="2640" t="e">
        <f>(Y127-Y130)/Y127</f>
        <v>#DIV/0!</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t="e">
        <f>IF(((E133-0.1)*AW116)&gt;0,((E133-0.1)*AW116),0)</f>
        <v>#DIV/0!</v>
      </c>
      <c r="F136" s="2444"/>
      <c r="G136" s="2444"/>
      <c r="H136" s="2445"/>
      <c r="I136" s="577"/>
      <c r="J136" s="2443">
        <f>IF(((J133-0.1)*AW117)&gt;0,((J133-0.1)*AW117),0)</f>
        <v>8.1364581195971203E-2</v>
      </c>
      <c r="K136" s="2444"/>
      <c r="L136" s="2444"/>
      <c r="M136" s="2445"/>
      <c r="N136" s="577"/>
      <c r="O136" s="2443">
        <f>IF(((O133-0.1)*AW118)&gt;0,((O133-0.1)*AW118),0)</f>
        <v>7.5561756085983728E-2</v>
      </c>
      <c r="P136" s="2444"/>
      <c r="Q136" s="2444"/>
      <c r="R136" s="2445"/>
      <c r="S136" s="577"/>
      <c r="T136" s="2443">
        <f>IF(((T133-0.1)*AW119)&gt;0,((T133-0.1)*AW119),0)</f>
        <v>0.10412382256060056</v>
      </c>
      <c r="U136" s="2444"/>
      <c r="V136" s="2444"/>
      <c r="W136" s="2445"/>
      <c r="X136" s="577"/>
      <c r="Y136" s="2443" t="e">
        <f>IF(((Y133-0.1)*AW120)&gt;0,((Y133-0.1)*AW120),0)</f>
        <v>#DIV/0!</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0.26</v>
      </c>
      <c r="F138" s="2391"/>
      <c r="G138" s="2391"/>
      <c r="H138" s="2641"/>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4" t="s">
        <v>1314</v>
      </c>
      <c r="AF146" s="2404"/>
      <c r="AG146" s="2404"/>
      <c r="AH146" s="2404"/>
      <c r="AI146" s="2404"/>
      <c r="AJ146" s="2404"/>
      <c r="AK146" s="240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1338</v>
      </c>
      <c r="AG148" s="2439"/>
      <c r="AH148" s="2439"/>
      <c r="AI148" s="2439"/>
      <c r="AJ148" s="2439"/>
      <c r="AK148" s="2439"/>
      <c r="AL148" s="243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
        <v>2722</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6" t="s">
        <v>1341</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67" t="s">
        <v>591</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6" t="s">
        <v>1343</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2475</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2476</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2474</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591</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1352</v>
      </c>
      <c r="AG168" s="2439"/>
      <c r="AH168" s="2439"/>
      <c r="AI168" s="2439"/>
      <c r="AJ168" s="2439"/>
      <c r="AK168" s="2439"/>
      <c r="AL168" s="243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1350</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591</v>
      </c>
      <c r="AG172" s="2467"/>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6" t="s">
        <v>1343</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8" t="str">
        <f>Application!AA335</f>
        <v xml:space="preserve">CONAM Management Corporation </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1314</v>
      </c>
      <c r="AF186" s="2404"/>
      <c r="AG186" s="2404"/>
      <c r="AH186" s="2404"/>
      <c r="AI186" s="2404"/>
      <c r="AJ186" s="2404"/>
      <c r="AK186" s="240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4" t="s">
        <v>1041</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1363</v>
      </c>
      <c r="AG188" s="2439"/>
      <c r="AH188" s="2439"/>
      <c r="AI188" s="2439"/>
      <c r="AJ188" s="2439"/>
      <c r="AK188" s="2439"/>
      <c r="AL188" s="2439"/>
      <c r="AN188" s="597"/>
      <c r="AP188" s="550" t="s">
        <v>1043</v>
      </c>
      <c r="AQ188" s="550">
        <v>10</v>
      </c>
    </row>
    <row r="189" spans="1:73" s="550" customFormat="1" ht="12.75" customHeight="1">
      <c r="A189" s="536"/>
      <c r="B189" s="2465" t="s">
        <v>1726</v>
      </c>
      <c r="C189" s="2465"/>
      <c r="D189" s="2465"/>
      <c r="E189" s="2465"/>
      <c r="F189" s="2465"/>
      <c r="G189" s="2465"/>
      <c r="H189" s="2465"/>
      <c r="I189" s="2465"/>
      <c r="J189" s="2465"/>
      <c r="K189" s="2465"/>
      <c r="L189" s="2465"/>
      <c r="M189" s="2465"/>
      <c r="N189" s="2465"/>
      <c r="O189" s="2465"/>
      <c r="P189" s="2465"/>
      <c r="Q189" s="2465"/>
      <c r="R189" s="2465"/>
      <c r="S189" s="2465"/>
      <c r="T189" s="2440" t="s">
        <v>591</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4">
        <f>IF(AK84&gt;0,VLOOKUP($B$188,AP185:AQ191,2,FALSE),0)</f>
        <v>10</v>
      </c>
      <c r="AL191" s="2475"/>
      <c r="AM191" s="247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1372</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t="s">
        <v>2731</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v>6000000</v>
      </c>
      <c r="AE199" s="2452"/>
      <c r="AF199" s="2452"/>
      <c r="AG199" s="2452"/>
      <c r="AH199" s="2452"/>
      <c r="AI199" s="2452"/>
      <c r="AJ199" s="2452"/>
      <c r="AK199" s="610"/>
    </row>
    <row r="200" spans="1:40">
      <c r="A200" s="605"/>
      <c r="B200" s="2451" t="s">
        <v>2736</v>
      </c>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v>15000000</v>
      </c>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1627</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0</v>
      </c>
      <c r="AE209" s="2481"/>
      <c r="AF209" s="2481"/>
      <c r="AG209" s="2481"/>
      <c r="AH209" s="2481"/>
      <c r="AI209" s="2481"/>
      <c r="AJ209" s="2481"/>
      <c r="AK209" s="610"/>
    </row>
    <row r="210" spans="1:37">
      <c r="A210" s="605"/>
      <c r="B210" s="2608" t="s">
        <v>1590</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6">
        <f>SUM(AD199:AJ209)-AD210</f>
        <v>21000000</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1607</v>
      </c>
      <c r="J222" s="2455"/>
      <c r="K222" s="2455"/>
      <c r="L222" s="536"/>
      <c r="M222" s="536"/>
      <c r="N222" s="536"/>
      <c r="O222" s="536"/>
      <c r="P222" s="536"/>
      <c r="Q222" s="536"/>
      <c r="R222" s="536"/>
      <c r="S222" s="536"/>
      <c r="T222" s="2643" t="s">
        <v>1601</v>
      </c>
      <c r="U222" s="2643"/>
      <c r="V222" s="2643"/>
      <c r="W222" s="2643"/>
      <c r="X222" s="2643"/>
      <c r="Y222" s="2643"/>
      <c r="Z222" s="849"/>
      <c r="AA222" s="489"/>
      <c r="AB222" s="2450" t="s">
        <v>1602</v>
      </c>
      <c r="AC222" s="2450"/>
      <c r="AD222" s="2450"/>
      <c r="AE222" s="2450"/>
      <c r="AF222" s="2450"/>
      <c r="AG222" s="2450"/>
      <c r="AH222" s="827"/>
      <c r="AI222" s="827"/>
      <c r="AJ222" s="827"/>
      <c r="AK222" s="610"/>
    </row>
    <row r="223" spans="1:37">
      <c r="A223" s="605"/>
      <c r="B223" s="2453" t="s">
        <v>1587</v>
      </c>
      <c r="C223" s="2453"/>
      <c r="D223" s="2453"/>
      <c r="E223" s="2453"/>
      <c r="F223" s="2453"/>
      <c r="G223" s="2453"/>
      <c r="I223" s="2454" t="s">
        <v>1608</v>
      </c>
      <c r="J223" s="2454"/>
      <c r="K223" s="2454"/>
      <c r="L223" s="1008"/>
      <c r="N223" s="2460" t="s">
        <v>1603</v>
      </c>
      <c r="O223" s="2460"/>
      <c r="P223" s="2460"/>
      <c r="Q223" s="2460"/>
      <c r="R223" s="2460"/>
      <c r="T223" s="2460" t="s">
        <v>1604</v>
      </c>
      <c r="U223" s="2460"/>
      <c r="V223" s="2460"/>
      <c r="W223" s="2460"/>
      <c r="X223" s="2460"/>
      <c r="Y223" s="2460"/>
      <c r="Z223" s="850"/>
      <c r="AA223" s="489"/>
      <c r="AB223" s="2597" t="s">
        <v>1605</v>
      </c>
      <c r="AC223" s="2597"/>
      <c r="AD223" s="2597"/>
      <c r="AE223" s="2597"/>
      <c r="AF223" s="2597"/>
      <c r="AG223" s="2597"/>
      <c r="AH223" s="827"/>
      <c r="AI223" s="827"/>
      <c r="AJ223" s="827"/>
      <c r="AK223" s="610"/>
    </row>
    <row r="224" spans="1:37">
      <c r="A224" s="605"/>
      <c r="B224" s="2457" t="s">
        <v>1184</v>
      </c>
      <c r="C224" s="2457"/>
      <c r="D224" s="2457"/>
      <c r="E224" s="2457"/>
      <c r="F224" s="2457"/>
      <c r="G224" s="2457"/>
      <c r="H224" s="852"/>
      <c r="I224" s="2456"/>
      <c r="J224" s="2456"/>
      <c r="K224" s="2456"/>
      <c r="L224" s="1008"/>
      <c r="N224" s="2461"/>
      <c r="O224" s="2461"/>
      <c r="P224" s="2461"/>
      <c r="Q224" s="2461"/>
      <c r="R224" s="2461"/>
      <c r="T224" s="2609"/>
      <c r="U224" s="2609"/>
      <c r="V224" s="2609"/>
      <c r="W224" s="2609"/>
      <c r="X224" s="2609"/>
      <c r="Y224" s="2609"/>
      <c r="Z224" s="851"/>
      <c r="AA224" s="851"/>
      <c r="AB224" s="2458">
        <f t="shared" ref="AB224:AB233" si="0">MAX(($T224-$N224)*$I224*12,0)</f>
        <v>0</v>
      </c>
      <c r="AC224" s="2458"/>
      <c r="AD224" s="2458"/>
      <c r="AE224" s="2458"/>
      <c r="AF224" s="2458"/>
      <c r="AG224" s="2458"/>
      <c r="AH224" s="827"/>
      <c r="AI224" s="827"/>
      <c r="AJ224" s="827"/>
      <c r="AK224" s="610"/>
    </row>
    <row r="225" spans="1:37">
      <c r="A225" s="605"/>
      <c r="B225" s="2457" t="s">
        <v>1184</v>
      </c>
      <c r="C225" s="2457"/>
      <c r="D225" s="2457"/>
      <c r="E225" s="2457"/>
      <c r="F225" s="2457"/>
      <c r="G225" s="2457"/>
      <c r="I225" s="2456"/>
      <c r="J225" s="2456"/>
      <c r="K225" s="2456"/>
      <c r="L225" s="1008"/>
      <c r="N225" s="2461"/>
      <c r="O225" s="2461"/>
      <c r="P225" s="2461"/>
      <c r="Q225" s="2461"/>
      <c r="R225" s="2461"/>
      <c r="T225" s="2609"/>
      <c r="U225" s="2609"/>
      <c r="V225" s="2609"/>
      <c r="W225" s="2609"/>
      <c r="X225" s="2609"/>
      <c r="Y225" s="2609"/>
      <c r="Z225" s="851"/>
      <c r="AA225" s="851"/>
      <c r="AB225" s="2458">
        <f t="shared" si="0"/>
        <v>0</v>
      </c>
      <c r="AC225" s="2458"/>
      <c r="AD225" s="2458"/>
      <c r="AE225" s="2458"/>
      <c r="AF225" s="2458"/>
      <c r="AG225" s="2458"/>
      <c r="AH225" s="827"/>
      <c r="AI225" s="827"/>
      <c r="AJ225" s="827"/>
      <c r="AK225" s="610"/>
    </row>
    <row r="226" spans="1:37">
      <c r="A226" s="605"/>
      <c r="B226" s="2457" t="s">
        <v>1184</v>
      </c>
      <c r="C226" s="2457"/>
      <c r="D226" s="2457"/>
      <c r="E226" s="2457"/>
      <c r="F226" s="2457"/>
      <c r="G226" s="2457"/>
      <c r="I226" s="2456"/>
      <c r="J226" s="2456"/>
      <c r="K226" s="2456"/>
      <c r="L226" s="1008"/>
      <c r="N226" s="2461"/>
      <c r="O226" s="2461"/>
      <c r="P226" s="2461"/>
      <c r="Q226" s="2461"/>
      <c r="R226" s="2461"/>
      <c r="T226" s="2609"/>
      <c r="U226" s="2609"/>
      <c r="V226" s="2609"/>
      <c r="W226" s="2609"/>
      <c r="X226" s="2609"/>
      <c r="Y226" s="2609"/>
      <c r="Z226" s="851"/>
      <c r="AA226" s="851"/>
      <c r="AB226" s="2458">
        <f t="shared" si="0"/>
        <v>0</v>
      </c>
      <c r="AC226" s="2458"/>
      <c r="AD226" s="2458"/>
      <c r="AE226" s="2458"/>
      <c r="AF226" s="2458"/>
      <c r="AG226" s="2458"/>
      <c r="AH226" s="827"/>
      <c r="AI226" s="827"/>
      <c r="AJ226" s="827"/>
      <c r="AK226" s="610"/>
    </row>
    <row r="227" spans="1:37">
      <c r="A227" s="605"/>
      <c r="B227" s="2457" t="s">
        <v>1184</v>
      </c>
      <c r="C227" s="2457"/>
      <c r="D227" s="2457"/>
      <c r="E227" s="2457"/>
      <c r="F227" s="2457"/>
      <c r="G227" s="2457"/>
      <c r="I227" s="2456"/>
      <c r="J227" s="2456"/>
      <c r="K227" s="2456"/>
      <c r="L227" s="1008"/>
      <c r="N227" s="2461"/>
      <c r="O227" s="2461"/>
      <c r="P227" s="2461"/>
      <c r="Q227" s="2461"/>
      <c r="R227" s="2461"/>
      <c r="T227" s="2609"/>
      <c r="U227" s="2609"/>
      <c r="V227" s="2609"/>
      <c r="W227" s="2609"/>
      <c r="X227" s="2609"/>
      <c r="Y227" s="2609"/>
      <c r="Z227" s="851"/>
      <c r="AA227" s="851"/>
      <c r="AB227" s="2458">
        <f t="shared" si="0"/>
        <v>0</v>
      </c>
      <c r="AC227" s="2458"/>
      <c r="AD227" s="2458"/>
      <c r="AE227" s="2458"/>
      <c r="AF227" s="2458"/>
      <c r="AG227" s="2458"/>
      <c r="AH227" s="827"/>
      <c r="AI227" s="827"/>
      <c r="AJ227" s="827"/>
      <c r="AK227" s="610"/>
    </row>
    <row r="228" spans="1:37">
      <c r="A228" s="605"/>
      <c r="B228" s="2457" t="s">
        <v>1184</v>
      </c>
      <c r="C228" s="2457"/>
      <c r="D228" s="2457"/>
      <c r="E228" s="2457"/>
      <c r="F228" s="2457"/>
      <c r="G228" s="2457"/>
      <c r="I228" s="2456"/>
      <c r="J228" s="2456"/>
      <c r="K228" s="2456"/>
      <c r="L228" s="1015"/>
      <c r="N228" s="2461"/>
      <c r="O228" s="2461"/>
      <c r="P228" s="2461"/>
      <c r="Q228" s="2461"/>
      <c r="R228" s="2461"/>
      <c r="T228" s="2609"/>
      <c r="U228" s="2609"/>
      <c r="V228" s="2609"/>
      <c r="W228" s="2609"/>
      <c r="X228" s="2609"/>
      <c r="Y228" s="2609"/>
      <c r="Z228" s="851"/>
      <c r="AA228" s="851"/>
      <c r="AB228" s="2458">
        <f t="shared" si="0"/>
        <v>0</v>
      </c>
      <c r="AC228" s="2458"/>
      <c r="AD228" s="2458"/>
      <c r="AE228" s="2458"/>
      <c r="AF228" s="2458"/>
      <c r="AG228" s="2458"/>
      <c r="AH228" s="827"/>
      <c r="AI228" s="827"/>
      <c r="AJ228" s="827"/>
      <c r="AK228" s="610"/>
    </row>
    <row r="229" spans="1:37">
      <c r="A229" s="605"/>
      <c r="B229" s="2457" t="s">
        <v>1184</v>
      </c>
      <c r="C229" s="2457"/>
      <c r="D229" s="2457"/>
      <c r="E229" s="2457"/>
      <c r="F229" s="2457"/>
      <c r="G229" s="2457"/>
      <c r="I229" s="2456"/>
      <c r="J229" s="2456"/>
      <c r="K229" s="2456"/>
      <c r="L229" s="1015"/>
      <c r="N229" s="2461"/>
      <c r="O229" s="2461"/>
      <c r="P229" s="2461"/>
      <c r="Q229" s="2461"/>
      <c r="R229" s="2461"/>
      <c r="T229" s="2609"/>
      <c r="U229" s="2609"/>
      <c r="V229" s="2609"/>
      <c r="W229" s="2609"/>
      <c r="X229" s="2609"/>
      <c r="Y229" s="2609"/>
      <c r="Z229" s="851"/>
      <c r="AA229" s="851"/>
      <c r="AB229" s="2458">
        <f t="shared" si="0"/>
        <v>0</v>
      </c>
      <c r="AC229" s="2458"/>
      <c r="AD229" s="2458"/>
      <c r="AE229" s="2458"/>
      <c r="AF229" s="2458"/>
      <c r="AG229" s="2458"/>
      <c r="AH229" s="827"/>
      <c r="AI229" s="827"/>
      <c r="AJ229" s="827"/>
      <c r="AK229" s="610"/>
    </row>
    <row r="230" spans="1:37">
      <c r="A230" s="605"/>
      <c r="B230" s="2457" t="s">
        <v>1184</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1184</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1184</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1184</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8">
        <f>SUM(AB224:AB233)</f>
        <v>0</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c r="AC240" s="2610"/>
      <c r="AD240" s="2610"/>
      <c r="AE240" s="2610"/>
      <c r="AF240" s="2610"/>
      <c r="AG240" s="2610"/>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0</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0</v>
      </c>
      <c r="AC250" s="2458"/>
      <c r="AD250" s="2458"/>
      <c r="AE250" s="2458"/>
      <c r="AF250" s="2458"/>
      <c r="AG250" s="245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0</v>
      </c>
      <c r="AC252" s="2491"/>
      <c r="AD252" s="2491"/>
      <c r="AE252" s="2491"/>
      <c r="AF252" s="2491"/>
      <c r="AG252" s="249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0</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0</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21000000</v>
      </c>
      <c r="AH268" s="2477"/>
      <c r="AI268" s="2477"/>
      <c r="AJ268" s="2477"/>
      <c r="AK268" s="247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143907702</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0.28999999999999998</v>
      </c>
      <c r="AH270" s="2478"/>
      <c r="AI270" s="2478"/>
      <c r="AJ270" s="2478"/>
      <c r="AK270" s="247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79">
        <f>IFERROR(IF(AG270=0,0,IF((AG270*100)&gt;8,8,(AG270*100))),0)</f>
        <v>8</v>
      </c>
      <c r="AL273" s="2479"/>
      <c r="AM273" s="248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1" t="s">
        <v>545</v>
      </c>
      <c r="D278" s="2471"/>
      <c r="E278" s="547"/>
      <c r="F278" s="2628" t="s">
        <v>2024</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1363</v>
      </c>
      <c r="AH278" s="2472"/>
      <c r="AI278" s="2472"/>
      <c r="AJ278" s="2472"/>
      <c r="AK278" s="550"/>
      <c r="AL278" s="550"/>
      <c r="AM278" s="550"/>
      <c r="AO278" s="550"/>
    </row>
    <row r="279" spans="1:52" ht="13.7"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79">
        <f>IF($C$278="yes",10,0)</f>
        <v>10</v>
      </c>
      <c r="AL285" s="2479"/>
      <c r="AM285" s="248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1382</v>
      </c>
      <c r="B292" s="1628"/>
      <c r="C292" s="2467" t="s">
        <v>545</v>
      </c>
      <c r="D292" s="2471"/>
      <c r="E292" s="547"/>
      <c r="F292" s="2499" t="s">
        <v>1383</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2017</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3" t="s">
        <v>2025</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1384</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1385</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1386</v>
      </c>
      <c r="B302" s="1628"/>
      <c r="C302" s="2471" t="s">
        <v>591</v>
      </c>
      <c r="D302" s="247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1" t="s">
        <v>2019</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1389</v>
      </c>
      <c r="B310" s="1628"/>
      <c r="C310" s="2471" t="s">
        <v>591</v>
      </c>
      <c r="D310" s="247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3" t="s">
        <v>2026</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1184</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1184</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09" t="s">
        <v>1184</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09" t="s">
        <v>1184</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8" t="s">
        <v>1392</v>
      </c>
      <c r="B333" s="1628"/>
      <c r="C333" s="2471" t="s">
        <v>591</v>
      </c>
      <c r="D333" s="2471"/>
      <c r="E333" s="547"/>
      <c r="F333" s="2395" t="s">
        <v>2027</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4">
        <f>IF(NOT(OR(Application!M355="Yes",Application!M356="Yes")),0,AP295)</f>
        <v>10</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4" t="s">
        <v>1314</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1454</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6"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2092</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2207</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1455</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3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85"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0</v>
      </c>
      <c r="AS357" s="539" t="s">
        <v>1456</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0</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7</v>
      </c>
      <c r="AS359" s="539" t="s">
        <v>1457</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0</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581</v>
      </c>
      <c r="AP361" s="696">
        <f>IF(C407="Yes",5,0)</f>
        <v>0</v>
      </c>
      <c r="AS361" s="539" t="s">
        <v>1878</v>
      </c>
    </row>
    <row r="362" spans="1:46" s="550" customFormat="1" ht="12.75" customHeight="1">
      <c r="A362" s="603"/>
      <c r="B362" s="611"/>
      <c r="C362" s="2535" t="s">
        <v>2231</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763</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584</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3</v>
      </c>
    </row>
    <row r="366" spans="1:46" s="550" customFormat="1" ht="12.6"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10</v>
      </c>
      <c r="AQ366" s="2536">
        <f>IF(AP366&gt;0,AP366,0)</f>
        <v>10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3" t="s">
        <v>1458</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456</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461</v>
      </c>
      <c r="AP370" s="696">
        <f>IF(C449="Yes",5,0)</f>
        <v>0</v>
      </c>
    </row>
    <row r="371" spans="1:81" s="550" customFormat="1" ht="68.099999999999994"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646</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1">
        <f>Application!DU802-U374</f>
        <v>438</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6">
        <f>IF(AP375&gt;0,AP375,0)</f>
        <v>0</v>
      </c>
      <c r="AR375" s="2536"/>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7" t="s">
        <v>1460</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591</v>
      </c>
      <c r="D381" s="247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1462</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7" t="s">
        <v>1463</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591</v>
      </c>
      <c r="D389" s="247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1462</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7" t="s">
        <v>1465</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545</v>
      </c>
      <c r="D397" s="247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1467</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591</v>
      </c>
      <c r="D399" s="247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1462</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7" t="s">
        <v>1471</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591</v>
      </c>
      <c r="D407" s="247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1462</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591</v>
      </c>
      <c r="D409" s="247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1474</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591</v>
      </c>
      <c r="D412" s="2471"/>
      <c r="E412" s="715" t="s">
        <v>1475</v>
      </c>
      <c r="F412" s="2517" t="s">
        <v>1476</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1462</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7" t="s">
        <v>1478</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591</v>
      </c>
      <c r="D421" s="247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1462</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545</v>
      </c>
      <c r="D423" s="247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1474</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7" t="s">
        <v>1482</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6"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591</v>
      </c>
      <c r="D430" s="247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1462</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517" t="s">
        <v>1485</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591</v>
      </c>
      <c r="D442" s="247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1462</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7" t="s">
        <v>1488</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591</v>
      </c>
      <c r="D449" s="247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1462</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591</v>
      </c>
      <c r="D453" s="2521"/>
      <c r="E453" s="715" t="s">
        <v>1497</v>
      </c>
      <c r="F453" s="2517" t="s">
        <v>1498</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1462</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850000000000001"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591</v>
      </c>
      <c r="D457" s="2471"/>
      <c r="E457" s="715" t="s">
        <v>1503</v>
      </c>
      <c r="F457" s="2517" t="s">
        <v>1504</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1462</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7" t="s">
        <v>1507</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591</v>
      </c>
      <c r="D466" s="247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1462</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5" t="s">
        <v>1511</v>
      </c>
      <c r="AF472" s="2515"/>
      <c r="AG472" s="2515"/>
      <c r="AH472" s="2515"/>
      <c r="AI472" s="2515"/>
      <c r="AJ472" s="2515"/>
      <c r="AK472" s="2515"/>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0" t="s">
        <v>591</v>
      </c>
      <c r="D478" s="2541"/>
      <c r="E478" s="761" t="s">
        <v>507</v>
      </c>
      <c r="F478" s="2542" t="s">
        <v>1517</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6" t="s">
        <v>591</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7" t="s">
        <v>545</v>
      </c>
      <c r="D482" s="2618"/>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5" t="s">
        <v>591</v>
      </c>
      <c r="W485" s="2615"/>
      <c r="X485" s="261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5" t="s">
        <v>591</v>
      </c>
      <c r="W487" s="2615"/>
      <c r="X487" s="261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5" t="s">
        <v>591</v>
      </c>
      <c r="W492" s="2615"/>
      <c r="X492" s="261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5"/>
      <c r="E495" s="260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5" t="s">
        <v>591</v>
      </c>
      <c r="W496" s="2615"/>
      <c r="X496" s="261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5" t="s">
        <v>591</v>
      </c>
      <c r="W498" s="2615"/>
      <c r="X498" s="261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591</v>
      </c>
      <c r="D501" s="2541"/>
      <c r="E501" s="761" t="s">
        <v>507</v>
      </c>
      <c r="F501" s="2542" t="s">
        <v>1517</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591</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591</v>
      </c>
      <c r="D505" s="2541"/>
      <c r="E505" s="761" t="s">
        <v>757</v>
      </c>
      <c r="F505" s="2612" t="s">
        <v>1539</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591</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591</v>
      </c>
      <c r="D510" s="254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591</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591</v>
      </c>
      <c r="D515" s="2545"/>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591</v>
      </c>
      <c r="D519" s="2545"/>
      <c r="F519" s="795" t="s">
        <v>1547</v>
      </c>
      <c r="G519" s="2518" t="s">
        <v>1548</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591</v>
      </c>
      <c r="D523" s="2547"/>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591</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1560</v>
      </c>
      <c r="AF538" s="2404"/>
      <c r="AG538" s="2404"/>
      <c r="AH538" s="2404"/>
      <c r="AI538" s="2404"/>
      <c r="AJ538" s="2404"/>
      <c r="AK538" s="240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545</v>
      </c>
      <c r="D541" s="2471"/>
      <c r="E541" s="551"/>
      <c r="F541" s="2598" t="s">
        <v>1561</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545</v>
      </c>
      <c r="D544" s="247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1563</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1564</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106370352</v>
      </c>
      <c r="AQ550" s="2620"/>
      <c r="AR550" s="262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128146020</v>
      </c>
      <c r="AG551" s="2477"/>
      <c r="AH551" s="2477"/>
      <c r="AI551" s="2477"/>
      <c r="AJ551" s="247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242494807</v>
      </c>
      <c r="AG552" s="2625"/>
      <c r="AH552" s="2625"/>
      <c r="AI552" s="2625"/>
      <c r="AJ552" s="2625"/>
      <c r="AK552" s="595"/>
      <c r="AL552" s="595"/>
      <c r="AM552" s="595"/>
      <c r="AN552" s="597"/>
      <c r="AP552" s="2620">
        <f>Application!AJ1045</f>
        <v>5318517.6000000006</v>
      </c>
      <c r="AQ552" s="2620"/>
      <c r="AR552" s="26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0.94</v>
      </c>
      <c r="AG553" s="2626"/>
      <c r="AH553" s="2626"/>
      <c r="AI553" s="2626"/>
      <c r="AJ553" s="2626"/>
      <c r="AK553" s="595"/>
      <c r="AL553" s="595"/>
      <c r="AM553" s="595"/>
      <c r="AN553" s="597"/>
      <c r="AP553" s="2623">
        <f>Application!AJ1049</f>
        <v>53185176</v>
      </c>
      <c r="AQ553" s="2623"/>
      <c r="AR553" s="262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0.55000000000000004</v>
      </c>
      <c r="AQ554" s="2619"/>
      <c r="AR554" s="2619"/>
      <c r="AS554" s="550" t="s">
        <v>2171</v>
      </c>
    </row>
    <row r="555" spans="1:49" s="550" customFormat="1" ht="12.75" customHeight="1">
      <c r="A555" s="624"/>
      <c r="B555" s="2556" t="s">
        <v>2031</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183991113.40000001</v>
      </c>
      <c r="AQ556" s="2529"/>
      <c r="AR556" s="2529"/>
      <c r="AS556" s="550" t="s">
        <v>2173</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242494807</v>
      </c>
      <c r="AQ557" s="2620"/>
      <c r="AR557" s="26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5">
        <f>IFERROR(IF(AND(C541="N/A",C544="N/A"),0,IF(AF553=0,0,IF((AF553*100)&gt;12,12,(AF553*100)))),0)</f>
        <v>12</v>
      </c>
      <c r="AL559" s="2565"/>
      <c r="AM559" s="2566"/>
      <c r="AN559" s="597"/>
      <c r="AP559" s="2637">
        <f>AP556+(AP550*AP554)</f>
        <v>242494807</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1314</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2022</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1338</v>
      </c>
      <c r="AG578" s="2439"/>
      <c r="AH578" s="2439"/>
      <c r="AI578" s="2439"/>
      <c r="AJ578" s="2439"/>
      <c r="AK578" s="2439"/>
      <c r="AL578" s="243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1396</v>
      </c>
      <c r="AG585" s="2439"/>
      <c r="AH585" s="2439"/>
      <c r="AI585" s="2439"/>
      <c r="AJ585" s="2439"/>
      <c r="AK585" s="2439"/>
      <c r="AL585" s="243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1378</v>
      </c>
      <c r="AG591" s="2439"/>
      <c r="AH591" s="2439"/>
      <c r="AI591" s="2439"/>
      <c r="AJ591" s="2439"/>
      <c r="AK591" s="2439"/>
      <c r="AL591" s="243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1399</v>
      </c>
      <c r="AG597" s="2439"/>
      <c r="AH597" s="2439"/>
      <c r="AI597" s="2439"/>
      <c r="AJ597" s="2439"/>
      <c r="AK597" s="2439"/>
      <c r="AL597" s="243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5" t="s">
        <v>1184</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1352</v>
      </c>
      <c r="AG603" s="2439"/>
      <c r="AH603" s="2439"/>
      <c r="AI603" s="2439"/>
      <c r="AJ603" s="2439"/>
      <c r="AK603" s="2439"/>
      <c r="AL603" s="243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3" t="s">
        <v>687</v>
      </c>
      <c r="I606" s="2523"/>
      <c r="J606" s="936"/>
      <c r="K606" s="936"/>
      <c r="L606" s="936"/>
      <c r="N606" s="22"/>
      <c r="O606" s="22"/>
      <c r="P606" s="22"/>
      <c r="Q606" s="1151" t="s">
        <v>2176</v>
      </c>
      <c r="R606" s="2526"/>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4" t="s">
        <v>591</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7" t="s">
        <v>591</v>
      </c>
      <c r="C616" s="2467"/>
      <c r="D616" s="642"/>
      <c r="E616" s="2494" t="s">
        <v>1403</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4">
        <f>VLOOKUP($H$606,$AO$586:$AP$591,2,FALSE)+IF(R606=AO594,0,VLOOKUP($I$614,$AO$613:$AP$615,2,FALSE))</f>
        <v>7</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2" t="s">
        <v>1694</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1352</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7" t="s">
        <v>591</v>
      </c>
      <c r="Y634" s="2467"/>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1408</v>
      </c>
      <c r="AG636" s="2439"/>
      <c r="AH636" s="2439"/>
      <c r="AI636" s="2439"/>
      <c r="AJ636" s="2439"/>
      <c r="AK636" s="2439"/>
      <c r="AL636" s="243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3" t="s">
        <v>687</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4">
        <f>VLOOKUP($H$638,$AO$605:$AP$607,2,FALSE)</f>
        <v>3</v>
      </c>
      <c r="AK640" s="247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4" t="s">
        <v>2097</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1352</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1408</v>
      </c>
      <c r="AG647" s="2439"/>
      <c r="AH647" s="2439"/>
      <c r="AI647" s="2439"/>
      <c r="AJ647" s="2439"/>
      <c r="AK647" s="2439"/>
      <c r="AL647" s="243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3" t="s">
        <v>687</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4">
        <f>VLOOKUP(H650,AT605:AU607,2,FALSE)</f>
        <v>3</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4" t="s">
        <v>1418</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1378</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4" t="s">
        <v>1419</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1399</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4" t="s">
        <v>1420</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1352</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591</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4" t="s">
        <v>1421</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1399</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4" t="s">
        <v>1422</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1352</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4" t="s">
        <v>1423</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1408</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4" t="s">
        <v>1424</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1425</v>
      </c>
      <c r="AG681" s="2439"/>
      <c r="AH681" s="2439"/>
      <c r="AI681" s="2439"/>
      <c r="AJ681" s="2439"/>
      <c r="AK681" s="2439"/>
      <c r="AL681" s="2439"/>
      <c r="AM681" s="596"/>
      <c r="AN681" s="597"/>
      <c r="AO681" s="611" t="s">
        <v>687</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3" t="s">
        <v>687</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4">
        <f>VLOOKUP($H$685,$AO$633:$AP$640,2,FALSE)</f>
        <v>5</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197</v>
      </c>
    </row>
    <row r="691" spans="1:51" s="550" customFormat="1" ht="12.75" customHeight="1">
      <c r="A691" s="679"/>
      <c r="B691" s="536"/>
      <c r="C691" s="948"/>
      <c r="D691" s="663" t="s">
        <v>687</v>
      </c>
      <c r="E691" s="2530" t="s">
        <v>2189</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1352</v>
      </c>
      <c r="AG691" s="2439"/>
      <c r="AH691" s="2439"/>
      <c r="AI691" s="2439"/>
      <c r="AJ691" s="2439"/>
      <c r="AK691" s="2439"/>
      <c r="AL691" s="2439"/>
      <c r="AN691" s="597"/>
      <c r="AW691" s="22" t="s">
        <v>2184</v>
      </c>
      <c r="AX691" s="550">
        <f>Application!DE753</f>
        <v>92</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4" t="s">
        <v>2133</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1352</v>
      </c>
      <c r="AG694" s="2439"/>
      <c r="AH694" s="2439"/>
      <c r="AI694" s="2439"/>
      <c r="AJ694" s="2439"/>
      <c r="AK694" s="2439"/>
      <c r="AL694" s="2439"/>
      <c r="AN694" s="597"/>
      <c r="AW694" s="22" t="s">
        <v>2187</v>
      </c>
      <c r="AX694" s="550">
        <f>AX691+AX692+AX693</f>
        <v>92</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1</v>
      </c>
      <c r="AP695" s="2529"/>
      <c r="AW695" s="22" t="s">
        <v>2188</v>
      </c>
      <c r="AX695" s="550">
        <f>IFERROR(AX694/AX690,0)</f>
        <v>0.46700507614213199</v>
      </c>
      <c r="AY695" s="550">
        <f>IFERROR(AX694/(AX690-AX689),0)</f>
        <v>0.46700507614213199</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4" t="s">
        <v>2134</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1408</v>
      </c>
      <c r="AG699" s="2439"/>
      <c r="AH699" s="2439"/>
      <c r="AI699" s="2439"/>
      <c r="AJ699" s="2439"/>
      <c r="AK699" s="2439"/>
      <c r="AL699" s="2439"/>
      <c r="AN699" s="597"/>
      <c r="AO699" s="611" t="s">
        <v>509</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4" t="s">
        <v>1693</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3" t="s">
        <v>687</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4">
        <f>VLOOKUP($H$709,$AO$703:$AP$706,2,FALSE)</f>
        <v>3</v>
      </c>
      <c r="AK711" s="247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1352</v>
      </c>
      <c r="AG715" s="2439"/>
      <c r="AH715" s="2439"/>
      <c r="AI715" s="2439"/>
      <c r="AJ715" s="2439"/>
      <c r="AK715" s="2439"/>
      <c r="AL715" s="2439"/>
      <c r="AM715" s="550"/>
      <c r="AN715" s="684"/>
      <c r="AP715" s="570" t="s">
        <v>1432</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1408</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1400</v>
      </c>
      <c r="E723" s="936"/>
      <c r="F723" s="936"/>
      <c r="G723" s="936"/>
      <c r="H723" s="2523" t="s">
        <v>591</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4">
        <f>VLOOKUP($H$723,$AP$720:$AQ$722,2,FALSE)</f>
        <v>0</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4" t="s">
        <v>1696</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1352</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4" t="s">
        <v>1439</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1408</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3" t="s">
        <v>591</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4" t="s">
        <v>1442</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1352</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4" t="s">
        <v>1443</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1408</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3" t="s">
        <v>687</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4">
        <f>VLOOKUP($H$751,$AO$680:$AP$682,2,FALSE)</f>
        <v>3</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4" t="s">
        <v>1445</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1408</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4" t="s">
        <v>1446</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1425</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3" t="s">
        <v>687</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4">
        <f>VLOOKUP($H$763,$AO$697:$AP$699,2,FALSE)</f>
        <v>2</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4" t="s">
        <v>1692</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1408</v>
      </c>
      <c r="AG769" s="2439"/>
      <c r="AH769" s="2439"/>
      <c r="AI769" s="2439"/>
      <c r="AJ769" s="2439"/>
      <c r="AK769" s="2439"/>
      <c r="AL769" s="2439"/>
      <c r="AM769" s="613"/>
      <c r="AN769" s="684"/>
      <c r="AO769" s="550" t="s">
        <v>591</v>
      </c>
      <c r="AP769" s="673">
        <v>0</v>
      </c>
    </row>
    <row r="770" spans="1:81" s="570" customFormat="1" ht="13.7"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1352</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3" t="s">
        <v>591</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4" t="s">
        <v>2032</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1352</v>
      </c>
      <c r="AG785" s="2439"/>
      <c r="AH785" s="2439"/>
      <c r="AI785" s="2439"/>
      <c r="AJ785" s="2439"/>
      <c r="AK785" s="2439"/>
      <c r="AL785" s="2439"/>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3" t="s">
        <v>545</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4">
        <f>VLOOKUP($H$790,$AO$784:$AP$785,2,FALSE)</f>
        <v>3</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1568</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1569</v>
      </c>
      <c r="U802" s="2571"/>
      <c r="V802" s="2571"/>
      <c r="W802" s="2571"/>
      <c r="X802" s="2571"/>
      <c r="Y802" s="2572"/>
      <c r="Z802" s="2570" t="s">
        <v>1570</v>
      </c>
      <c r="AA802" s="2571"/>
      <c r="AB802" s="2571"/>
      <c r="AC802" s="2571"/>
      <c r="AD802" s="2571"/>
      <c r="AE802" s="2572"/>
      <c r="AF802" s="2570" t="s">
        <v>1571</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757</v>
      </c>
      <c r="B804" s="2550" t="s">
        <v>1304</v>
      </c>
      <c r="C804" s="2550"/>
      <c r="D804" s="2550"/>
      <c r="E804" s="2550"/>
      <c r="F804" s="2550"/>
      <c r="G804" s="2550"/>
      <c r="H804" s="2550"/>
      <c r="I804" s="2550"/>
      <c r="J804" s="2550"/>
      <c r="K804" s="2550"/>
      <c r="L804" s="2550"/>
      <c r="M804" s="2550"/>
      <c r="N804" s="2550"/>
      <c r="O804" s="2550"/>
      <c r="P804" s="2550"/>
      <c r="Q804" s="2550"/>
      <c r="R804" s="2550"/>
      <c r="S804" s="2551"/>
      <c r="T804" s="2552">
        <f>AK62</f>
        <v>0</v>
      </c>
      <c r="U804" s="2553"/>
      <c r="V804" s="2553"/>
      <c r="W804" s="2553"/>
      <c r="X804" s="2553"/>
      <c r="Y804" s="2554"/>
      <c r="Z804" s="2555">
        <v>20</v>
      </c>
      <c r="AA804" s="2553"/>
      <c r="AB804" s="2553"/>
      <c r="AC804" s="2553"/>
      <c r="AD804" s="2553"/>
      <c r="AE804" s="2554"/>
      <c r="AF804" s="2536">
        <f>IF(T804&gt;Z804,Z804,T804)</f>
        <v>0</v>
      </c>
      <c r="AG804" s="2536"/>
      <c r="AH804" s="2536"/>
      <c r="AI804" s="2536"/>
      <c r="AJ804" s="2536"/>
      <c r="AK804" s="2536"/>
      <c r="AL804" s="818"/>
      <c r="AM804" s="596"/>
      <c r="AO804" s="816"/>
      <c r="AP804" s="816"/>
      <c r="AQ804" s="816"/>
    </row>
    <row r="805" spans="1:81">
      <c r="A805" s="819" t="s">
        <v>1541</v>
      </c>
      <c r="B805" s="2550" t="s">
        <v>1313</v>
      </c>
      <c r="C805" s="2550"/>
      <c r="D805" s="2550"/>
      <c r="E805" s="2550"/>
      <c r="F805" s="2550"/>
      <c r="G805" s="2550"/>
      <c r="H805" s="2550"/>
      <c r="I805" s="2550"/>
      <c r="J805" s="2550"/>
      <c r="K805" s="2550"/>
      <c r="L805" s="2550"/>
      <c r="M805" s="2550"/>
      <c r="N805" s="2550"/>
      <c r="O805" s="2550"/>
      <c r="P805" s="2550"/>
      <c r="Q805" s="2550"/>
      <c r="R805" s="2550"/>
      <c r="S805" s="2551"/>
      <c r="T805" s="2552">
        <f>AK84</f>
        <v>10</v>
      </c>
      <c r="U805" s="2553"/>
      <c r="V805" s="2553"/>
      <c r="W805" s="2553"/>
      <c r="X805" s="2553"/>
      <c r="Y805" s="2554"/>
      <c r="Z805" s="2555">
        <v>10</v>
      </c>
      <c r="AA805" s="2553"/>
      <c r="AB805" s="2553"/>
      <c r="AC805" s="2553"/>
      <c r="AD805" s="2553"/>
      <c r="AE805" s="2554"/>
      <c r="AF805" s="2536">
        <f>IF(T805&gt;Z805,Z805,T805)</f>
        <v>10</v>
      </c>
      <c r="AG805" s="2536"/>
      <c r="AH805" s="2536"/>
      <c r="AI805" s="2536"/>
      <c r="AJ805" s="2536"/>
      <c r="AK805" s="2536"/>
      <c r="AL805" s="818"/>
      <c r="AM805" s="596"/>
      <c r="AO805" s="816"/>
      <c r="AP805" s="816"/>
      <c r="AQ805" s="816"/>
    </row>
    <row r="806" spans="1:81">
      <c r="A806" s="819" t="s">
        <v>1550</v>
      </c>
      <c r="B806" s="2550" t="s">
        <v>1323</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1572</v>
      </c>
      <c r="B807" s="2550" t="s">
        <v>1333</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1573</v>
      </c>
      <c r="B808" s="2550" t="s">
        <v>1574</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1575</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1576</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1361</v>
      </c>
      <c r="B811" s="2550" t="s">
        <v>1577</v>
      </c>
      <c r="C811" s="2550"/>
      <c r="D811" s="2550"/>
      <c r="E811" s="2550"/>
      <c r="F811" s="2550"/>
      <c r="G811" s="2550"/>
      <c r="H811" s="2550"/>
      <c r="I811" s="2550"/>
      <c r="J811" s="2550"/>
      <c r="K811" s="2550"/>
      <c r="L811" s="2550"/>
      <c r="M811" s="2550"/>
      <c r="N811" s="2550"/>
      <c r="O811" s="2550"/>
      <c r="P811" s="2550"/>
      <c r="Q811" s="2550"/>
      <c r="R811" s="2550"/>
      <c r="S811" s="2551"/>
      <c r="T811" s="2576">
        <f>AK191</f>
        <v>10</v>
      </c>
      <c r="U811" s="2576"/>
      <c r="V811" s="2576"/>
      <c r="W811" s="2576"/>
      <c r="X811" s="2576"/>
      <c r="Y811" s="2576"/>
      <c r="Z811" s="2536">
        <v>10</v>
      </c>
      <c r="AA811" s="2536"/>
      <c r="AB811" s="2536"/>
      <c r="AC811" s="2536"/>
      <c r="AD811" s="2536"/>
      <c r="AE811" s="2536"/>
      <c r="AF811" s="2536">
        <f>IF(T811&gt;Z811,Z811,T811)</f>
        <v>10</v>
      </c>
      <c r="AG811" s="2536"/>
      <c r="AH811" s="2536"/>
      <c r="AI811" s="2536"/>
      <c r="AJ811" s="2536"/>
      <c r="AK811" s="2536"/>
      <c r="AL811" s="818"/>
      <c r="AM811" s="596"/>
    </row>
    <row r="812" spans="1:81">
      <c r="A812" s="819" t="s">
        <v>1370</v>
      </c>
      <c r="B812" s="2550" t="s">
        <v>1371</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589</v>
      </c>
      <c r="B813" s="2550" t="s">
        <v>1578</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0" t="s">
        <v>1579</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0" t="s">
        <v>1381</v>
      </c>
      <c r="C815" s="2550"/>
      <c r="D815" s="2550"/>
      <c r="E815" s="2550"/>
      <c r="F815" s="2550"/>
      <c r="G815" s="2550"/>
      <c r="H815" s="2550"/>
      <c r="I815" s="2550"/>
      <c r="J815" s="2550"/>
      <c r="K815" s="2550"/>
      <c r="L815" s="2550"/>
      <c r="M815" s="2550"/>
      <c r="N815" s="2550"/>
      <c r="O815" s="2550"/>
      <c r="P815" s="2550"/>
      <c r="Q815" s="2550"/>
      <c r="R815" s="2550"/>
      <c r="S815" s="2551"/>
      <c r="T815" s="2576">
        <f>AK338</f>
        <v>10</v>
      </c>
      <c r="U815" s="2576"/>
      <c r="V815" s="2576"/>
      <c r="W815" s="2576"/>
      <c r="X815" s="2576"/>
      <c r="Y815" s="2576"/>
      <c r="Z815" s="2582">
        <v>10</v>
      </c>
      <c r="AA815" s="2583"/>
      <c r="AB815" s="2583"/>
      <c r="AC815" s="2583"/>
      <c r="AD815" s="2583"/>
      <c r="AE815" s="2584"/>
      <c r="AF815" s="2582">
        <f>IF(T815&gt;Z815,Z815,T815)</f>
        <v>10</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69">
        <f>AK338</f>
        <v>10</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0" t="s">
        <v>845</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0" t="s">
        <v>1559</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50" t="s">
        <v>1581</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1582</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1583</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5" t="s">
        <v>1584</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120</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U94" sqref="U9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5" t="s">
        <v>1585</v>
      </c>
      <c r="B1" s="2655"/>
      <c r="C1" s="2655"/>
      <c r="D1" s="2655"/>
      <c r="E1" s="2655"/>
      <c r="F1" s="2655"/>
      <c r="G1" s="2655"/>
      <c r="H1" s="2655"/>
      <c r="I1" s="2655"/>
      <c r="J1" s="2655"/>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69553056</v>
      </c>
      <c r="I3" s="1105"/>
    </row>
    <row r="4" spans="1:13" s="1051" customFormat="1" ht="20.100000000000001" customHeight="1">
      <c r="B4" s="1094"/>
      <c r="D4" s="1108"/>
      <c r="F4" s="1092" t="s">
        <v>1991</v>
      </c>
      <c r="G4" s="1091" t="s">
        <v>1990</v>
      </c>
      <c r="H4" s="1093">
        <f>I18</f>
        <v>27172222.222222224</v>
      </c>
      <c r="I4" s="1095"/>
      <c r="K4" s="1055"/>
    </row>
    <row r="5" spans="1:13" s="1051" customFormat="1" ht="20.100000000000001" customHeight="1" thickBot="1">
      <c r="B5" s="1096"/>
      <c r="C5" s="1097"/>
      <c r="D5" s="1109"/>
      <c r="E5" s="1098"/>
      <c r="F5" s="1109" t="s">
        <v>1941</v>
      </c>
      <c r="G5" s="1110"/>
      <c r="H5" s="1106">
        <f>IFERROR(H3/H4,0)</f>
        <v>2.5597117317521976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8" t="s">
        <v>1939</v>
      </c>
      <c r="C8" s="2659"/>
      <c r="D8" s="2659"/>
      <c r="E8" s="2660"/>
      <c r="G8" s="2661" t="s">
        <v>1940</v>
      </c>
      <c r="H8" s="2662"/>
      <c r="I8" s="2663"/>
      <c r="K8" s="1057"/>
    </row>
    <row r="9" spans="1:13" ht="15" customHeight="1">
      <c r="A9" s="1046"/>
      <c r="B9" s="2656" t="s">
        <v>1973</v>
      </c>
      <c r="C9" s="2656"/>
      <c r="D9" s="2656"/>
      <c r="E9" s="1059">
        <f>G33</f>
        <v>12450000</v>
      </c>
      <c r="G9" s="2664" t="s">
        <v>1971</v>
      </c>
      <c r="H9" s="2664"/>
      <c r="I9" s="1060">
        <f>SUMIF(Application!M554:M565,"Loan, Tax-Exempt",Application!AM554:AM565)</f>
        <v>34000000</v>
      </c>
      <c r="K9" s="1061"/>
      <c r="M9" s="1062"/>
    </row>
    <row r="10" spans="1:13" ht="15" customHeight="1" thickBot="1">
      <c r="A10" s="1046"/>
      <c r="B10" s="2656" t="s">
        <v>1974</v>
      </c>
      <c r="C10" s="2656"/>
      <c r="D10" s="2656"/>
      <c r="E10" s="1060">
        <f>G47</f>
        <v>31840056.000000004</v>
      </c>
      <c r="G10" s="2668" t="s">
        <v>1942</v>
      </c>
      <c r="H10" s="2668"/>
      <c r="I10" s="1140">
        <f>'Basis &amp; Credits'!AB78</f>
        <v>0</v>
      </c>
      <c r="M10" s="1062"/>
    </row>
    <row r="11" spans="1:13" ht="15" customHeight="1">
      <c r="A11" s="1046"/>
      <c r="B11" s="2672" t="s">
        <v>2262</v>
      </c>
      <c r="C11" s="2673"/>
      <c r="D11" s="2674"/>
      <c r="E11" s="1060">
        <f>SUM(E12,E13)</f>
        <v>1110000</v>
      </c>
      <c r="G11" s="2671" t="s">
        <v>1982</v>
      </c>
      <c r="H11" s="2671"/>
      <c r="I11" s="1139">
        <f>I9+I10</f>
        <v>34000000</v>
      </c>
      <c r="M11" s="1062"/>
    </row>
    <row r="12" spans="1:13" ht="15" customHeight="1">
      <c r="A12" s="1063"/>
      <c r="B12" s="2657" t="s">
        <v>2264</v>
      </c>
      <c r="C12" s="2657"/>
      <c r="D12" s="2657"/>
      <c r="E12" s="1165">
        <f>G56</f>
        <v>110000</v>
      </c>
      <c r="M12" s="1062"/>
    </row>
    <row r="13" spans="1:13" ht="15" customHeight="1">
      <c r="A13" s="1049"/>
      <c r="B13" s="2657" t="s">
        <v>2265</v>
      </c>
      <c r="C13" s="2657"/>
      <c r="D13" s="2657"/>
      <c r="E13" s="1165">
        <f>G65</f>
        <v>1000000</v>
      </c>
      <c r="G13" s="2661" t="s">
        <v>2005</v>
      </c>
      <c r="H13" s="2662"/>
      <c r="I13" s="2663"/>
      <c r="M13" s="1062"/>
    </row>
    <row r="14" spans="1:13" ht="15" customHeight="1">
      <c r="A14" s="1049"/>
      <c r="B14" s="2672" t="s">
        <v>2263</v>
      </c>
      <c r="C14" s="2673"/>
      <c r="D14" s="2674"/>
      <c r="E14" s="1167">
        <f>MAX(E15,E16)+E17</f>
        <v>24153000</v>
      </c>
      <c r="G14" s="2664" t="s">
        <v>139</v>
      </c>
      <c r="H14" s="2664"/>
      <c r="I14" s="1064">
        <f>15%*(AND(G120="Yes",G122&lt;&gt;""))</f>
        <v>0.15</v>
      </c>
      <c r="M14" s="1062"/>
    </row>
    <row r="15" spans="1:13" ht="15" customHeight="1">
      <c r="A15" s="1049"/>
      <c r="B15" s="2675" t="s">
        <v>2269</v>
      </c>
      <c r="C15" s="2676"/>
      <c r="D15" s="2677"/>
      <c r="E15" s="1165">
        <f>G80</f>
        <v>4980000</v>
      </c>
      <c r="G15" s="1137" t="s">
        <v>1983</v>
      </c>
      <c r="H15" s="1137"/>
      <c r="I15" s="1064">
        <f>IF(Application!AJ1032&gt;0,10%,IF(Application!AJ1036&gt;0,5%,0))</f>
        <v>0.05</v>
      </c>
      <c r="M15" s="1062"/>
    </row>
    <row r="16" spans="1:13" ht="15" customHeight="1">
      <c r="A16" s="1049"/>
      <c r="B16" s="2675" t="s">
        <v>2268</v>
      </c>
      <c r="C16" s="2676"/>
      <c r="D16" s="2677"/>
      <c r="E16" s="1165">
        <f>G90</f>
        <v>0</v>
      </c>
      <c r="G16" s="2664" t="s">
        <v>1984</v>
      </c>
      <c r="H16" s="2664"/>
      <c r="I16" s="1064">
        <f>G132</f>
        <v>8.1699346405228761E-4</v>
      </c>
    </row>
    <row r="17" spans="1:21" ht="15" customHeight="1" thickBot="1">
      <c r="A17" s="1049"/>
      <c r="B17" s="2675" t="s">
        <v>2267</v>
      </c>
      <c r="C17" s="2676"/>
      <c r="D17" s="2677"/>
      <c r="E17" s="1165">
        <f>G115</f>
        <v>19173000</v>
      </c>
      <c r="G17" s="2664" t="s">
        <v>2277</v>
      </c>
      <c r="H17" s="2664"/>
      <c r="I17" s="1064">
        <f>IF(AND(G139="Yes",OR(G136,G137)),IF(G143&gt;15%,15%,G143),0)</f>
        <v>0</v>
      </c>
    </row>
    <row r="18" spans="1:21" ht="15" customHeight="1">
      <c r="A18" s="1046"/>
      <c r="B18" s="2667" t="s">
        <v>1938</v>
      </c>
      <c r="C18" s="2667"/>
      <c r="D18" s="2667"/>
      <c r="E18" s="1111">
        <f>SUM(E9:E11,E14)</f>
        <v>69553056</v>
      </c>
      <c r="G18" s="1138" t="s">
        <v>1972</v>
      </c>
      <c r="H18" s="1138"/>
      <c r="I18" s="1112">
        <f>I11-((I11*I14)+(I11*I15)+(I11*I16)+(I11*I17))</f>
        <v>27172222.222222224</v>
      </c>
      <c r="M18" s="1065">
        <f>SUM(Cdlac[Quantity])</f>
        <v>197</v>
      </c>
      <c r="O18" s="1084" t="s">
        <v>582</v>
      </c>
      <c r="P18" s="1044">
        <f>MATCH(Application!T189,Application!CB160:CB217,0)</f>
        <v>37</v>
      </c>
      <c r="T18" s="1065">
        <f>SUM(Cdlac[Population])</f>
        <v>11</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5</v>
      </c>
      <c r="N20" s="1071">
        <f>Application!AC718</f>
        <v>0.3</v>
      </c>
      <c r="O20" s="1071">
        <f>IF(Cdlac[[#This Row],[Quantity]]&gt;0,IF(Cdlac[[#This Row],[Federal]],30%,IF(AND(OR(NOT($G$38),$G$38=""),$G$43),40%,Cdlac[[#This Row],[iAMI]])),"")</f>
        <v>0.3</v>
      </c>
      <c r="P20" s="1065" cm="1">
        <f t="array" ref="P20">IF(Cdlac[[#This Row],[Quantity]]&gt;0,INDEX(TcacRents,$P$18,Cdlac[[#This Row],[Bedrooms]]+1)*Cdlac[[#This Row],[AMI]],"")</f>
        <v>930</v>
      </c>
      <c r="Q20" s="1164"/>
      <c r="R20" s="1065" cm="1">
        <f t="array" ref="R20">IF(Cdlac[[#This Row],[Quantity]]&gt;0,INDEX(HudFmrs,$P$18,Cdlac[[#This Row],[Bedrooms]]+1),"")</f>
        <v>2328</v>
      </c>
      <c r="S20" s="1065">
        <f>IF(Cdlac[[#This Row],[Quantity]]&gt;0,MAX(0,Cdlac[[#This Row],[Fair Market Rent]]-IF(AND($G$37,$G$38,$G$38&lt;&gt;"",NOT(Cdlac[[#This Row],[Federal]]),Cdlac[[#This Row],[Preservation Rent]]&lt;&gt;""),Cdlac[[#This Row],[Preservation Rent]],Cdlac[[#This Row],[Restricted Rent]])),"")</f>
        <v>1398</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11</v>
      </c>
      <c r="N21" s="1071">
        <f>Application!AC719</f>
        <v>0.4</v>
      </c>
      <c r="O21" s="1071">
        <f>IF(Cdlac[[#This Row],[Quantity]]&gt;0,IF(Cdlac[[#This Row],[Federal]],30%,IF(AND(OR(NOT($G$38),$G$38=""),$G$43),40%,Cdlac[[#This Row],[iAMI]])),"")</f>
        <v>0.3</v>
      </c>
      <c r="P21" s="1065" cm="1">
        <f t="array" ref="P21">IF(Cdlac[[#This Row],[Quantity]]&gt;0,INDEX(TcacRents,$P$18,Cdlac[[#This Row],[Bedrooms]]+1)*Cdlac[[#This Row],[AMI]],"")</f>
        <v>930</v>
      </c>
      <c r="Q21" s="1164"/>
      <c r="R21" s="1065" cm="1">
        <f t="array" ref="R21">IF(Cdlac[[#This Row],[Quantity]]&gt;0,INDEX(HudFmrs,$P$18,Cdlac[[#This Row],[Bedrooms]]+1),"")</f>
        <v>2328</v>
      </c>
      <c r="S21" s="1065">
        <f>IF(Cdlac[[#This Row],[Quantity]]&gt;0,MAX(0,Cdlac[[#This Row],[Fair Market Rent]]-IF(AND($G$37,$G$38,$G$38&lt;&gt;"",NOT(Cdlac[[#This Row],[Federal]]),Cdlac[[#This Row],[Preservation Rent]]&lt;&gt;""),Cdlac[[#This Row],[Preservation Rent]],Cdlac[[#This Row],[Restricted Rent]])),"")</f>
        <v>1398</v>
      </c>
      <c r="T21" s="1044">
        <f>IF(Cdlac[[#This Row],[Quantity]]&gt;0,AND(Application!AK719&lt;&gt;"N/A",Application!AK719&lt;&gt;"")*Cdlac[[#This Row],[Quantity]],"")</f>
        <v>11</v>
      </c>
      <c r="U21" s="1044" t="b">
        <f>AND('Subsidy Contract Calculation'!F5&gt;0,OR('Subsidy Contract Calculation'!C5="Federal",'Subsidy Contract Calculation'!C5="Local - Approved by ED"),Cdlac[[#This Row],[Quantity]]&gt;0)</f>
        <v>1</v>
      </c>
    </row>
    <row r="22" spans="1:21" ht="15" customHeight="1">
      <c r="A22" s="1049"/>
      <c r="C22" s="2665" t="s">
        <v>1986</v>
      </c>
      <c r="D22" s="2665" t="s">
        <v>1987</v>
      </c>
      <c r="E22" s="2665" t="s">
        <v>1988</v>
      </c>
      <c r="F22" s="2665" t="s">
        <v>2608</v>
      </c>
      <c r="G22" s="2665" t="s">
        <v>1985</v>
      </c>
      <c r="H22" s="1070"/>
      <c r="I22" s="1069"/>
      <c r="L22" s="1044">
        <f>IFERROR(MIN(4,MATCH(Application!B720,UnitSizes,0)-1),"")</f>
        <v>1</v>
      </c>
      <c r="M22" s="1065">
        <f>Application!G720</f>
        <v>18</v>
      </c>
      <c r="N22" s="1071">
        <f>Application!AC720</f>
        <v>0.6</v>
      </c>
      <c r="O22" s="1071">
        <f>IF(Cdlac[[#This Row],[Quantity]]&gt;0,IF(Cdlac[[#This Row],[Federal]],30%,IF(AND(OR(NOT($G$38),$G$38=""),$G$43),40%,Cdlac[[#This Row],[iAMI]])),"")</f>
        <v>0.6</v>
      </c>
      <c r="P22" s="1065" cm="1">
        <f t="array" ref="P22">IF(Cdlac[[#This Row],[Quantity]]&gt;0,INDEX(TcacRents,$P$18,Cdlac[[#This Row],[Bedrooms]]+1)*Cdlac[[#This Row],[AMI]],"")</f>
        <v>1860</v>
      </c>
      <c r="Q22" s="1164"/>
      <c r="R22" s="1065" cm="1">
        <f t="array" ref="R22">IF(Cdlac[[#This Row],[Quantity]]&gt;0,INDEX(HudFmrs,$P$18,Cdlac[[#This Row],[Bedrooms]]+1),"")</f>
        <v>2328</v>
      </c>
      <c r="S22" s="1065">
        <f>IF(Cdlac[[#This Row],[Quantity]]&gt;0,MAX(0,Cdlac[[#This Row],[Fair Market Rent]]-IF(AND($G$37,$G$38,$G$38&lt;&gt;"",NOT(Cdlac[[#This Row],[Federal]]),Cdlac[[#This Row],[Preservation Rent]]&lt;&gt;""),Cdlac[[#This Row],[Preservation Rent]],Cdlac[[#This Row],[Restricted Rent]])),"")</f>
        <v>468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6"/>
      <c r="D23" s="2666"/>
      <c r="E23" s="2666"/>
      <c r="F23" s="2666"/>
      <c r="G23" s="2666"/>
      <c r="H23" s="1070"/>
      <c r="I23" s="1069"/>
      <c r="L23" s="1044">
        <f>IFERROR(MIN(4,MATCH(Application!B721,UnitSizes,0)-1),"")</f>
        <v>1</v>
      </c>
      <c r="M23" s="1065">
        <f>Application!G721</f>
        <v>14</v>
      </c>
      <c r="N23" s="1071">
        <f>Application!AC721</f>
        <v>0.7</v>
      </c>
      <c r="O23" s="1071">
        <f>IF(Cdlac[[#This Row],[Quantity]]&gt;0,IF(Cdlac[[#This Row],[Federal]],30%,IF(AND(OR(NOT($G$38),$G$38=""),$G$43),40%,Cdlac[[#This Row],[iAMI]])),"")</f>
        <v>0.7</v>
      </c>
      <c r="P23" s="1065" cm="1">
        <f t="array" ref="P23">IF(Cdlac[[#This Row],[Quantity]]&gt;0,INDEX(TcacRents,$P$18,Cdlac[[#This Row],[Bedrooms]]+1)*Cdlac[[#This Row],[AMI]],"")</f>
        <v>2170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158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15</v>
      </c>
      <c r="N24" s="1071">
        <f>Application!AC722</f>
        <v>0.3</v>
      </c>
      <c r="O24" s="1071">
        <f>IF(Cdlac[[#This Row],[Quantity]]&gt;0,IF(Cdlac[[#This Row],[Federal]],30%,IF(AND(OR(NOT($G$38),$G$38=""),$G$43),40%,Cdlac[[#This Row],[iAMI]])),"")</f>
        <v>0.3</v>
      </c>
      <c r="P24" s="1065" cm="1">
        <f t="array" ref="P24">IF(Cdlac[[#This Row],[Quantity]]&gt;0,INDEX(TcacRents,$P$18,Cdlac[[#This Row],[Bedrooms]]+1)*Cdlac[[#This Row],[AMI]],"")</f>
        <v>1116.5999999999999</v>
      </c>
      <c r="Q24" s="1164"/>
      <c r="R24" s="1065" cm="1">
        <f t="array" ref="R24">IF(Cdlac[[#This Row],[Quantity]]&gt;0,INDEX(HudFmrs,$P$18,Cdlac[[#This Row],[Bedrooms]]+1),"")</f>
        <v>2881</v>
      </c>
      <c r="S24" s="1065">
        <f>IF(Cdlac[[#This Row],[Quantity]]&gt;0,MAX(0,Cdlac[[#This Row],[Fair Market Rent]]-IF(AND($G$37,$G$38,$G$38&lt;&gt;"",NOT(Cdlac[[#This Row],[Federal]]),Cdlac[[#This Row],[Preservation Rent]]&lt;&gt;""),Cdlac[[#This Row],[Preservation Rent]],Cdlac[[#This Row],[Restricted Rent]])),"")</f>
        <v>1764.4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48</v>
      </c>
      <c r="F25" s="1072">
        <f>E25</f>
        <v>48</v>
      </c>
      <c r="G25" s="1072">
        <f>D25*F25</f>
        <v>48</v>
      </c>
      <c r="L25" s="1044">
        <f>IFERROR(MIN(4,MATCH(Application!B723,UnitSizes,0)-1),"")</f>
        <v>2</v>
      </c>
      <c r="M25" s="1065">
        <f>Application!G723</f>
        <v>42</v>
      </c>
      <c r="N25" s="1071">
        <f>Application!AC723</f>
        <v>0.7</v>
      </c>
      <c r="O25" s="1071">
        <f>IF(Cdlac[[#This Row],[Quantity]]&gt;0,IF(Cdlac[[#This Row],[Federal]],30%,IF(AND(OR(NOT($G$38),$G$38=""),$G$43),40%,Cdlac[[#This Row],[iAMI]])),"")</f>
        <v>0.7</v>
      </c>
      <c r="P25" s="1065" cm="1">
        <f t="array" ref="P25">IF(Cdlac[[#This Row],[Quantity]]&gt;0,INDEX(TcacRents,$P$18,Cdlac[[#This Row],[Bedrooms]]+1)*Cdlac[[#This Row],[AMI]],"")</f>
        <v>2605.3999999999996</v>
      </c>
      <c r="Q25" s="1164"/>
      <c r="R25" s="1065" cm="1">
        <f t="array" ref="R25">IF(Cdlac[[#This Row],[Quantity]]&gt;0,INDEX(HudFmrs,$P$18,Cdlac[[#This Row],[Bedrooms]]+1),"")</f>
        <v>2881</v>
      </c>
      <c r="S25" s="1065">
        <f>IF(Cdlac[[#This Row],[Quantity]]&gt;0,MAX(0,Cdlac[[#This Row],[Fair Market Rent]]-IF(AND($G$37,$G$38,$G$38&lt;&gt;"",NOT(Cdlac[[#This Row],[Federal]]),Cdlac[[#This Row],[Preservation Rent]]&lt;&gt;""),Cdlac[[#This Row],[Preservation Rent]],Cdlac[[#This Row],[Restricted Rent]])),"")</f>
        <v>275.60000000000036</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57</v>
      </c>
      <c r="F26" s="1075">
        <f>SUM(E26:E28)-SUM(F27:F28)</f>
        <v>90</v>
      </c>
      <c r="G26" s="1072">
        <f>D26*F26</f>
        <v>112.5</v>
      </c>
      <c r="H26" s="1074"/>
      <c r="I26" s="1074"/>
      <c r="L26" s="1044">
        <f>IFERROR(MIN(4,MATCH(Application!B724,UnitSizes,0)-1),"")</f>
        <v>3</v>
      </c>
      <c r="M26" s="1065">
        <f>Application!G724</f>
        <v>30</v>
      </c>
      <c r="N26" s="1071">
        <f>Application!AC724</f>
        <v>0.3</v>
      </c>
      <c r="O26" s="1071">
        <f>IF(Cdlac[[#This Row],[Quantity]]&gt;0,IF(Cdlac[[#This Row],[Federal]],30%,IF(AND(OR(NOT($G$38),$G$38=""),$G$43),40%,Cdlac[[#This Row],[iAMI]])),"")</f>
        <v>0.3</v>
      </c>
      <c r="P26" s="1065" cm="1">
        <f t="array" ref="P26">IF(Cdlac[[#This Row],[Quantity]]&gt;0,INDEX(TcacRents,$P$18,Cdlac[[#This Row],[Bedrooms]]+1)*Cdlac[[#This Row],[AMI]],"")</f>
        <v>1290</v>
      </c>
      <c r="Q26" s="1164"/>
      <c r="R26" s="1065" cm="1">
        <f t="array" ref="R26">IF(Cdlac[[#This Row],[Quantity]]&gt;0,INDEX(HudFmrs,$P$18,Cdlac[[#This Row],[Bedrooms]]+1),"")</f>
        <v>3852</v>
      </c>
      <c r="S26" s="1065">
        <f>IF(Cdlac[[#This Row],[Quantity]]&gt;0,MAX(0,Cdlac[[#This Row],[Fair Market Rent]]-IF(AND($G$37,$G$38,$G$38&lt;&gt;"",NOT(Cdlac[[#This Row],[Federal]]),Cdlac[[#This Row],[Preservation Rent]]&lt;&gt;""),Cdlac[[#This Row],[Preservation Rent]],Cdlac[[#This Row],[Restricted Rent]])),"")</f>
        <v>2562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92</v>
      </c>
      <c r="F27" s="1075">
        <f>MIN(E27,ROUNDDOWN(E29*30%,0))</f>
        <v>59</v>
      </c>
      <c r="G27" s="1072">
        <f>D27*F27</f>
        <v>88.5</v>
      </c>
      <c r="H27" s="1074"/>
      <c r="I27" s="1074"/>
      <c r="L27" s="1044">
        <f>IFERROR(MIN(4,MATCH(Application!B725,UnitSizes,0)-1),"")</f>
        <v>3</v>
      </c>
      <c r="M27" s="1065">
        <f>Application!G725</f>
        <v>4</v>
      </c>
      <c r="N27" s="1071">
        <f>Application!AC725</f>
        <v>0.6</v>
      </c>
      <c r="O27" s="1071">
        <f>IF(Cdlac[[#This Row],[Quantity]]&gt;0,IF(Cdlac[[#This Row],[Federal]],30%,IF(AND(OR(NOT($G$38),$G$38=""),$G$43),40%,Cdlac[[#This Row],[iAMI]])),"")</f>
        <v>0.6</v>
      </c>
      <c r="P27" s="1065" cm="1">
        <f t="array" ref="P27">IF(Cdlac[[#This Row],[Quantity]]&gt;0,INDEX(TcacRents,$P$18,Cdlac[[#This Row],[Bedrooms]]+1)*Cdlac[[#This Row],[AMI]],"")</f>
        <v>2580</v>
      </c>
      <c r="Q27" s="1164"/>
      <c r="R27" s="1065" cm="1">
        <f t="array" ref="R27">IF(Cdlac[[#This Row],[Quantity]]&gt;0,INDEX(HudFmrs,$P$18,Cdlac[[#This Row],[Bedrooms]]+1),"")</f>
        <v>3852</v>
      </c>
      <c r="S27" s="1065">
        <f>IF(Cdlac[[#This Row],[Quantity]]&gt;0,MAX(0,Cdlac[[#This Row],[Fair Market Rent]]-IF(AND($G$37,$G$38,$G$38&lt;&gt;"",NOT(Cdlac[[#This Row],[Federal]]),Cdlac[[#This Row],[Preservation Rent]]&lt;&gt;""),Cdlac[[#This Row],[Preservation Rent]],Cdlac[[#This Row],[Restricted Rent]])),"")</f>
        <v>1272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58</v>
      </c>
      <c r="N28" s="1071">
        <f>Application!AC726</f>
        <v>0.8</v>
      </c>
      <c r="O28" s="1071">
        <f>IF(Cdlac[[#This Row],[Quantity]]&gt;0,IF(Cdlac[[#This Row],[Federal]],30%,IF(AND(OR(NOT($G$38),$G$38=""),$G$43),40%,Cdlac[[#This Row],[iAMI]])),"")</f>
        <v>0.8</v>
      </c>
      <c r="P28" s="1065" cm="1">
        <f t="array" ref="P28">IF(Cdlac[[#This Row],[Quantity]]&gt;0,INDEX(TcacRents,$P$18,Cdlac[[#This Row],[Bedrooms]]+1)*Cdlac[[#This Row],[AMI]],"")</f>
        <v>3440</v>
      </c>
      <c r="Q28" s="1164"/>
      <c r="R28" s="1065" cm="1">
        <f t="array" ref="R28">IF(Cdlac[[#This Row],[Quantity]]&gt;0,INDEX(HudFmrs,$P$18,Cdlac[[#This Row],[Bedrooms]]+1),"")</f>
        <v>3852</v>
      </c>
      <c r="S28" s="1065">
        <f>IF(Cdlac[[#This Row],[Quantity]]&gt;0,MAX(0,Cdlac[[#This Row],[Fair Market Rent]]-IF(AND($G$37,$G$38,$G$38&lt;&gt;"",NOT(Cdlac[[#This Row],[Federal]]),Cdlac[[#This Row],[Preservation Rent]]&lt;&gt;""),Cdlac[[#This Row],[Preservation Rent]],Cdlac[[#This Row],[Restricted Rent]])),"")</f>
        <v>412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79" t="s">
        <v>1586</v>
      </c>
      <c r="D29" s="2680"/>
      <c r="E29" s="1089">
        <f>SUM(E24:E28)</f>
        <v>197</v>
      </c>
      <c r="F29" s="1089">
        <f>SUM(F24:F28)</f>
        <v>197</v>
      </c>
      <c r="G29" s="1090">
        <f>SUMPRODUCT(D24:D28,F24:F28)</f>
        <v>249</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249</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12450000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0.7264705882352942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176889.2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31840056.000000004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11</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98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11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110000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50</v>
      </c>
    </row>
    <row r="61" spans="2:21" ht="15" customHeight="1">
      <c r="E61" s="1117" t="s">
        <v>1994</v>
      </c>
      <c r="G61" s="1079">
        <f>ROUNDDOWN(E29*50%,0)</f>
        <v>98</v>
      </c>
    </row>
    <row r="62" spans="2:21" ht="15" customHeight="1">
      <c r="E62" s="1117"/>
      <c r="G62" s="1079"/>
    </row>
    <row r="63" spans="2:21" ht="15" customHeight="1">
      <c r="E63" s="1117" t="s">
        <v>1954</v>
      </c>
      <c r="G63" s="1114">
        <f>MIN(G60:G61)</f>
        <v>50</v>
      </c>
    </row>
    <row r="64" spans="2:21" ht="15" customHeight="1">
      <c r="E64" s="1117" t="s">
        <v>1944</v>
      </c>
      <c r="F64" s="1113" t="s">
        <v>1992</v>
      </c>
      <c r="G64" s="1124">
        <v>20000</v>
      </c>
    </row>
    <row r="65" spans="2:14" ht="15" customHeight="1">
      <c r="E65" s="1118" t="s">
        <v>1976</v>
      </c>
      <c r="F65" s="1046"/>
      <c r="G65" s="1123">
        <f>G63*G64</f>
        <v>1000000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High Resource</v>
      </c>
      <c r="L72" s="2652" t="s">
        <v>1969</v>
      </c>
      <c r="M72" s="2653"/>
      <c r="N72" s="1131">
        <v>30000</v>
      </c>
    </row>
    <row r="73" spans="2:14" ht="15" customHeight="1">
      <c r="C73" s="2654" t="s">
        <v>2261</v>
      </c>
      <c r="D73" s="2654"/>
      <c r="E73" s="2654"/>
      <c r="F73" s="2654"/>
      <c r="G73" s="1043" t="s">
        <v>669</v>
      </c>
      <c r="L73" s="2669" t="s">
        <v>1937</v>
      </c>
      <c r="M73" s="2670"/>
      <c r="N73" s="1132">
        <v>20000</v>
      </c>
    </row>
    <row r="74" spans="2:14" ht="15" customHeight="1" thickBot="1">
      <c r="C74" s="2654"/>
      <c r="D74" s="2654"/>
      <c r="E74" s="2654"/>
      <c r="F74" s="2654"/>
      <c r="L74" s="2644" t="s">
        <v>1970</v>
      </c>
      <c r="M74" s="2645"/>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249</v>
      </c>
    </row>
    <row r="80" spans="2:14" ht="15" customHeight="1">
      <c r="D80" s="1046"/>
      <c r="E80" s="1118" t="s">
        <v>2266</v>
      </c>
      <c r="F80" s="1046"/>
      <c r="G80" s="1123">
        <f>G79*G78*G76</f>
        <v>4980000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249</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249</v>
      </c>
    </row>
    <row r="97" spans="2:14" ht="15" customHeight="1">
      <c r="E97" s="1118" t="s">
        <v>1961</v>
      </c>
      <c r="F97" s="1046"/>
      <c r="G97" s="1123">
        <f>G94*G95*G96</f>
        <v>6972000</v>
      </c>
      <c r="L97" s="1127" t="str">
        <f>'Points System'!H638</f>
        <v>(i)</v>
      </c>
      <c r="M97" s="2650" t="s">
        <v>1405</v>
      </c>
      <c r="N97" s="2651"/>
    </row>
    <row r="98" spans="2:14" ht="15" customHeight="1">
      <c r="C98" s="1077"/>
      <c r="G98" s="1114"/>
      <c r="L98" s="1128" t="str">
        <f>'Points System'!H650</f>
        <v>(i)</v>
      </c>
      <c r="M98" s="2646" t="s">
        <v>1956</v>
      </c>
      <c r="N98" s="2647"/>
    </row>
    <row r="99" spans="2:14" ht="15" customHeight="1">
      <c r="E99" s="1084" t="s">
        <v>1997</v>
      </c>
      <c r="G99" s="1126">
        <f>COUNTIFS(L97:L104,"(i)")</f>
        <v>6</v>
      </c>
      <c r="L99" s="1128" t="str">
        <f>'Points System'!H685</f>
        <v>(i)</v>
      </c>
      <c r="M99" s="2646" t="s">
        <v>1957</v>
      </c>
      <c r="N99" s="2647"/>
    </row>
    <row r="100" spans="2:14" ht="15" customHeight="1">
      <c r="E100" s="1084" t="s">
        <v>1944</v>
      </c>
      <c r="F100" s="1113" t="s">
        <v>1992</v>
      </c>
      <c r="G100" s="1124">
        <v>4000</v>
      </c>
      <c r="L100" s="1128" t="str">
        <f>IF(OR('Points System'!H709="(ii)",'Points System'!H709="(i)"),"(i)","N/A")</f>
        <v>(i)</v>
      </c>
      <c r="M100" s="2646" t="s">
        <v>1958</v>
      </c>
      <c r="N100" s="2647"/>
    </row>
    <row r="101" spans="2:14" ht="15" customHeight="1">
      <c r="E101" s="1118" t="s">
        <v>1962</v>
      </c>
      <c r="F101" s="1046"/>
      <c r="G101" s="1123">
        <f>G96*G99*G100</f>
        <v>5976000</v>
      </c>
      <c r="L101" s="1129" t="str">
        <f>'Points System'!H723</f>
        <v>N/A</v>
      </c>
      <c r="M101" s="2646" t="s">
        <v>1431</v>
      </c>
      <c r="N101" s="2647"/>
    </row>
    <row r="102" spans="2:14" ht="15" customHeight="1">
      <c r="L102" s="1128" t="str">
        <f>'Points System'!H735</f>
        <v>N/A</v>
      </c>
      <c r="M102" s="2646" t="s">
        <v>1959</v>
      </c>
      <c r="N102" s="2647"/>
    </row>
    <row r="103" spans="2:14" ht="15" customHeight="1">
      <c r="C103" s="1080" t="s">
        <v>1964</v>
      </c>
      <c r="L103" s="1128" t="str">
        <f>'Points System'!H751</f>
        <v>(i)</v>
      </c>
      <c r="M103" s="2646" t="s">
        <v>1960</v>
      </c>
      <c r="N103" s="2647"/>
    </row>
    <row r="104" spans="2:14" ht="15" customHeight="1" thickBot="1">
      <c r="C104" s="1077" t="s">
        <v>1965</v>
      </c>
      <c r="G104" s="1043"/>
      <c r="L104" s="1130" t="str">
        <f>'Points System'!H763</f>
        <v>(i)</v>
      </c>
      <c r="M104" s="2648" t="s">
        <v>1434</v>
      </c>
      <c r="N104" s="2649"/>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249</v>
      </c>
    </row>
    <row r="112" spans="2:14" ht="15" customHeight="1">
      <c r="E112" s="1084" t="s">
        <v>1944</v>
      </c>
      <c r="F112" s="1113" t="s">
        <v>1992</v>
      </c>
      <c r="G112" s="1124">
        <v>25000</v>
      </c>
    </row>
    <row r="113" spans="2:9" ht="15" customHeight="1">
      <c r="E113" s="1118" t="s">
        <v>1963</v>
      </c>
      <c r="F113" s="1046"/>
      <c r="G113" s="1123">
        <f>G109*G112*G96</f>
        <v>6225000</v>
      </c>
    </row>
    <row r="114" spans="2:9" ht="15" customHeight="1">
      <c r="C114" s="1077"/>
      <c r="E114" s="1077"/>
    </row>
    <row r="115" spans="2:9" ht="15" customHeight="1">
      <c r="E115" s="1118" t="s">
        <v>2271</v>
      </c>
      <c r="G115" s="1123">
        <f>G113+G101+G97</f>
        <v>19173000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2226</v>
      </c>
      <c r="D119" s="2681"/>
      <c r="E119" s="2681"/>
      <c r="F119" s="2681"/>
    </row>
    <row r="120" spans="2:9" ht="15" customHeight="1">
      <c r="C120" s="2681"/>
      <c r="D120" s="2681"/>
      <c r="E120" s="2681"/>
      <c r="F120" s="2681"/>
      <c r="G120" s="1043" t="s">
        <v>545</v>
      </c>
    </row>
    <row r="121" spans="2:9" ht="15" customHeight="1"/>
    <row r="122" spans="2:9" ht="15" customHeight="1">
      <c r="C122" s="1044" t="s">
        <v>2228</v>
      </c>
      <c r="G122" s="2683" t="s">
        <v>2737</v>
      </c>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2000</v>
      </c>
      <c r="G131" s="1078">
        <f>MEDIAN((Application!CU160:CU217))</f>
        <v>489600</v>
      </c>
    </row>
    <row r="132" spans="2:9" ht="15">
      <c r="D132" s="1046"/>
      <c r="E132" s="1118" t="s">
        <v>2002</v>
      </c>
      <c r="F132" s="1134"/>
      <c r="G132" s="1135">
        <f>((G130-G131)/G131)*0.25</f>
        <v>8.1699346405228761E-4</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78" t="s">
        <v>2274</v>
      </c>
      <c r="D138" s="2678"/>
      <c r="E138" s="2678"/>
      <c r="F138" s="2678"/>
    </row>
    <row r="139" spans="2:9">
      <c r="B139" s="1045"/>
      <c r="C139" s="2678"/>
      <c r="D139" s="2678"/>
      <c r="E139" s="2678"/>
      <c r="F139" s="2678"/>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5100000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1" workbookViewId="0">
      <selection activeCell="J34" sqref="J3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5</v>
      </c>
      <c r="C4" s="1162" t="s">
        <v>384</v>
      </c>
      <c r="D4" s="428">
        <f>Application!O718</f>
        <v>829</v>
      </c>
      <c r="E4" s="429"/>
      <c r="F4" s="1083">
        <v>2594</v>
      </c>
      <c r="G4" s="428">
        <f>F4*B4</f>
        <v>12970</v>
      </c>
      <c r="H4" s="429"/>
      <c r="I4" s="428">
        <f t="shared" ref="I4:I27" si="0">IF(F4=0,"",(F4-D4))</f>
        <v>1765</v>
      </c>
      <c r="J4" s="428">
        <f t="shared" ref="J4:J27" si="1">IF(F4=0,"",(I4*B4))</f>
        <v>8825</v>
      </c>
      <c r="K4" s="204"/>
      <c r="L4" s="305"/>
    </row>
    <row r="5" spans="1:12">
      <c r="A5" s="428" t="str">
        <f>Application!B719</f>
        <v>1 Bedroom</v>
      </c>
      <c r="B5" s="1082">
        <f>Application!G719</f>
        <v>11</v>
      </c>
      <c r="C5" s="1162" t="s">
        <v>384</v>
      </c>
      <c r="D5" s="428">
        <f>Application!O719</f>
        <v>1139</v>
      </c>
      <c r="E5" s="429"/>
      <c r="F5" s="1083">
        <v>2839</v>
      </c>
      <c r="G5" s="428">
        <f t="shared" ref="G5:G38" si="2">F5*B5</f>
        <v>31229</v>
      </c>
      <c r="H5" s="429"/>
      <c r="I5" s="428">
        <f t="shared" si="0"/>
        <v>1700</v>
      </c>
      <c r="J5" s="428">
        <f t="shared" si="1"/>
        <v>18700</v>
      </c>
      <c r="K5" s="204"/>
      <c r="L5" s="305"/>
    </row>
    <row r="6" spans="1:12">
      <c r="A6" s="428" t="str">
        <f>Application!B720</f>
        <v>1 Bedroom</v>
      </c>
      <c r="B6" s="1082">
        <f>Application!G720</f>
        <v>18</v>
      </c>
      <c r="C6" s="1162"/>
      <c r="D6" s="428">
        <f>Application!O720</f>
        <v>1759</v>
      </c>
      <c r="E6" s="429"/>
      <c r="F6" s="1083"/>
      <c r="G6" s="428">
        <f t="shared" si="2"/>
        <v>0</v>
      </c>
      <c r="H6" s="429"/>
      <c r="I6" s="428" t="str">
        <f t="shared" si="0"/>
        <v/>
      </c>
      <c r="J6" s="428" t="str">
        <f t="shared" si="1"/>
        <v/>
      </c>
      <c r="K6" s="204"/>
      <c r="L6" s="305"/>
    </row>
    <row r="7" spans="1:12">
      <c r="A7" s="428" t="str">
        <f>Application!B721</f>
        <v>1 Bedroom</v>
      </c>
      <c r="B7" s="1082">
        <f>Application!G721</f>
        <v>14</v>
      </c>
      <c r="C7" s="1162"/>
      <c r="D7" s="428">
        <f>Application!O721</f>
        <v>2069</v>
      </c>
      <c r="E7" s="429"/>
      <c r="F7" s="1083"/>
      <c r="G7" s="428">
        <f t="shared" si="2"/>
        <v>0</v>
      </c>
      <c r="H7" s="429"/>
      <c r="I7" s="428" t="str">
        <f t="shared" si="0"/>
        <v/>
      </c>
      <c r="J7" s="428" t="str">
        <f t="shared" si="1"/>
        <v/>
      </c>
      <c r="K7" s="204"/>
      <c r="L7" s="305"/>
    </row>
    <row r="8" spans="1:12">
      <c r="A8" s="428" t="str">
        <f>Application!B722</f>
        <v>2 Bedrooms</v>
      </c>
      <c r="B8" s="1082">
        <f>Application!G722</f>
        <v>15</v>
      </c>
      <c r="C8" s="1162" t="s">
        <v>384</v>
      </c>
      <c r="D8" s="428">
        <f>Application!O722</f>
        <v>979</v>
      </c>
      <c r="E8" s="429"/>
      <c r="F8" s="1083">
        <v>3262</v>
      </c>
      <c r="G8" s="428">
        <f t="shared" si="2"/>
        <v>48930</v>
      </c>
      <c r="H8" s="429"/>
      <c r="I8" s="428">
        <f t="shared" si="0"/>
        <v>2283</v>
      </c>
      <c r="J8" s="428">
        <f t="shared" si="1"/>
        <v>34245</v>
      </c>
      <c r="K8" s="204"/>
      <c r="L8" s="305"/>
    </row>
    <row r="9" spans="1:12">
      <c r="A9" s="428" t="str">
        <f>Application!B723</f>
        <v>2 Bedrooms</v>
      </c>
      <c r="B9" s="1082">
        <f>Application!G723</f>
        <v>42</v>
      </c>
      <c r="C9" s="1162"/>
      <c r="D9" s="428">
        <f>Application!O723</f>
        <v>2469</v>
      </c>
      <c r="E9" s="429"/>
      <c r="F9" s="1083"/>
      <c r="G9" s="428">
        <f t="shared" si="2"/>
        <v>0</v>
      </c>
      <c r="H9" s="429"/>
      <c r="I9" s="428" t="str">
        <f t="shared" si="0"/>
        <v/>
      </c>
      <c r="J9" s="428" t="str">
        <f t="shared" si="1"/>
        <v/>
      </c>
      <c r="K9" s="204"/>
      <c r="L9" s="305"/>
    </row>
    <row r="10" spans="1:12">
      <c r="A10" s="428" t="str">
        <f>Application!B724</f>
        <v>3 Bedrooms</v>
      </c>
      <c r="B10" s="1082">
        <f>Application!G724</f>
        <v>30</v>
      </c>
      <c r="C10" s="1162" t="s">
        <v>384</v>
      </c>
      <c r="D10" s="428">
        <f>Application!O724</f>
        <v>1112</v>
      </c>
      <c r="E10" s="429"/>
      <c r="F10" s="1083">
        <v>4409</v>
      </c>
      <c r="G10" s="428">
        <f t="shared" si="2"/>
        <v>132270</v>
      </c>
      <c r="H10" s="429"/>
      <c r="I10" s="428">
        <f t="shared" si="0"/>
        <v>3297</v>
      </c>
      <c r="J10" s="428">
        <f t="shared" si="1"/>
        <v>98910</v>
      </c>
      <c r="K10" s="204"/>
      <c r="L10" s="305"/>
    </row>
    <row r="11" spans="1:12">
      <c r="A11" s="428" t="str">
        <f>Application!B725</f>
        <v>3 Bedrooms</v>
      </c>
      <c r="B11" s="1082">
        <f>Application!G725</f>
        <v>4</v>
      </c>
      <c r="C11" s="1162"/>
      <c r="D11" s="428">
        <f>Application!O725</f>
        <v>2402</v>
      </c>
      <c r="E11" s="429"/>
      <c r="F11" s="1083"/>
      <c r="G11" s="428">
        <f t="shared" si="2"/>
        <v>0</v>
      </c>
      <c r="H11" s="429"/>
      <c r="I11" s="428" t="str">
        <f t="shared" si="0"/>
        <v/>
      </c>
      <c r="J11" s="428" t="str">
        <f t="shared" si="1"/>
        <v/>
      </c>
      <c r="K11" s="204"/>
      <c r="L11" s="305"/>
    </row>
    <row r="12" spans="1:12">
      <c r="A12" s="428" t="str">
        <f>Application!B726</f>
        <v>3 Bedrooms</v>
      </c>
      <c r="B12" s="1082">
        <f>Application!G726</f>
        <v>58</v>
      </c>
      <c r="C12" s="1162"/>
      <c r="D12" s="428">
        <f>Application!O726</f>
        <v>3150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421353</v>
      </c>
      <c r="E40" s="429"/>
      <c r="F40" s="429"/>
      <c r="G40" s="432">
        <f>SUM(G4:G38)*12</f>
        <v>2704788</v>
      </c>
      <c r="H40" s="433"/>
      <c r="I40" s="431"/>
      <c r="J40" s="432">
        <f>SUM(J4:J38)*12</f>
        <v>1928160</v>
      </c>
      <c r="K40" s="204"/>
      <c r="L40" s="306"/>
    </row>
    <row r="41" spans="1:12" ht="15">
      <c r="A41" s="430"/>
      <c r="B41" s="431"/>
      <c r="C41" s="431"/>
      <c r="D41" s="433"/>
      <c r="E41" s="429"/>
      <c r="F41" s="429"/>
      <c r="G41" s="433"/>
      <c r="H41" s="433"/>
      <c r="I41" s="431"/>
      <c r="J41" s="433"/>
      <c r="K41" s="204"/>
      <c r="L41" s="306"/>
    </row>
    <row r="42" spans="1:12">
      <c r="A42" s="304" t="s">
        <v>2256</v>
      </c>
    </row>
    <row r="43" spans="1:12">
      <c r="A43" s="2686" t="s">
        <v>2495</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2257</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O56" sqref="O56"/>
    </sheetView>
  </sheetViews>
  <sheetFormatPr defaultColWidth="0" defaultRowHeight="12.75" zeroHeight="1"/>
  <cols>
    <col min="1" max="1" width="3.7109375" customWidth="1"/>
    <col min="2" max="2" width="30.42578125" customWidth="1"/>
    <col min="3" max="3" width="12"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5056236</v>
      </c>
      <c r="G4" s="219">
        <f>E4*$C$4</f>
        <v>5182641.8999999994</v>
      </c>
      <c r="I4" s="219">
        <f>G4*$C$4</f>
        <v>5312207.9474999988</v>
      </c>
      <c r="K4" s="219">
        <f>I4*$C$4</f>
        <v>5445013.1461874982</v>
      </c>
      <c r="M4" s="219">
        <f>K4*$C$4</f>
        <v>5581138.4748421852</v>
      </c>
      <c r="O4" s="219">
        <f>M4*$C$4</f>
        <v>5720666.9367132392</v>
      </c>
      <c r="Q4" s="219">
        <f>O4*$C$4</f>
        <v>5863683.61013107</v>
      </c>
      <c r="S4" s="219">
        <f>Q4*$C$4</f>
        <v>6010275.7003843458</v>
      </c>
      <c r="U4" s="219">
        <f>S4*$C$4</f>
        <v>6160532.5928939544</v>
      </c>
      <c r="W4" s="219">
        <f>U4*$C$4</f>
        <v>6314545.9077163031</v>
      </c>
      <c r="Y4" s="219">
        <f>W4*$C$4</f>
        <v>6472409.5554092098</v>
      </c>
      <c r="AA4" s="219">
        <f>Y4*$C$4</f>
        <v>6634219.7942944393</v>
      </c>
      <c r="AC4" s="219">
        <f>AA4*$C$4</f>
        <v>6800075.2891517999</v>
      </c>
      <c r="AE4" s="219">
        <f>AC4*$C$4</f>
        <v>6970077.1713805944</v>
      </c>
      <c r="AG4" s="219">
        <f>AE4*$C$4</f>
        <v>7144329.1006651083</v>
      </c>
    </row>
    <row r="5" spans="1:34" s="210" customFormat="1" ht="14.25">
      <c r="B5" s="210" t="s">
        <v>838</v>
      </c>
      <c r="C5" s="238">
        <f>IF(Application!$D$211="Special Needs",(((0.1*Application!$T$212)+(0.05*(1-Application!$T$212)))),0.05)</f>
        <v>0.05</v>
      </c>
      <c r="E5" s="221">
        <f>-E4*$C$5</f>
        <v>-252811.80000000002</v>
      </c>
      <c r="F5" s="221"/>
      <c r="G5" s="221">
        <f>-G4*$C$5</f>
        <v>-259132.09499999997</v>
      </c>
      <c r="H5" s="221"/>
      <c r="I5" s="221">
        <f>-I4*$C$5</f>
        <v>-265610.39737499994</v>
      </c>
      <c r="J5" s="221"/>
      <c r="K5" s="221">
        <f>-K4*$C$5</f>
        <v>-272250.65730937495</v>
      </c>
      <c r="L5" s="221"/>
      <c r="M5" s="221">
        <f>-M4*$C$5</f>
        <v>-279056.92374210927</v>
      </c>
      <c r="N5" s="221"/>
      <c r="O5" s="221">
        <f>-O4*$C$5</f>
        <v>-286033.34683566197</v>
      </c>
      <c r="P5" s="221"/>
      <c r="Q5" s="221">
        <f>-Q4*$C$5</f>
        <v>-293184.1805065535</v>
      </c>
      <c r="R5" s="221"/>
      <c r="S5" s="221">
        <f>-S4*$C$5</f>
        <v>-300513.78501921729</v>
      </c>
      <c r="T5" s="221"/>
      <c r="U5" s="221">
        <f>-U4*$C$5</f>
        <v>-308026.62964469771</v>
      </c>
      <c r="V5" s="221"/>
      <c r="W5" s="221">
        <f>-W4*$C$5</f>
        <v>-315727.2953858152</v>
      </c>
      <c r="X5" s="221"/>
      <c r="Y5" s="221">
        <f>-Y4*$C$5</f>
        <v>-323620.47777046054</v>
      </c>
      <c r="Z5" s="221"/>
      <c r="AA5" s="221">
        <f>-AA4*$C$5</f>
        <v>-331710.98971472197</v>
      </c>
      <c r="AB5" s="221"/>
      <c r="AC5" s="221">
        <f>-AC4*$C$5</f>
        <v>-340003.76445759</v>
      </c>
      <c r="AD5" s="221"/>
      <c r="AE5" s="221">
        <f>-AE4*$C$5</f>
        <v>-348503.85856902972</v>
      </c>
      <c r="AF5" s="221"/>
      <c r="AG5" s="221">
        <f>-AG4*$C$5</f>
        <v>-357216.45503325545</v>
      </c>
    </row>
    <row r="6" spans="1:34" s="210" customFormat="1" ht="14.25">
      <c r="A6" s="210" t="s">
        <v>836</v>
      </c>
      <c r="C6" s="237">
        <v>1.0249999999999999</v>
      </c>
      <c r="E6" s="222">
        <f>Application!Z809</f>
        <v>1928160</v>
      </c>
      <c r="F6" s="222"/>
      <c r="G6" s="222">
        <f>E6*$C$6</f>
        <v>1976363.9999999998</v>
      </c>
      <c r="H6" s="222"/>
      <c r="I6" s="222">
        <f>G6*$C$6</f>
        <v>2025773.0999999996</v>
      </c>
      <c r="J6" s="222"/>
      <c r="K6" s="222">
        <f>I6*$C$6</f>
        <v>2076417.4274999995</v>
      </c>
      <c r="L6" s="222"/>
      <c r="M6" s="222">
        <f>K6*$C$6</f>
        <v>2128327.8631874993</v>
      </c>
      <c r="N6" s="222"/>
      <c r="O6" s="222">
        <f>M6*$C$6</f>
        <v>2181536.0597671866</v>
      </c>
      <c r="P6" s="222"/>
      <c r="Q6" s="222">
        <f>O6*$C$6</f>
        <v>2236074.461261366</v>
      </c>
      <c r="R6" s="222"/>
      <c r="S6" s="222">
        <f>Q6*$C$6</f>
        <v>2291976.3227928998</v>
      </c>
      <c r="T6" s="222"/>
      <c r="U6" s="222">
        <f>S6*$C$6</f>
        <v>2349275.7308627223</v>
      </c>
      <c r="V6" s="222"/>
      <c r="W6" s="222">
        <f>U6*$C$6</f>
        <v>2408007.62413429</v>
      </c>
      <c r="X6" s="222"/>
      <c r="Y6" s="222">
        <f>W6*$C$6</f>
        <v>2468207.8147376468</v>
      </c>
      <c r="Z6" s="222"/>
      <c r="AA6" s="222">
        <f>Y6*$C$6</f>
        <v>2529913.0101060877</v>
      </c>
      <c r="AB6" s="222"/>
      <c r="AC6" s="222">
        <f>AA6*$C$6</f>
        <v>2593160.8353587398</v>
      </c>
      <c r="AD6" s="222"/>
      <c r="AE6" s="222">
        <f>AC6*$C$6</f>
        <v>2657989.8562427079</v>
      </c>
      <c r="AF6" s="222"/>
      <c r="AG6" s="222">
        <f>AE6*$C$6</f>
        <v>2724439.6026487756</v>
      </c>
    </row>
    <row r="7" spans="1:34" s="210" customFormat="1" ht="14.25">
      <c r="B7" s="210" t="s">
        <v>838</v>
      </c>
      <c r="C7" s="238">
        <f>IF(Application!$D$211="Special Needs",(((0.1*Application!$T$212)+(0.05*(1-Application!$T$212)))),0.05)</f>
        <v>0.05</v>
      </c>
      <c r="E7" s="221">
        <f>-E6*$C$7</f>
        <v>-96408</v>
      </c>
      <c r="F7" s="221"/>
      <c r="G7" s="221">
        <f>-G6*$C$7</f>
        <v>-98818.2</v>
      </c>
      <c r="H7" s="221"/>
      <c r="I7" s="221">
        <f>-I6*$C$7</f>
        <v>-101288.65499999998</v>
      </c>
      <c r="J7" s="221"/>
      <c r="K7" s="221">
        <f>-K6*$C$7</f>
        <v>-103820.87137499999</v>
      </c>
      <c r="L7" s="221"/>
      <c r="M7" s="221">
        <f>-M6*$C$7</f>
        <v>-106416.39315937497</v>
      </c>
      <c r="N7" s="221"/>
      <c r="O7" s="221">
        <f>-O6*$C$7</f>
        <v>-109076.80298835934</v>
      </c>
      <c r="P7" s="221"/>
      <c r="Q7" s="221">
        <f>-Q6*$C$7</f>
        <v>-111803.7230630683</v>
      </c>
      <c r="R7" s="221"/>
      <c r="S7" s="221">
        <f>-S6*$C$7</f>
        <v>-114598.816139645</v>
      </c>
      <c r="T7" s="221"/>
      <c r="U7" s="221">
        <f>-U6*$C$7</f>
        <v>-117463.78654313611</v>
      </c>
      <c r="V7" s="221"/>
      <c r="W7" s="221">
        <f>-W6*$C$7</f>
        <v>-120400.3812067145</v>
      </c>
      <c r="X7" s="221"/>
      <c r="Y7" s="221">
        <f>-Y6*$C$7</f>
        <v>-123410.39073688234</v>
      </c>
      <c r="Z7" s="221"/>
      <c r="AA7" s="221">
        <f>-AA6*$C$7</f>
        <v>-126495.65050530439</v>
      </c>
      <c r="AB7" s="221"/>
      <c r="AC7" s="221">
        <f>-AC6*$C$7</f>
        <v>-129658.041767937</v>
      </c>
      <c r="AD7" s="221"/>
      <c r="AE7" s="221">
        <f>-AE6*$C$7</f>
        <v>-132899.4928121354</v>
      </c>
      <c r="AF7" s="221"/>
      <c r="AG7" s="221">
        <f>-AG6*$C$7</f>
        <v>-136221.9801324388</v>
      </c>
    </row>
    <row r="8" spans="1:34" s="210" customFormat="1" ht="14.25">
      <c r="A8" s="210" t="s">
        <v>287</v>
      </c>
      <c r="C8" s="237">
        <v>1.0249999999999999</v>
      </c>
      <c r="E8" s="222">
        <f>Application!Z817</f>
        <v>59750</v>
      </c>
      <c r="F8" s="222"/>
      <c r="G8" s="222">
        <f>E8*$C$8</f>
        <v>61243.749999999993</v>
      </c>
      <c r="H8" s="222"/>
      <c r="I8" s="222">
        <f>G8*$C$8</f>
        <v>62774.843749999985</v>
      </c>
      <c r="J8" s="222"/>
      <c r="K8" s="222">
        <f>I8*$C$8</f>
        <v>64344.214843749978</v>
      </c>
      <c r="L8" s="222"/>
      <c r="M8" s="222">
        <f>K8*$C$8</f>
        <v>65952.820214843727</v>
      </c>
      <c r="N8" s="222"/>
      <c r="O8" s="222">
        <f>M8*$C$8</f>
        <v>67601.640720214811</v>
      </c>
      <c r="P8" s="222"/>
      <c r="Q8" s="222">
        <f>O8*$C$8</f>
        <v>69291.68173822017</v>
      </c>
      <c r="R8" s="222"/>
      <c r="S8" s="222">
        <f>Q8*$C$8</f>
        <v>71023.973781675668</v>
      </c>
      <c r="T8" s="222"/>
      <c r="U8" s="222">
        <f>S8*$C$8</f>
        <v>72799.573126217554</v>
      </c>
      <c r="V8" s="222"/>
      <c r="W8" s="222">
        <f>U8*$C$8</f>
        <v>74619.562454372994</v>
      </c>
      <c r="X8" s="222"/>
      <c r="Y8" s="222">
        <f>W8*$C$8</f>
        <v>76485.05151573231</v>
      </c>
      <c r="Z8" s="222"/>
      <c r="AA8" s="222">
        <f>Y8*$C$8</f>
        <v>78397.177803625615</v>
      </c>
      <c r="AB8" s="222"/>
      <c r="AC8" s="222">
        <f>AA8*$C$8</f>
        <v>80357.107248716246</v>
      </c>
      <c r="AD8" s="222"/>
      <c r="AE8" s="222">
        <f>AC8*$C$8</f>
        <v>82366.034929934147</v>
      </c>
      <c r="AF8" s="222"/>
      <c r="AG8" s="222">
        <f>AE8*$C$8</f>
        <v>84425.185803182496</v>
      </c>
    </row>
    <row r="9" spans="1:34" s="210" customFormat="1" ht="14.25">
      <c r="B9" s="210" t="s">
        <v>838</v>
      </c>
      <c r="C9" s="238">
        <f>IF(Application!$D$211="Special Needs",(((0.1*Application!$T$212)+(0.05*(1-Application!$T$212)))),0.05)</f>
        <v>0.05</v>
      </c>
      <c r="E9" s="221">
        <f>-E8*$C$9</f>
        <v>-2987.5</v>
      </c>
      <c r="F9" s="221"/>
      <c r="G9" s="221">
        <f>-G8*$C$9</f>
        <v>-3062.1875</v>
      </c>
      <c r="H9" s="221"/>
      <c r="I9" s="221">
        <f>-I8*$C$9</f>
        <v>-3138.7421874999995</v>
      </c>
      <c r="J9" s="221"/>
      <c r="K9" s="221">
        <f>-K8*$C$9</f>
        <v>-3217.2107421874989</v>
      </c>
      <c r="L9" s="221"/>
      <c r="M9" s="221">
        <f>-M8*$C$9</f>
        <v>-3297.6410107421866</v>
      </c>
      <c r="N9" s="221"/>
      <c r="O9" s="221">
        <f>-O8*$C$9</f>
        <v>-3380.0820360107409</v>
      </c>
      <c r="P9" s="221"/>
      <c r="Q9" s="221">
        <f>-Q8*$C$9</f>
        <v>-3464.5840869110089</v>
      </c>
      <c r="R9" s="221"/>
      <c r="S9" s="221">
        <f>-S8*$C$9</f>
        <v>-3551.1986890837834</v>
      </c>
      <c r="T9" s="221"/>
      <c r="U9" s="221">
        <f>-U8*$C$9</f>
        <v>-3639.9786563108778</v>
      </c>
      <c r="V9" s="221"/>
      <c r="W9" s="221">
        <f>-W8*$C$9</f>
        <v>-3730.97812271865</v>
      </c>
      <c r="X9" s="221"/>
      <c r="Y9" s="221">
        <f>-Y8*$C$9</f>
        <v>-3824.2525757866156</v>
      </c>
      <c r="Z9" s="221"/>
      <c r="AA9" s="221">
        <f>-AA8*$C$9</f>
        <v>-3919.8588901812809</v>
      </c>
      <c r="AB9" s="221"/>
      <c r="AC9" s="221">
        <f>-AC8*$C$9</f>
        <v>-4017.8553624358124</v>
      </c>
      <c r="AD9" s="221"/>
      <c r="AE9" s="221">
        <f>-AE8*$C$9</f>
        <v>-4118.3017464967079</v>
      </c>
      <c r="AF9" s="221"/>
      <c r="AG9" s="221">
        <f>-AG8*$C$9</f>
        <v>-4221.2592901591252</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6691938.7000000002</v>
      </c>
      <c r="G11" s="223">
        <f>SUM(G4:G10)</f>
        <v>6859237.1674999995</v>
      </c>
      <c r="I11" s="223">
        <f>SUM(I4:I10)</f>
        <v>7030718.0966874985</v>
      </c>
      <c r="K11" s="223">
        <f>SUM(K4:K10)</f>
        <v>7206486.049104685</v>
      </c>
      <c r="M11" s="223">
        <f>SUM(M4:M10)</f>
        <v>7386648.2003323017</v>
      </c>
      <c r="O11" s="223">
        <f>SUM(O4:O10)</f>
        <v>7571314.4053406082</v>
      </c>
      <c r="Q11" s="223">
        <f>SUM(Q4:Q10)</f>
        <v>7760597.2654741229</v>
      </c>
      <c r="S11" s="223">
        <f>SUM(S4:S10)</f>
        <v>7954612.1971109761</v>
      </c>
      <c r="U11" s="223">
        <f>SUM(U4:U10)</f>
        <v>8153477.5020387489</v>
      </c>
      <c r="W11" s="223">
        <f>SUM(W4:W10)</f>
        <v>8357314.4395897174</v>
      </c>
      <c r="Y11" s="223">
        <f>SUM(Y4:Y10)</f>
        <v>8566247.3005794603</v>
      </c>
      <c r="AA11" s="223">
        <f>SUM(AA4:AA10)</f>
        <v>8780403.4830939453</v>
      </c>
      <c r="AC11" s="223">
        <f>SUM(AC4:AC10)</f>
        <v>8999913.5701712947</v>
      </c>
      <c r="AE11" s="223">
        <f>SUM(AE4:AE10)</f>
        <v>9224911.4094255753</v>
      </c>
      <c r="AG11" s="223">
        <f>SUM(AG4:AG10)</f>
        <v>9455534.1946612131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77500</v>
      </c>
      <c r="G15" s="219">
        <f>E15*$C$14</f>
        <v>80212.5</v>
      </c>
      <c r="I15" s="219">
        <f>G15*$C$14</f>
        <v>83019.9375</v>
      </c>
      <c r="K15" s="219">
        <f>I15*$C$14</f>
        <v>85925.635312499988</v>
      </c>
      <c r="M15" s="219">
        <f>K15*$C$14</f>
        <v>88933.032548437477</v>
      </c>
      <c r="O15" s="219">
        <f>M15*$C$14</f>
        <v>92045.688687632777</v>
      </c>
      <c r="Q15" s="219">
        <f>O15*$C$14</f>
        <v>95267.287791699913</v>
      </c>
      <c r="S15" s="219">
        <f>Q15*$C$14</f>
        <v>98601.642864409398</v>
      </c>
      <c r="U15" s="219">
        <f>S15*$C$14</f>
        <v>102052.70036466372</v>
      </c>
      <c r="W15" s="219">
        <f>U15*$C$14</f>
        <v>105624.54487742693</v>
      </c>
      <c r="Y15" s="219">
        <f>W15*$C$14</f>
        <v>109321.40394813687</v>
      </c>
      <c r="AA15" s="219">
        <f>Y15*$C$14</f>
        <v>113147.65308632165</v>
      </c>
      <c r="AC15" s="219">
        <f>AA15*$C$14</f>
        <v>117107.82094434289</v>
      </c>
      <c r="AE15" s="219">
        <f>AC15*$C$14</f>
        <v>121206.59467739488</v>
      </c>
      <c r="AG15" s="219">
        <f>AE15*$C$14</f>
        <v>125448.82549110369</v>
      </c>
    </row>
    <row r="16" spans="1:34" s="210" customFormat="1" ht="14.25">
      <c r="A16" s="210" t="s">
        <v>343</v>
      </c>
      <c r="C16" s="233"/>
      <c r="E16" s="222">
        <f>Application!W849</f>
        <v>141840</v>
      </c>
      <c r="F16" s="222"/>
      <c r="G16" s="222">
        <f t="shared" ref="G16:AG21" si="0">E16*$C$14</f>
        <v>146804.4</v>
      </c>
      <c r="H16" s="222"/>
      <c r="I16" s="222">
        <f t="shared" si="0"/>
        <v>151942.55399999997</v>
      </c>
      <c r="J16" s="222"/>
      <c r="K16" s="222">
        <f t="shared" si="0"/>
        <v>157260.54338999995</v>
      </c>
      <c r="L16" s="222"/>
      <c r="M16" s="222">
        <f t="shared" si="0"/>
        <v>162764.66240864992</v>
      </c>
      <c r="N16" s="222"/>
      <c r="O16" s="222">
        <f t="shared" si="0"/>
        <v>168461.42559295267</v>
      </c>
      <c r="P16" s="222"/>
      <c r="Q16" s="222">
        <f t="shared" si="0"/>
        <v>174357.575488706</v>
      </c>
      <c r="R16" s="222"/>
      <c r="S16" s="222">
        <f t="shared" si="0"/>
        <v>180460.09063081071</v>
      </c>
      <c r="T16" s="222"/>
      <c r="U16" s="222">
        <f t="shared" si="0"/>
        <v>186776.19380288906</v>
      </c>
      <c r="V16" s="222"/>
      <c r="W16" s="222">
        <f t="shared" si="0"/>
        <v>193313.36058599016</v>
      </c>
      <c r="X16" s="222"/>
      <c r="Y16" s="222">
        <f t="shared" si="0"/>
        <v>200079.32820649981</v>
      </c>
      <c r="Z16" s="222"/>
      <c r="AA16" s="222">
        <f t="shared" si="0"/>
        <v>207082.10469372728</v>
      </c>
      <c r="AB16" s="222"/>
      <c r="AC16" s="222">
        <f t="shared" si="0"/>
        <v>214329.97835800771</v>
      </c>
      <c r="AD16" s="222"/>
      <c r="AE16" s="222">
        <f t="shared" si="0"/>
        <v>221831.52760053796</v>
      </c>
      <c r="AF16" s="222"/>
      <c r="AG16" s="222">
        <f t="shared" si="0"/>
        <v>229595.63106655676</v>
      </c>
    </row>
    <row r="17" spans="1:33" s="210" customFormat="1" ht="14.25">
      <c r="A17" s="210" t="s">
        <v>561</v>
      </c>
      <c r="C17" s="233"/>
      <c r="E17" s="222">
        <f>Application!W855</f>
        <v>377500</v>
      </c>
      <c r="F17" s="222"/>
      <c r="G17" s="222">
        <f t="shared" si="0"/>
        <v>390712.49999999994</v>
      </c>
      <c r="H17" s="222"/>
      <c r="I17" s="222">
        <f t="shared" si="0"/>
        <v>404387.43749999988</v>
      </c>
      <c r="J17" s="222"/>
      <c r="K17" s="222">
        <f t="shared" si="0"/>
        <v>418540.99781249987</v>
      </c>
      <c r="L17" s="222"/>
      <c r="M17" s="222">
        <f t="shared" si="0"/>
        <v>433189.93273593736</v>
      </c>
      <c r="N17" s="222"/>
      <c r="O17" s="222">
        <f t="shared" si="0"/>
        <v>448351.58038169512</v>
      </c>
      <c r="P17" s="222"/>
      <c r="Q17" s="222">
        <f t="shared" si="0"/>
        <v>464043.88569505443</v>
      </c>
      <c r="R17" s="222"/>
      <c r="S17" s="222">
        <f t="shared" si="0"/>
        <v>480285.42169438128</v>
      </c>
      <c r="T17" s="222"/>
      <c r="U17" s="222">
        <f t="shared" si="0"/>
        <v>497095.41145368456</v>
      </c>
      <c r="V17" s="222"/>
      <c r="W17" s="222">
        <f t="shared" si="0"/>
        <v>514493.75085456349</v>
      </c>
      <c r="X17" s="222"/>
      <c r="Y17" s="222">
        <f t="shared" si="0"/>
        <v>532501.03213447321</v>
      </c>
      <c r="Z17" s="222"/>
      <c r="AA17" s="222">
        <f t="shared" si="0"/>
        <v>551138.56825917971</v>
      </c>
      <c r="AB17" s="222"/>
      <c r="AC17" s="222">
        <f t="shared" si="0"/>
        <v>570428.4181482509</v>
      </c>
      <c r="AD17" s="222"/>
      <c r="AE17" s="222">
        <f t="shared" si="0"/>
        <v>590393.41278343962</v>
      </c>
      <c r="AF17" s="222"/>
      <c r="AG17" s="222">
        <f t="shared" si="0"/>
        <v>611057.18223085999</v>
      </c>
    </row>
    <row r="18" spans="1:33" s="210" customFormat="1" ht="14.25">
      <c r="A18" s="210" t="s">
        <v>842</v>
      </c>
      <c r="C18" s="233"/>
      <c r="E18" s="222">
        <f>Application!W862</f>
        <v>304145</v>
      </c>
      <c r="F18" s="222"/>
      <c r="G18" s="222">
        <f t="shared" si="0"/>
        <v>314790.07499999995</v>
      </c>
      <c r="H18" s="222"/>
      <c r="I18" s="222">
        <f t="shared" si="0"/>
        <v>325807.72762499994</v>
      </c>
      <c r="J18" s="222"/>
      <c r="K18" s="222">
        <f t="shared" si="0"/>
        <v>337210.99809187494</v>
      </c>
      <c r="L18" s="222"/>
      <c r="M18" s="222">
        <f t="shared" si="0"/>
        <v>349013.38302509056</v>
      </c>
      <c r="N18" s="222"/>
      <c r="O18" s="222">
        <f t="shared" si="0"/>
        <v>361228.85143096867</v>
      </c>
      <c r="P18" s="222"/>
      <c r="Q18" s="222">
        <f t="shared" si="0"/>
        <v>373871.86123105255</v>
      </c>
      <c r="R18" s="222"/>
      <c r="S18" s="222">
        <f t="shared" si="0"/>
        <v>386957.37637413933</v>
      </c>
      <c r="T18" s="222"/>
      <c r="U18" s="222">
        <f t="shared" si="0"/>
        <v>400500.88454723416</v>
      </c>
      <c r="V18" s="222"/>
      <c r="W18" s="222">
        <f t="shared" si="0"/>
        <v>414518.4155063873</v>
      </c>
      <c r="X18" s="222"/>
      <c r="Y18" s="222">
        <f t="shared" si="0"/>
        <v>429026.56004911085</v>
      </c>
      <c r="Z18" s="222"/>
      <c r="AA18" s="222">
        <f t="shared" si="0"/>
        <v>444042.4896508297</v>
      </c>
      <c r="AB18" s="222"/>
      <c r="AC18" s="222">
        <f t="shared" si="0"/>
        <v>459583.97678860871</v>
      </c>
      <c r="AD18" s="222"/>
      <c r="AE18" s="222">
        <f t="shared" si="0"/>
        <v>475669.41597620997</v>
      </c>
      <c r="AF18" s="222"/>
      <c r="AG18" s="222">
        <f t="shared" si="0"/>
        <v>492317.84553537727</v>
      </c>
    </row>
    <row r="19" spans="1:33" s="210" customFormat="1" ht="14.25">
      <c r="A19" s="210" t="s">
        <v>155</v>
      </c>
      <c r="C19" s="233"/>
      <c r="E19" s="222">
        <f>Application!W863</f>
        <v>175000</v>
      </c>
      <c r="F19" s="222"/>
      <c r="G19" s="222">
        <f t="shared" si="0"/>
        <v>181125</v>
      </c>
      <c r="H19" s="222"/>
      <c r="I19" s="222">
        <f t="shared" si="0"/>
        <v>187464.375</v>
      </c>
      <c r="J19" s="222"/>
      <c r="K19" s="222">
        <f t="shared" si="0"/>
        <v>194025.62812499999</v>
      </c>
      <c r="L19" s="222"/>
      <c r="M19" s="222">
        <f t="shared" si="0"/>
        <v>200816.52510937498</v>
      </c>
      <c r="N19" s="222"/>
      <c r="O19" s="222">
        <f t="shared" si="0"/>
        <v>207845.10348820308</v>
      </c>
      <c r="P19" s="222"/>
      <c r="Q19" s="222">
        <f t="shared" si="0"/>
        <v>215119.68211029016</v>
      </c>
      <c r="R19" s="222"/>
      <c r="S19" s="222">
        <f t="shared" si="0"/>
        <v>222648.8709841503</v>
      </c>
      <c r="T19" s="222"/>
      <c r="U19" s="222">
        <f t="shared" si="0"/>
        <v>230441.58146859554</v>
      </c>
      <c r="V19" s="222"/>
      <c r="W19" s="222">
        <f t="shared" si="0"/>
        <v>238507.03681999637</v>
      </c>
      <c r="X19" s="222"/>
      <c r="Y19" s="222">
        <f t="shared" si="0"/>
        <v>246854.78310869623</v>
      </c>
      <c r="Z19" s="222"/>
      <c r="AA19" s="222">
        <f t="shared" si="0"/>
        <v>255494.70051750058</v>
      </c>
      <c r="AB19" s="222"/>
      <c r="AC19" s="222">
        <f t="shared" si="0"/>
        <v>264437.01503561309</v>
      </c>
      <c r="AD19" s="222"/>
      <c r="AE19" s="222">
        <f t="shared" si="0"/>
        <v>273692.31056185951</v>
      </c>
      <c r="AF19" s="222"/>
      <c r="AG19" s="222">
        <f t="shared" si="0"/>
        <v>283271.54143152456</v>
      </c>
    </row>
    <row r="20" spans="1:33" s="210" customFormat="1" ht="14.25">
      <c r="A20" s="210" t="s">
        <v>389</v>
      </c>
      <c r="C20" s="233"/>
      <c r="E20" s="222">
        <f>Application!W872</f>
        <v>136235</v>
      </c>
      <c r="F20" s="222"/>
      <c r="G20" s="222">
        <f t="shared" si="0"/>
        <v>141003.22499999998</v>
      </c>
      <c r="H20" s="222"/>
      <c r="I20" s="222">
        <f t="shared" si="0"/>
        <v>145938.33787499997</v>
      </c>
      <c r="J20" s="222"/>
      <c r="K20" s="222">
        <f t="shared" si="0"/>
        <v>151046.17970062495</v>
      </c>
      <c r="L20" s="222"/>
      <c r="M20" s="222">
        <f t="shared" si="0"/>
        <v>156332.79599014681</v>
      </c>
      <c r="N20" s="222"/>
      <c r="O20" s="222">
        <f t="shared" si="0"/>
        <v>161804.44384980193</v>
      </c>
      <c r="P20" s="222"/>
      <c r="Q20" s="222">
        <f t="shared" si="0"/>
        <v>167467.59938454497</v>
      </c>
      <c r="R20" s="222"/>
      <c r="S20" s="222">
        <f t="shared" si="0"/>
        <v>173328.96536300404</v>
      </c>
      <c r="T20" s="222"/>
      <c r="U20" s="222">
        <f t="shared" si="0"/>
        <v>179395.47915070917</v>
      </c>
      <c r="V20" s="222"/>
      <c r="W20" s="222">
        <f t="shared" si="0"/>
        <v>185674.32092098397</v>
      </c>
      <c r="X20" s="222"/>
      <c r="Y20" s="222">
        <f t="shared" si="0"/>
        <v>192172.92215321839</v>
      </c>
      <c r="Z20" s="222"/>
      <c r="AA20" s="222">
        <f t="shared" si="0"/>
        <v>198898.97442858102</v>
      </c>
      <c r="AB20" s="222"/>
      <c r="AC20" s="222">
        <f t="shared" si="0"/>
        <v>205860.43853358133</v>
      </c>
      <c r="AD20" s="222"/>
      <c r="AE20" s="222">
        <f t="shared" si="0"/>
        <v>213065.55388225665</v>
      </c>
      <c r="AF20" s="222"/>
      <c r="AG20" s="222">
        <f t="shared" si="0"/>
        <v>220522.8482681356</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1212220</v>
      </c>
      <c r="G22" s="223">
        <f>SUM(G15:G21)</f>
        <v>1254647.6999999997</v>
      </c>
      <c r="I22" s="223">
        <f>SUM(I15:I21)</f>
        <v>1298560.3694999998</v>
      </c>
      <c r="K22" s="223">
        <f>SUM(K15:K21)</f>
        <v>1344009.9824324998</v>
      </c>
      <c r="M22" s="223">
        <f>SUM(M15:M21)</f>
        <v>1391050.3318176372</v>
      </c>
      <c r="O22" s="223">
        <f>SUM(O15:O21)</f>
        <v>1439737.0934312544</v>
      </c>
      <c r="Q22" s="223">
        <f>SUM(Q15:Q21)</f>
        <v>1490127.8917013481</v>
      </c>
      <c r="S22" s="223">
        <f>SUM(S15:S21)</f>
        <v>1542282.367910895</v>
      </c>
      <c r="U22" s="223">
        <f>SUM(U15:U21)</f>
        <v>1596262.2507877764</v>
      </c>
      <c r="W22" s="223">
        <f>SUM(W15:W21)</f>
        <v>1652131.4295653482</v>
      </c>
      <c r="Y22" s="223">
        <f>SUM(Y15:Y21)</f>
        <v>1709956.0296001353</v>
      </c>
      <c r="AA22" s="223">
        <f>SUM(AA15:AA21)</f>
        <v>1769804.4906361399</v>
      </c>
      <c r="AC22" s="223">
        <f>SUM(AC15:AC21)</f>
        <v>1831747.6478084046</v>
      </c>
      <c r="AE22" s="223">
        <f>SUM(AE15:AE21)</f>
        <v>1895858.8154816986</v>
      </c>
      <c r="AG22" s="223">
        <f>SUM(AG15:AG21)</f>
        <v>1962213.8740235581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7">
        <v>1</v>
      </c>
      <c r="E24" s="910">
        <f>Application!AE402</f>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24360</v>
      </c>
      <c r="F27" s="222"/>
      <c r="G27" s="222">
        <f>E27*$C$27</f>
        <v>25212.6</v>
      </c>
      <c r="H27" s="222"/>
      <c r="I27" s="222">
        <f>G27*$C$27</f>
        <v>26095.040999999997</v>
      </c>
      <c r="J27" s="222"/>
      <c r="K27" s="222">
        <f>I27*$C$27</f>
        <v>27008.367434999996</v>
      </c>
      <c r="L27" s="222"/>
      <c r="M27" s="222">
        <f>K27*$C$27</f>
        <v>27953.660295224996</v>
      </c>
      <c r="N27" s="222"/>
      <c r="O27" s="222">
        <f>M27*$C$27</f>
        <v>28932.038405557869</v>
      </c>
      <c r="P27" s="222"/>
      <c r="Q27" s="222">
        <f>O27*$C$27</f>
        <v>29944.659749752391</v>
      </c>
      <c r="R27" s="222"/>
      <c r="S27" s="222">
        <f>Q27*$C$27</f>
        <v>30992.722840993723</v>
      </c>
      <c r="T27" s="222"/>
      <c r="U27" s="222">
        <f>S27*$C$27</f>
        <v>32077.4681404285</v>
      </c>
      <c r="V27" s="222"/>
      <c r="W27" s="222">
        <f>U27*$C$27</f>
        <v>33200.179525343498</v>
      </c>
      <c r="X27" s="222"/>
      <c r="Y27" s="222">
        <f>W27*$C$27</f>
        <v>34362.185808730515</v>
      </c>
      <c r="Z27" s="222"/>
      <c r="AA27" s="222">
        <f>Y27*$C$27</f>
        <v>35564.862312036079</v>
      </c>
      <c r="AB27" s="222"/>
      <c r="AC27" s="222">
        <f>AA27*$C$27</f>
        <v>36809.632492957338</v>
      </c>
      <c r="AD27" s="222"/>
      <c r="AE27" s="222">
        <f>AC27*$C$27</f>
        <v>38097.969630210842</v>
      </c>
      <c r="AF27" s="222"/>
      <c r="AG27" s="222">
        <f>AE27*$C$27</f>
        <v>39431.398567268217</v>
      </c>
    </row>
    <row r="28" spans="1:33" s="210" customFormat="1" ht="14.25">
      <c r="A28" s="210" t="s">
        <v>846</v>
      </c>
      <c r="C28" s="237"/>
      <c r="E28" s="222">
        <f>Application!AC889</f>
        <v>49750</v>
      </c>
      <c r="F28" s="222"/>
      <c r="G28" s="222">
        <f>$E$28</f>
        <v>49750</v>
      </c>
      <c r="H28" s="222"/>
      <c r="I28" s="222">
        <f>$E$28</f>
        <v>49750</v>
      </c>
      <c r="J28" s="222"/>
      <c r="K28" s="222">
        <f>$E$28</f>
        <v>49750</v>
      </c>
      <c r="L28" s="222"/>
      <c r="M28" s="222">
        <f>$E$28</f>
        <v>49750</v>
      </c>
      <c r="N28" s="222"/>
      <c r="O28" s="222">
        <f>$E$28</f>
        <v>49750</v>
      </c>
      <c r="P28" s="222"/>
      <c r="Q28" s="222">
        <f>$E$28</f>
        <v>49750</v>
      </c>
      <c r="R28" s="222"/>
      <c r="S28" s="222">
        <f>$E$28</f>
        <v>49750</v>
      </c>
      <c r="T28" s="222"/>
      <c r="U28" s="222">
        <f>$E$28</f>
        <v>49750</v>
      </c>
      <c r="V28" s="222"/>
      <c r="W28" s="222">
        <f>$E$28</f>
        <v>49750</v>
      </c>
      <c r="X28" s="222"/>
      <c r="Y28" s="222">
        <f>$E$28</f>
        <v>49750</v>
      </c>
      <c r="Z28" s="222"/>
      <c r="AA28" s="222">
        <f>$E$28</f>
        <v>49750</v>
      </c>
      <c r="AB28" s="222"/>
      <c r="AC28" s="222">
        <f>$E$28</f>
        <v>49750</v>
      </c>
      <c r="AD28" s="222"/>
      <c r="AE28" s="222">
        <f>$E$28</f>
        <v>49750</v>
      </c>
      <c r="AF28" s="222"/>
      <c r="AG28" s="222">
        <f>$E$28</f>
        <v>49750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12500</v>
      </c>
      <c r="F30" s="222"/>
      <c r="G30" s="222">
        <f>E30*$C$30</f>
        <v>12750</v>
      </c>
      <c r="H30" s="222"/>
      <c r="I30" s="222">
        <f>G30*$C$30</f>
        <v>13005</v>
      </c>
      <c r="J30" s="222"/>
      <c r="K30" s="222">
        <f>I30*$C$30</f>
        <v>13265.1</v>
      </c>
      <c r="L30" s="222"/>
      <c r="M30" s="222">
        <f>K30*$C$30</f>
        <v>13530.402</v>
      </c>
      <c r="N30" s="222"/>
      <c r="O30" s="222">
        <f>M30*$C$30</f>
        <v>13801.010040000001</v>
      </c>
      <c r="P30" s="222"/>
      <c r="Q30" s="222">
        <f>O30*$C$30</f>
        <v>14077.030240800001</v>
      </c>
      <c r="R30" s="222"/>
      <c r="S30" s="222">
        <f>Q30*$C$30</f>
        <v>14358.570845616001</v>
      </c>
      <c r="T30" s="222"/>
      <c r="U30" s="222">
        <f>S30*$C$30</f>
        <v>14645.742262528322</v>
      </c>
      <c r="V30" s="222"/>
      <c r="W30" s="222">
        <f>U30*$C$30</f>
        <v>14938.657107778889</v>
      </c>
      <c r="X30" s="222"/>
      <c r="Y30" s="222">
        <f>W30*$C$30</f>
        <v>15237.430249934467</v>
      </c>
      <c r="Z30" s="222"/>
      <c r="AA30" s="222">
        <f>Y30*$C$30</f>
        <v>15542.178854933156</v>
      </c>
      <c r="AB30" s="222"/>
      <c r="AC30" s="222">
        <f>AA30*$C$30</f>
        <v>15853.022432031819</v>
      </c>
      <c r="AD30" s="222"/>
      <c r="AE30" s="222">
        <f>AC30*$C$30</f>
        <v>16170.082880672457</v>
      </c>
      <c r="AF30" s="222"/>
      <c r="AG30" s="222">
        <f>AE30*$C$30</f>
        <v>16493.484538285906</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1298830</v>
      </c>
      <c r="G35" s="223">
        <f>SUM(G22:G33)</f>
        <v>1342360.2999999998</v>
      </c>
      <c r="I35" s="223">
        <f>SUM(I22:I33)</f>
        <v>1387410.4104999998</v>
      </c>
      <c r="K35" s="223">
        <f>SUM(K22:K33)</f>
        <v>1434033.4498674998</v>
      </c>
      <c r="M35" s="223">
        <f>SUM(M22:M33)</f>
        <v>1482284.3941128622</v>
      </c>
      <c r="O35" s="223">
        <f>SUM(O22:O33)</f>
        <v>1532220.1418768123</v>
      </c>
      <c r="Q35" s="223">
        <f>SUM(Q22:Q33)</f>
        <v>1583899.5816919005</v>
      </c>
      <c r="S35" s="223">
        <f>SUM(S22:S33)</f>
        <v>1637383.6615975047</v>
      </c>
      <c r="U35" s="223">
        <f>SUM(U22:U33)</f>
        <v>1692735.4611907331</v>
      </c>
      <c r="W35" s="223">
        <f>SUM(W22:W33)</f>
        <v>1750020.2661984705</v>
      </c>
      <c r="Y35" s="223">
        <f>SUM(Y22:Y33)</f>
        <v>1809305.6456588004</v>
      </c>
      <c r="AA35" s="223">
        <f>SUM(AA22:AA33)</f>
        <v>1870661.5318031092</v>
      </c>
      <c r="AC35" s="223">
        <f>SUM(AC22:AC33)</f>
        <v>1934160.3027333939</v>
      </c>
      <c r="AE35" s="223">
        <f>SUM(AE22:AE33)</f>
        <v>1999876.867992582</v>
      </c>
      <c r="AG35" s="223">
        <f>SUM(AG22:AG33)</f>
        <v>2067888.7571291123</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5393108.7000000002</v>
      </c>
      <c r="G37" s="223">
        <f>G11-G35</f>
        <v>5516876.8674999997</v>
      </c>
      <c r="I37" s="223">
        <f>I11-I35</f>
        <v>5643307.6861874983</v>
      </c>
      <c r="K37" s="223">
        <f>K11-K35</f>
        <v>5772452.599237185</v>
      </c>
      <c r="M37" s="223">
        <f>M11-M35</f>
        <v>5904363.80621944</v>
      </c>
      <c r="O37" s="223">
        <f>O11-O35</f>
        <v>6039094.2634637961</v>
      </c>
      <c r="Q37" s="223">
        <f>Q11-Q35</f>
        <v>6176697.6837822227</v>
      </c>
      <c r="S37" s="223">
        <f>S11-S35</f>
        <v>6317228.5355134718</v>
      </c>
      <c r="U37" s="223">
        <f>U11-U35</f>
        <v>6460742.0408480158</v>
      </c>
      <c r="W37" s="223">
        <f>W11-W35</f>
        <v>6607294.1733912472</v>
      </c>
      <c r="Y37" s="223">
        <f>Y11-Y35</f>
        <v>6756941.65492066</v>
      </c>
      <c r="AA37" s="223">
        <f>AA11-AA35</f>
        <v>6909741.9512908366</v>
      </c>
      <c r="AC37" s="223">
        <f>AC11-AC35</f>
        <v>7065753.2674379013</v>
      </c>
      <c r="AE37" s="223">
        <f>AE11-AE35</f>
        <v>7225034.5414329935</v>
      </c>
      <c r="AG37" s="223">
        <f>AG11-AG35</f>
        <v>7387645.4375321008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 xml:space="preserve">Citi Permanent Loan - Tax Exempt </v>
      </c>
      <c r="B40" s="226"/>
      <c r="C40" s="220"/>
      <c r="E40" s="222">
        <f>Application!AF627</f>
        <v>4676970.8858787296</v>
      </c>
      <c r="F40" s="222"/>
      <c r="G40" s="222">
        <f>$E$40</f>
        <v>4676970.8858787296</v>
      </c>
      <c r="H40" s="222"/>
      <c r="I40" s="222">
        <f>$E$40</f>
        <v>4676970.8858787296</v>
      </c>
      <c r="J40" s="222"/>
      <c r="K40" s="222">
        <f>$E$40</f>
        <v>4676970.8858787296</v>
      </c>
      <c r="L40" s="222"/>
      <c r="M40" s="222">
        <f>$E$40</f>
        <v>4676970.8858787296</v>
      </c>
      <c r="N40" s="222"/>
      <c r="O40" s="222">
        <f>$E$40</f>
        <v>4676970.8858787296</v>
      </c>
      <c r="P40" s="222"/>
      <c r="Q40" s="222">
        <f>$E$40</f>
        <v>4676970.8858787296</v>
      </c>
      <c r="R40" s="222"/>
      <c r="S40" s="222">
        <f>$E$40</f>
        <v>4676970.8858787296</v>
      </c>
      <c r="T40" s="222"/>
      <c r="U40" s="222">
        <f>$E$40</f>
        <v>4676970.8858787296</v>
      </c>
      <c r="V40" s="222"/>
      <c r="W40" s="222">
        <f>$E$40</f>
        <v>4676970.8858787296</v>
      </c>
      <c r="X40" s="222"/>
      <c r="Y40" s="222">
        <f>$E$40</f>
        <v>4676970.8858787296</v>
      </c>
      <c r="Z40" s="222"/>
      <c r="AA40" s="222">
        <f>$E$40</f>
        <v>4676970.8858787296</v>
      </c>
      <c r="AB40" s="222"/>
      <c r="AC40" s="222">
        <f>$E$40</f>
        <v>4676970.8858787296</v>
      </c>
      <c r="AD40" s="222"/>
      <c r="AE40" s="222">
        <f>$E$40</f>
        <v>4676970.8858787296</v>
      </c>
      <c r="AF40" s="222"/>
      <c r="AG40" s="222">
        <f>$E$40</f>
        <v>4676970.8858787296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4676970.8858787296</v>
      </c>
      <c r="G43" s="223">
        <f>SUM(G40:G42)</f>
        <v>4676970.8858787296</v>
      </c>
      <c r="I43" s="223">
        <f>SUM(I40:I42)</f>
        <v>4676970.8858787296</v>
      </c>
      <c r="K43" s="223">
        <f>SUM(K40:K42)</f>
        <v>4676970.8858787296</v>
      </c>
      <c r="M43" s="223">
        <f>SUM(M40:M42)</f>
        <v>4676970.8858787296</v>
      </c>
      <c r="O43" s="223">
        <f>SUM(O40:O42)</f>
        <v>4676970.8858787296</v>
      </c>
      <c r="Q43" s="223">
        <f>SUM(Q40:Q42)</f>
        <v>4676970.8858787296</v>
      </c>
      <c r="S43" s="223">
        <f>SUM(S40:S42)</f>
        <v>4676970.8858787296</v>
      </c>
      <c r="U43" s="223">
        <f>SUM(U40:U42)</f>
        <v>4676970.8858787296</v>
      </c>
      <c r="W43" s="223">
        <f>SUM(W40:W42)</f>
        <v>4676970.8858787296</v>
      </c>
      <c r="Y43" s="223">
        <f>SUM(Y40:Y42)</f>
        <v>4676970.8858787296</v>
      </c>
      <c r="AA43" s="223">
        <f>SUM(AA40:AA42)</f>
        <v>4676970.8858787296</v>
      </c>
      <c r="AC43" s="223">
        <f>SUM(AC40:AC42)</f>
        <v>4676970.8858787296</v>
      </c>
      <c r="AE43" s="223">
        <f>SUM(AE40:AE42)</f>
        <v>4676970.8858787296</v>
      </c>
      <c r="AG43" s="223">
        <f>SUM(AG40:AG42)</f>
        <v>4676970.8858787296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716137.81412127055</v>
      </c>
      <c r="G45" s="223">
        <f>G37-G43</f>
        <v>839905.98162127007</v>
      </c>
      <c r="I45" s="223">
        <f>I37-I43</f>
        <v>966336.80030876864</v>
      </c>
      <c r="K45" s="223">
        <f>K37-K43</f>
        <v>1095481.7133584553</v>
      </c>
      <c r="M45" s="223">
        <f>M37-M43</f>
        <v>1227392.9203407103</v>
      </c>
      <c r="O45" s="223">
        <f>O37-O43</f>
        <v>1362123.3775850665</v>
      </c>
      <c r="Q45" s="223">
        <f>Q37-Q43</f>
        <v>1499726.797903493</v>
      </c>
      <c r="S45" s="223">
        <f>S37-S43</f>
        <v>1640257.6496347422</v>
      </c>
      <c r="U45" s="223">
        <f>U37-U43</f>
        <v>1783771.1549692862</v>
      </c>
      <c r="W45" s="223">
        <f>W37-W43</f>
        <v>1930323.2875125175</v>
      </c>
      <c r="Y45" s="223">
        <f>Y37-Y43</f>
        <v>2079970.7690419303</v>
      </c>
      <c r="AA45" s="223">
        <f>AA37-AA43</f>
        <v>2232771.0654121069</v>
      </c>
      <c r="AC45" s="223">
        <f>AC37-AC43</f>
        <v>2388782.3815591717</v>
      </c>
      <c r="AE45" s="223">
        <f>AE37-AE43</f>
        <v>2548063.6555542639</v>
      </c>
      <c r="AG45" s="223">
        <f>AG37-AG43</f>
        <v>2710674.5516533712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0.10166424916821294</v>
      </c>
      <c r="G47" s="227">
        <f>G45/(G4+G6+G8)</f>
        <v>0.11632644608365725</v>
      </c>
      <c r="I47" s="227">
        <f>I45/(I4+I6+I8)</f>
        <v>0.13057271642363993</v>
      </c>
      <c r="K47" s="227">
        <f>K45/(K4+K6+K8)</f>
        <v>0.14441263336932808</v>
      </c>
      <c r="M47" s="227">
        <f>M45/(M4+M6+M8)</f>
        <v>0.15785553104738617</v>
      </c>
      <c r="O47" s="227">
        <f>O45/(O4+O6+O8)</f>
        <v>0.1709105103062484</v>
      </c>
      <c r="Q47" s="227">
        <f>Q45/(Q4+Q6+Q8)</f>
        <v>0.18358644435097818</v>
      </c>
      <c r="S47" s="227">
        <f>S45/(S4+S6+S8)</f>
        <v>0.19589198424015464</v>
      </c>
      <c r="U47" s="227">
        <f>U45/(U4+U6+U8)</f>
        <v>0.20783556424815022</v>
      </c>
      <c r="W47" s="227">
        <f>W45/(W4+W6+W8)</f>
        <v>0.21942540709607644</v>
      </c>
      <c r="Y47" s="227">
        <f>Y45/(Y4+Y6+Y8)</f>
        <v>0.23066952905459201</v>
      </c>
      <c r="AA47" s="227">
        <f>AA45/(AA4+AA6+AA8)</f>
        <v>0.24157574492169914</v>
      </c>
      <c r="AC47" s="227">
        <f>AC45/(AC4+AC6+AC8)</f>
        <v>0.2521516728785676</v>
      </c>
      <c r="AE47" s="227">
        <f>AE45/(AE4+AE6+AE8)</f>
        <v>0.2624047392263556</v>
      </c>
      <c r="AG47" s="227">
        <f>AG45/(AG4+AG6+AG8)</f>
        <v>0.27234218300692936</v>
      </c>
    </row>
    <row r="48" spans="1:33" s="227" customFormat="1" ht="14.25">
      <c r="A48" s="227" t="s">
        <v>852</v>
      </c>
      <c r="C48" s="220"/>
      <c r="E48" s="227">
        <f>E45/E43</f>
        <v>0.15312000685818242</v>
      </c>
      <c r="G48" s="227">
        <f>G45/G43</f>
        <v>0.17958332478767716</v>
      </c>
      <c r="I48" s="227">
        <f>I45/I43</f>
        <v>0.20661595376324629</v>
      </c>
      <c r="K48" s="227">
        <f>K45/K43</f>
        <v>0.23422889303546124</v>
      </c>
      <c r="M48" s="227">
        <f>M45/M43</f>
        <v>0.26243330358258204</v>
      </c>
      <c r="O48" s="227">
        <f>O45/O43</f>
        <v>0.29124050818827041</v>
      </c>
      <c r="Q48" s="227">
        <f>Q45/Q43</f>
        <v>0.32066199138242396</v>
      </c>
      <c r="S48" s="227">
        <f>S45/S43</f>
        <v>0.35070939923684463</v>
      </c>
      <c r="U48" s="227">
        <f>U45/U43</f>
        <v>0.38139453900708714</v>
      </c>
      <c r="W48" s="227">
        <f>W45/W43</f>
        <v>0.4127293786114386</v>
      </c>
      <c r="Y48" s="227">
        <f>Y45/Y43</f>
        <v>0.4447260459375591</v>
      </c>
      <c r="AA48" s="227">
        <f>AA45/AA43</f>
        <v>0.47739682796691263</v>
      </c>
      <c r="AC48" s="227">
        <f>AC45/AC43</f>
        <v>0.51075416970665122</v>
      </c>
      <c r="AE48" s="227">
        <f>AE45/AE43</f>
        <v>0.54481067291816643</v>
      </c>
      <c r="AG48" s="227">
        <f>AG45/AG43</f>
        <v>0.5795790946310494</v>
      </c>
    </row>
    <row r="49" spans="1:34" s="228" customFormat="1" ht="14.25">
      <c r="A49" s="228" t="s">
        <v>850</v>
      </c>
      <c r="C49" s="229"/>
      <c r="E49" s="228">
        <f>E37/E43</f>
        <v>1.1531200068581824</v>
      </c>
      <c r="G49" s="228">
        <f>G37/G43</f>
        <v>1.1795833247876772</v>
      </c>
      <c r="I49" s="228">
        <f>I37/I43</f>
        <v>1.2066159537632464</v>
      </c>
      <c r="K49" s="228">
        <f>K37/K43</f>
        <v>1.2342288930354612</v>
      </c>
      <c r="M49" s="228">
        <f>M37/M43</f>
        <v>1.2624333035825821</v>
      </c>
      <c r="O49" s="228">
        <f>O37/O43</f>
        <v>1.2912405081882705</v>
      </c>
      <c r="Q49" s="228">
        <f>Q37/Q43</f>
        <v>1.320661991382424</v>
      </c>
      <c r="S49" s="228">
        <f>S37/S43</f>
        <v>1.3507093992368446</v>
      </c>
      <c r="U49" s="228">
        <f>U37/U43</f>
        <v>1.3813945390070872</v>
      </c>
      <c r="W49" s="228">
        <f>W37/W43</f>
        <v>1.4127293786114385</v>
      </c>
      <c r="Y49" s="228">
        <f>Y37/Y43</f>
        <v>1.444726045937559</v>
      </c>
      <c r="AA49" s="228">
        <f>AA37/AA43</f>
        <v>1.4773968279669127</v>
      </c>
      <c r="AC49" s="228">
        <f>AC37/AC43</f>
        <v>1.5107541697066513</v>
      </c>
      <c r="AE49" s="228">
        <f>AE37/AE43</f>
        <v>1.5448106729181665</v>
      </c>
      <c r="AG49" s="228">
        <f>AG37/AG43</f>
        <v>1.5795790946310495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1184</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45000</v>
      </c>
      <c r="G53" s="960">
        <f>E53*$C$53</f>
        <v>46350</v>
      </c>
      <c r="I53" s="960">
        <f>G53*$C$53</f>
        <v>47740.5</v>
      </c>
      <c r="K53" s="960">
        <f>I53*$C$53</f>
        <v>49172.715000000004</v>
      </c>
      <c r="M53" s="960">
        <f>K53*$C$53</f>
        <v>50647.896450000007</v>
      </c>
      <c r="O53" s="960">
        <f>M53*$C$53</f>
        <v>52167.33334350001</v>
      </c>
      <c r="Q53" s="960">
        <f>O53*$C$53</f>
        <v>53732.353343805014</v>
      </c>
      <c r="S53" s="960">
        <f>Q53*$C$53</f>
        <v>55344.323944119169</v>
      </c>
      <c r="U53" s="960">
        <f>S53*$C$53</f>
        <v>57004.653662442746</v>
      </c>
      <c r="W53" s="960">
        <f>U53*$C$53</f>
        <v>58714.793272316027</v>
      </c>
      <c r="Y53" s="960">
        <f>W53*$C$53</f>
        <v>60476.237070485506</v>
      </c>
      <c r="AA53" s="960">
        <f>Y53*$C$53</f>
        <v>62290.524182600071</v>
      </c>
      <c r="AC53" s="960">
        <f>AA53*$C$53</f>
        <v>64159.239908078074</v>
      </c>
      <c r="AE53" s="960">
        <f>AC53*$C$53</f>
        <v>66084.017105320425</v>
      </c>
      <c r="AG53" s="960">
        <f>AE53*$C$53</f>
        <v>68066.537618480041</v>
      </c>
    </row>
    <row r="54" spans="1:34" s="3" customFormat="1">
      <c r="A54" s="3" t="s">
        <v>855</v>
      </c>
      <c r="C54" s="958">
        <v>1.03</v>
      </c>
      <c r="E54" s="965">
        <v>15000</v>
      </c>
      <c r="F54" s="960"/>
      <c r="G54" s="960">
        <f t="shared" ref="G54:AG57" si="1">E54*$C$53</f>
        <v>15450</v>
      </c>
      <c r="H54" s="960"/>
      <c r="I54" s="960">
        <f t="shared" si="1"/>
        <v>15913.5</v>
      </c>
      <c r="J54" s="960"/>
      <c r="K54" s="960">
        <f t="shared" si="1"/>
        <v>16390.904999999999</v>
      </c>
      <c r="L54" s="960"/>
      <c r="M54" s="960">
        <f t="shared" si="1"/>
        <v>16882.632149999998</v>
      </c>
      <c r="N54" s="960"/>
      <c r="O54" s="960">
        <f t="shared" si="1"/>
        <v>17389.1111145</v>
      </c>
      <c r="P54" s="960"/>
      <c r="Q54" s="960">
        <f t="shared" si="1"/>
        <v>17910.784447934999</v>
      </c>
      <c r="R54" s="960"/>
      <c r="S54" s="960">
        <f t="shared" si="1"/>
        <v>18448.10798137305</v>
      </c>
      <c r="T54" s="960"/>
      <c r="U54" s="960">
        <f t="shared" si="1"/>
        <v>19001.551220814243</v>
      </c>
      <c r="V54" s="960"/>
      <c r="W54" s="960">
        <f t="shared" si="1"/>
        <v>19571.597757438671</v>
      </c>
      <c r="X54" s="960"/>
      <c r="Y54" s="960">
        <f t="shared" si="1"/>
        <v>20158.745690161832</v>
      </c>
      <c r="Z54" s="960"/>
      <c r="AA54" s="960">
        <f t="shared" si="1"/>
        <v>20763.508060866687</v>
      </c>
      <c r="AB54" s="960"/>
      <c r="AC54" s="960">
        <f t="shared" si="1"/>
        <v>21386.413302692687</v>
      </c>
      <c r="AD54" s="960"/>
      <c r="AE54" s="960">
        <f t="shared" si="1"/>
        <v>22028.005701773469</v>
      </c>
      <c r="AF54" s="960"/>
      <c r="AG54" s="960">
        <f t="shared" si="1"/>
        <v>22688.845872826674</v>
      </c>
      <c r="AH54" s="960"/>
    </row>
    <row r="55" spans="1:34" s="3" customFormat="1">
      <c r="A55" s="3" t="s">
        <v>856</v>
      </c>
      <c r="C55" s="958">
        <v>1.03</v>
      </c>
      <c r="E55" s="965">
        <v>75000</v>
      </c>
      <c r="F55" s="960"/>
      <c r="G55" s="960">
        <f t="shared" si="1"/>
        <v>77250</v>
      </c>
      <c r="H55" s="960"/>
      <c r="I55" s="960">
        <f t="shared" si="1"/>
        <v>79567.5</v>
      </c>
      <c r="J55" s="960"/>
      <c r="K55" s="960">
        <f t="shared" si="1"/>
        <v>81954.525000000009</v>
      </c>
      <c r="L55" s="960"/>
      <c r="M55" s="960">
        <f t="shared" si="1"/>
        <v>84413.16075000001</v>
      </c>
      <c r="N55" s="960"/>
      <c r="O55" s="960">
        <f t="shared" si="1"/>
        <v>86945.555572500016</v>
      </c>
      <c r="P55" s="960"/>
      <c r="Q55" s="960">
        <f t="shared" si="1"/>
        <v>89553.922239675012</v>
      </c>
      <c r="R55" s="960"/>
      <c r="S55" s="960">
        <f t="shared" si="1"/>
        <v>92240.539906865262</v>
      </c>
      <c r="T55" s="960"/>
      <c r="U55" s="960">
        <f t="shared" si="1"/>
        <v>95007.756104071217</v>
      </c>
      <c r="V55" s="960"/>
      <c r="W55" s="960">
        <f t="shared" si="1"/>
        <v>97857.988787193361</v>
      </c>
      <c r="X55" s="960"/>
      <c r="Y55" s="960">
        <f t="shared" si="1"/>
        <v>100793.72845080917</v>
      </c>
      <c r="Z55" s="960"/>
      <c r="AA55" s="960">
        <f t="shared" si="1"/>
        <v>103817.54030433345</v>
      </c>
      <c r="AB55" s="960"/>
      <c r="AC55" s="960">
        <f t="shared" si="1"/>
        <v>106932.06651346346</v>
      </c>
      <c r="AD55" s="960"/>
      <c r="AE55" s="960">
        <f t="shared" si="1"/>
        <v>110140.02850886737</v>
      </c>
      <c r="AF55" s="960"/>
      <c r="AG55" s="960">
        <f t="shared" si="1"/>
        <v>113444.2293641334</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135000</v>
      </c>
      <c r="F58" s="960"/>
      <c r="G58" s="960">
        <f>SUM(G53:G57)</f>
        <v>139050</v>
      </c>
      <c r="H58" s="960"/>
      <c r="I58" s="960">
        <f>SUM(I53:I57)</f>
        <v>143221.5</v>
      </c>
      <c r="J58" s="960"/>
      <c r="K58" s="960">
        <f>SUM(K53:K57)</f>
        <v>147518.14500000002</v>
      </c>
      <c r="L58" s="960"/>
      <c r="M58" s="960">
        <f>SUM(M53:M57)</f>
        <v>151943.68935</v>
      </c>
      <c r="N58" s="960"/>
      <c r="O58" s="960">
        <f>SUM(O53:O57)</f>
        <v>156502.00003050003</v>
      </c>
      <c r="P58" s="960"/>
      <c r="Q58" s="960">
        <f>SUM(Q53:Q57)</f>
        <v>161197.06003141502</v>
      </c>
      <c r="R58" s="960"/>
      <c r="S58" s="960">
        <f>SUM(S53:S57)</f>
        <v>166032.97183235746</v>
      </c>
      <c r="T58" s="960"/>
      <c r="U58" s="960">
        <f>SUM(U53:U57)</f>
        <v>171013.9609873282</v>
      </c>
      <c r="V58" s="960"/>
      <c r="W58" s="960">
        <f>SUM(W53:W57)</f>
        <v>176144.37981694806</v>
      </c>
      <c r="X58" s="960"/>
      <c r="Y58" s="960">
        <f>SUM(Y53:Y57)</f>
        <v>181428.71121145651</v>
      </c>
      <c r="Z58" s="960"/>
      <c r="AA58" s="960">
        <f>SUM(AA53:AA57)</f>
        <v>186871.5725478002</v>
      </c>
      <c r="AB58" s="960"/>
      <c r="AC58" s="960">
        <f>SUM(AC53:AC57)</f>
        <v>192477.71972423422</v>
      </c>
      <c r="AD58" s="960"/>
      <c r="AE58" s="960">
        <f>SUM(AE53:AE57)</f>
        <v>198252.05131596126</v>
      </c>
      <c r="AF58" s="960"/>
      <c r="AG58" s="960">
        <f>SUM(AG53:AG57)</f>
        <v>204199.61285544012</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f>Application!AO629</f>
        <v>10714698</v>
      </c>
      <c r="E60" s="962">
        <f>E45-E58</f>
        <v>581137.81412127055</v>
      </c>
      <c r="G60" s="962">
        <f>G45-G58</f>
        <v>700855.98162127007</v>
      </c>
      <c r="I60" s="962">
        <f>I45-I58</f>
        <v>823115.30030876864</v>
      </c>
      <c r="K60" s="962">
        <f>K45-K58</f>
        <v>947963.56835845532</v>
      </c>
      <c r="M60" s="962">
        <f>M45-M58</f>
        <v>1075449.2309907102</v>
      </c>
      <c r="O60" s="962">
        <f>O45-O58</f>
        <v>1205621.3775545664</v>
      </c>
      <c r="Q60" s="962">
        <f>Q45-Q58</f>
        <v>1338529.7378720781</v>
      </c>
      <c r="S60" s="962">
        <f>S45-S58</f>
        <v>1474224.6778023848</v>
      </c>
      <c r="U60" s="962">
        <f>U45-U58</f>
        <v>1612757.1939819581</v>
      </c>
      <c r="W60" s="962">
        <f>W45-W58</f>
        <v>1754178.9076955696</v>
      </c>
      <c r="Y60" s="962">
        <f>Y45-Y58</f>
        <v>1898542.0578304739</v>
      </c>
      <c r="AA60" s="962">
        <f>AA45-AA58</f>
        <v>2045899.4928643068</v>
      </c>
      <c r="AC60" s="962">
        <f>AC45-AC58</f>
        <v>2196304.6618349375</v>
      </c>
      <c r="AE60" s="962">
        <f>AE45-AE58</f>
        <v>2349811.6042383024</v>
      </c>
      <c r="AG60" s="962">
        <f>AG45-AG58</f>
        <v>2506474.9387979312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581137.81412127055</v>
      </c>
      <c r="G62" s="962">
        <f>G60*$C$62</f>
        <v>700855.98162127007</v>
      </c>
      <c r="I62" s="962">
        <f>I60*$C$62</f>
        <v>823115.30030876864</v>
      </c>
      <c r="K62" s="962">
        <f>K60*$C$62</f>
        <v>947963.56835845532</v>
      </c>
      <c r="M62" s="962">
        <f>M60*$C$62</f>
        <v>1075449.2309907102</v>
      </c>
      <c r="O62" s="962">
        <f>O60*$C$62</f>
        <v>1205621.3775545664</v>
      </c>
      <c r="Q62" s="962">
        <f>Q60*$C$62</f>
        <v>1338529.7378720781</v>
      </c>
      <c r="S62" s="962">
        <f>S60*$C$62</f>
        <v>1474224.6778023848</v>
      </c>
      <c r="U62" s="962">
        <f>U60*$C$62</f>
        <v>1612757.1939819581</v>
      </c>
      <c r="W62" s="962">
        <f>C60-SUM(E62:U62)</f>
        <v>955043.11738853715</v>
      </c>
      <c r="Y62" s="962">
        <v>0</v>
      </c>
      <c r="AA62" s="962">
        <v>0</v>
      </c>
      <c r="AC62" s="962">
        <v>0</v>
      </c>
      <c r="AE62" s="962">
        <v>0</v>
      </c>
      <c r="AG62" s="962">
        <v>0</v>
      </c>
    </row>
    <row r="63" spans="1:34" s="962" customFormat="1">
      <c r="A63" s="2689" t="s">
        <v>2744</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2743</v>
      </c>
      <c r="C66" s="963">
        <v>50</v>
      </c>
      <c r="E66" s="964" t="str">
        <f>IF(E60=E62,"",E60*C65)</f>
        <v/>
      </c>
      <c r="G66" s="960">
        <f>IF(G60=G62,0,((G60-G62)*$C$65))</f>
        <v>0</v>
      </c>
      <c r="I66" s="960">
        <f>IF(I60=I62,0,((I60-I62)*$C$65))</f>
        <v>0</v>
      </c>
      <c r="K66" s="960">
        <f>IF(K60=K62,0,((K60-K62)*$C$65))</f>
        <v>0</v>
      </c>
      <c r="M66" s="960">
        <f>IF(M60=M62,0,((M60-M62)*$C$65))</f>
        <v>0</v>
      </c>
      <c r="N66" s="960"/>
      <c r="O66" s="960">
        <f>IF(O60=O62,0,((O60-O62)*$C$65))</f>
        <v>0</v>
      </c>
      <c r="Q66" s="960">
        <f>IF(Q60=Q62,0,((Q60-Q62)*$C$65))</f>
        <v>0</v>
      </c>
      <c r="S66" s="960">
        <f>IF(S60=S62,0,((S60-S62)*$C$65))</f>
        <v>0</v>
      </c>
      <c r="U66" s="960">
        <f>IF(U60=U62,0,((U60-U62)*$C$65))</f>
        <v>0</v>
      </c>
      <c r="W66" s="960">
        <f>IF(W60=W62,0,((W60-W62)*$C$65))</f>
        <v>399567.89515351621</v>
      </c>
      <c r="Y66" s="960">
        <f>IF(Y60=Y62,0,((Y60-Y62)*$C$65))</f>
        <v>949271.02891523694</v>
      </c>
      <c r="AA66" s="960">
        <f>IF(AA60=AA62,0,((AA60-AA62)*$C$65))</f>
        <v>1022949.7464321534</v>
      </c>
      <c r="AC66" s="960">
        <f>IF(AC60=AC62,0,((AC60-AC62)*$C$65))</f>
        <v>1098152.3309174688</v>
      </c>
      <c r="AE66" s="960">
        <f>IF(AE60=AE62,0,((AE60-AE62)*$C$65))</f>
        <v>1174905.8021191512</v>
      </c>
      <c r="AG66" s="960">
        <f>IF(AG60=AG62,0,((AG60-AG62)*$C$65))</f>
        <v>1253237.4693989656</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399567.89515351621</v>
      </c>
      <c r="Y70" s="960">
        <f>SUM(Y66:Y69)</f>
        <v>949271.02891523694</v>
      </c>
      <c r="AA70" s="960">
        <f>SUM(AA66:AA69)</f>
        <v>1022949.7464321534</v>
      </c>
      <c r="AC70" s="960">
        <f>SUM(AC66:AC69)</f>
        <v>1098152.3309174688</v>
      </c>
      <c r="AE70" s="960">
        <f>SUM(AE66:AE69)</f>
        <v>1174905.8021191512</v>
      </c>
      <c r="AG70" s="960">
        <f>SUM(AG66:AG69)</f>
        <v>1253237.4693989656</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399567.89515351621</v>
      </c>
      <c r="Y72" s="962">
        <f>Y60-Y62-Y70</f>
        <v>949271.02891523694</v>
      </c>
      <c r="AA72" s="962">
        <f>AA60-AA62-AA70</f>
        <v>1022949.7464321534</v>
      </c>
      <c r="AC72" s="962">
        <f>AC60-AC62-AC70</f>
        <v>1098152.3309174688</v>
      </c>
      <c r="AE72" s="962">
        <f>AE60-AE62-AE70</f>
        <v>1174905.8021191512</v>
      </c>
      <c r="AG72" s="962">
        <f>AG60-AG62-AG70</f>
        <v>1253237.4693989656</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7467500</v>
      </c>
      <c r="C5" s="266">
        <f>'Sources and Uses Budget'!$C4</f>
        <v>7467500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50000</v>
      </c>
      <c r="C7" s="266">
        <f>'Sources and Uses Budget'!$C6</f>
        <v>50000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7517500</v>
      </c>
      <c r="C9" s="270">
        <f>SUM(C5:C8)</f>
        <v>7517500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7517500</v>
      </c>
      <c r="C13" s="270">
        <f>SUM(C9+C12)</f>
        <v>7517500</v>
      </c>
      <c r="D13" s="270">
        <f t="shared" si="0"/>
        <v>0</v>
      </c>
      <c r="E13" s="268"/>
      <c r="F13" s="267"/>
    </row>
    <row r="14" spans="1:6" s="352" customFormat="1">
      <c r="A14" s="366" t="s">
        <v>902</v>
      </c>
      <c r="B14" s="266">
        <f>'Sources and Uses Budget'!$C13</f>
        <v>563600</v>
      </c>
      <c r="C14" s="266">
        <f>'Sources and Uses Budget'!$C13</f>
        <v>563600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7846158</v>
      </c>
      <c r="C30" s="266">
        <f>'Sources and Uses Budget'!$C29</f>
        <v>7846158</v>
      </c>
      <c r="D30" s="270">
        <f t="shared" si="0"/>
        <v>0</v>
      </c>
      <c r="E30" s="268"/>
      <c r="F30" s="267"/>
    </row>
    <row r="31" spans="1:6" s="352" customFormat="1">
      <c r="A31" s="145" t="s">
        <v>599</v>
      </c>
      <c r="B31" s="266">
        <f>'Sources and Uses Budget'!$C30</f>
        <v>69825000</v>
      </c>
      <c r="C31" s="266">
        <f>'Sources and Uses Budget'!$C30</f>
        <v>69825000</v>
      </c>
      <c r="D31" s="270">
        <f t="shared" si="0"/>
        <v>0</v>
      </c>
      <c r="E31" s="268"/>
      <c r="F31" s="267"/>
    </row>
    <row r="32" spans="1:6" s="352" customFormat="1">
      <c r="A32" s="145" t="s">
        <v>600</v>
      </c>
      <c r="B32" s="266">
        <f>'Sources and Uses Budget'!$C31</f>
        <v>1263400</v>
      </c>
      <c r="C32" s="266">
        <f>'Sources and Uses Budget'!$C31</f>
        <v>1263400</v>
      </c>
      <c r="D32" s="270">
        <f t="shared" si="0"/>
        <v>0</v>
      </c>
      <c r="E32" s="268"/>
      <c r="F32" s="267"/>
    </row>
    <row r="33" spans="1:6" s="352" customFormat="1">
      <c r="A33" s="145" t="s">
        <v>137</v>
      </c>
      <c r="B33" s="266">
        <f>'Sources and Uses Budget'!$C32</f>
        <v>1263400</v>
      </c>
      <c r="C33" s="266">
        <f>'Sources and Uses Budget'!$C32</f>
        <v>1263400</v>
      </c>
      <c r="D33" s="270">
        <f t="shared" si="0"/>
        <v>0</v>
      </c>
      <c r="E33" s="268"/>
      <c r="F33" s="267"/>
    </row>
    <row r="34" spans="1:6" s="352" customFormat="1">
      <c r="A34" s="145" t="s">
        <v>138</v>
      </c>
      <c r="B34" s="266">
        <f>'Sources and Uses Budget'!$C33</f>
        <v>2322456</v>
      </c>
      <c r="C34" s="266">
        <f>'Sources and Uses Budget'!$C33</f>
        <v>2322456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425744</v>
      </c>
      <c r="C36" s="266">
        <f>'Sources and Uses Budget'!$C35</f>
        <v>425744</v>
      </c>
      <c r="D36" s="270">
        <f t="shared" si="0"/>
        <v>0</v>
      </c>
      <c r="E36" s="268"/>
      <c r="F36" s="267"/>
    </row>
    <row r="37" spans="1:6" s="352" customFormat="1">
      <c r="A37" s="283" t="s">
        <v>1640</v>
      </c>
      <c r="B37" s="266">
        <f>'Sources and Uses Budget'!$C36</f>
        <v>450000</v>
      </c>
      <c r="C37" s="266">
        <f>'Sources and Uses Budget'!$C36</f>
        <v>450000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83396158</v>
      </c>
      <c r="C39" s="270">
        <f>SUM(C30:C38)</f>
        <v>83396158</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2246590</v>
      </c>
      <c r="C41" s="266">
        <f>'Sources and Uses Budget'!$C40</f>
        <v>2246590</v>
      </c>
      <c r="D41" s="270">
        <f t="shared" si="0"/>
        <v>0</v>
      </c>
      <c r="E41" s="268"/>
      <c r="F41" s="267"/>
    </row>
    <row r="42" spans="1:6" s="352" customFormat="1">
      <c r="A42" s="269" t="s">
        <v>146</v>
      </c>
      <c r="B42" s="266">
        <f>'Sources and Uses Budget'!$C41</f>
        <v>750000</v>
      </c>
      <c r="C42" s="266">
        <f>'Sources and Uses Budget'!$C41</f>
        <v>750000</v>
      </c>
      <c r="D42" s="270">
        <f t="shared" si="0"/>
        <v>0</v>
      </c>
      <c r="E42" s="268"/>
      <c r="F42" s="267"/>
    </row>
    <row r="43" spans="1:6" s="352" customFormat="1">
      <c r="A43" s="271" t="s">
        <v>147</v>
      </c>
      <c r="B43" s="270">
        <f>SUM(B41:B42)</f>
        <v>2996590</v>
      </c>
      <c r="C43" s="270">
        <f>SUM(C41:C42)</f>
        <v>2996590</v>
      </c>
      <c r="D43" s="270">
        <f t="shared" si="0"/>
        <v>0</v>
      </c>
      <c r="E43" s="268"/>
      <c r="F43" s="267"/>
    </row>
    <row r="44" spans="1:6" s="352" customFormat="1">
      <c r="A44" s="271" t="s">
        <v>148</v>
      </c>
      <c r="B44" s="266">
        <f>'Sources and Uses Budget'!$C43</f>
        <v>1764726</v>
      </c>
      <c r="C44" s="266">
        <f>'Sources and Uses Budget'!$C43</f>
        <v>1764726</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11380839</v>
      </c>
      <c r="C46" s="266">
        <f>'Sources and Uses Budget'!$C45</f>
        <v>11380839</v>
      </c>
      <c r="D46" s="270">
        <f t="shared" si="0"/>
        <v>0</v>
      </c>
      <c r="E46" s="268"/>
      <c r="F46" s="267"/>
    </row>
    <row r="47" spans="1:6" s="352" customFormat="1">
      <c r="A47" s="145" t="s">
        <v>151</v>
      </c>
      <c r="B47" s="266">
        <f>'Sources and Uses Budget'!$C46</f>
        <v>1080000</v>
      </c>
      <c r="C47" s="266">
        <f>'Sources and Uses Budget'!$C46</f>
        <v>1080000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650000</v>
      </c>
      <c r="C49" s="266">
        <f>'Sources and Uses Budget'!$C48</f>
        <v>650000</v>
      </c>
      <c r="D49" s="270">
        <f t="shared" si="0"/>
        <v>0</v>
      </c>
      <c r="E49" s="268"/>
      <c r="F49" s="267"/>
    </row>
    <row r="50" spans="1:6" s="352" customFormat="1">
      <c r="A50" s="145" t="s">
        <v>57</v>
      </c>
      <c r="B50" s="266">
        <f>'Sources and Uses Budget'!$C49</f>
        <v>540000</v>
      </c>
      <c r="C50" s="266">
        <f>'Sources and Uses Budget'!$C49</f>
        <v>540000</v>
      </c>
      <c r="D50" s="270">
        <f t="shared" si="0"/>
        <v>0</v>
      </c>
      <c r="E50" s="268"/>
      <c r="F50" s="267"/>
    </row>
    <row r="51" spans="1:6" s="352" customFormat="1">
      <c r="A51" s="145" t="s">
        <v>156</v>
      </c>
      <c r="B51" s="266">
        <f>'Sources and Uses Budget'!$C50</f>
        <v>150000</v>
      </c>
      <c r="C51" s="266">
        <f>'Sources and Uses Budget'!$C50</f>
        <v>150000</v>
      </c>
      <c r="D51" s="270">
        <f t="shared" si="0"/>
        <v>0</v>
      </c>
      <c r="E51" s="268"/>
      <c r="F51" s="267"/>
    </row>
    <row r="52" spans="1:6" s="352" customFormat="1">
      <c r="A52" s="283" t="s">
        <v>154</v>
      </c>
      <c r="B52" s="266">
        <f>'Sources and Uses Budget'!$C51</f>
        <v>250000</v>
      </c>
      <c r="C52" s="266">
        <f>'Sources and Uses Budget'!$C51</f>
        <v>250000</v>
      </c>
      <c r="D52" s="270">
        <f t="shared" si="0"/>
        <v>0</v>
      </c>
      <c r="E52" s="268"/>
      <c r="F52" s="267"/>
    </row>
    <row r="53" spans="1:6" s="352" customFormat="1">
      <c r="A53" s="145" t="s">
        <v>155</v>
      </c>
      <c r="B53" s="266">
        <f>'Sources and Uses Budget'!$C52</f>
        <v>1500000</v>
      </c>
      <c r="C53" s="266">
        <f>'Sources and Uses Budget'!$C52</f>
        <v>1500000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15550839</v>
      </c>
      <c r="C55" s="273">
        <f>SUM(C46:C54)</f>
        <v>15550839</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55000</v>
      </c>
      <c r="C57" s="266">
        <f>'Sources and Uses Budget'!$C56</f>
        <v>55000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281250</v>
      </c>
      <c r="C60" s="266">
        <f>'Sources and Uses Budget'!$C59</f>
        <v>281250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386250</v>
      </c>
      <c r="C63" s="270">
        <f>SUM(C57:C62)</f>
        <v>386250</v>
      </c>
      <c r="D63" s="270">
        <f t="shared" si="0"/>
        <v>0</v>
      </c>
      <c r="E63" s="268"/>
      <c r="F63" s="267"/>
    </row>
    <row r="64" spans="1:6" s="352" customFormat="1">
      <c r="A64" s="274" t="s">
        <v>301</v>
      </c>
      <c r="B64" s="270">
        <f>SUM(B9+B12+B14+B15+B17+B26+B28+B39+B43+B44+B55+B63)</f>
        <v>112175663</v>
      </c>
      <c r="C64" s="270">
        <f>SUM(C9+C12+C14+C15+C17+C26+C28+C39+C43+C44+C55+C63)</f>
        <v>112175663</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135000</v>
      </c>
      <c r="C66" s="266">
        <f>'Sources and Uses Budget'!$C65</f>
        <v>135000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300000</v>
      </c>
      <c r="C68" s="266">
        <f>'Sources and Uses Budget'!$C67</f>
        <v>300000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Transaction Legal</v>
      </c>
      <c r="B70" s="266">
        <f>'Sources and Uses Budget'!$C69</f>
        <v>275000</v>
      </c>
      <c r="C70" s="266">
        <f>'Sources and Uses Budget'!$C69</f>
        <v>275000</v>
      </c>
      <c r="D70" s="270">
        <f t="shared" si="0"/>
        <v>0</v>
      </c>
      <c r="E70" s="268"/>
      <c r="F70" s="267"/>
    </row>
    <row r="71" spans="1:6" s="352" customFormat="1">
      <c r="A71" s="149" t="s">
        <v>1645</v>
      </c>
      <c r="B71" s="270">
        <f>SUM(B66:B70)</f>
        <v>710000</v>
      </c>
      <c r="C71" s="270">
        <f>SUM(C66:C70)</f>
        <v>710000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325000</v>
      </c>
      <c r="C74" s="266">
        <f>'Sources and Uses Budget'!$C73</f>
        <v>325000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1500000</v>
      </c>
      <c r="C76" s="266">
        <f>'Sources and Uses Budget'!$C75</f>
        <v>1500000</v>
      </c>
      <c r="D76" s="270">
        <f t="shared" si="0"/>
        <v>0</v>
      </c>
      <c r="E76" s="268"/>
      <c r="F76" s="267"/>
    </row>
    <row r="77" spans="1:6" s="352" customFormat="1">
      <c r="A77" s="272" t="s">
        <v>34</v>
      </c>
      <c r="B77" s="266">
        <f>'Sources and Uses Budget'!$C76</f>
        <v>500000</v>
      </c>
      <c r="C77" s="266">
        <f>'Sources and Uses Budget'!$C76</f>
        <v>500000</v>
      </c>
      <c r="D77" s="270">
        <f t="shared" si="0"/>
        <v>0</v>
      </c>
      <c r="E77" s="268"/>
      <c r="F77" s="267"/>
    </row>
    <row r="78" spans="1:6" s="352" customFormat="1">
      <c r="A78" s="271" t="s">
        <v>606</v>
      </c>
      <c r="B78" s="270">
        <f>SUM(B73:B77)</f>
        <v>2325000</v>
      </c>
      <c r="C78" s="270">
        <f>SUM(C73:C77)</f>
        <v>2325000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4557308</v>
      </c>
      <c r="C80" s="266">
        <f>'Sources and Uses Budget'!$C79</f>
        <v>4557308</v>
      </c>
      <c r="D80" s="270">
        <f t="shared" si="1"/>
        <v>0</v>
      </c>
      <c r="E80" s="268"/>
      <c r="F80" s="267"/>
    </row>
    <row r="81" spans="1:6" s="352" customFormat="1">
      <c r="A81" s="510" t="s">
        <v>58</v>
      </c>
      <c r="B81" s="266">
        <f>'Sources and Uses Budget'!$C80</f>
        <v>1091809</v>
      </c>
      <c r="C81" s="266">
        <f>'Sources and Uses Budget'!$C80</f>
        <v>1091809</v>
      </c>
      <c r="D81" s="270">
        <f>C81-B81</f>
        <v>0</v>
      </c>
      <c r="E81" s="268"/>
      <c r="F81" s="267"/>
    </row>
    <row r="82" spans="1:6" s="352" customFormat="1">
      <c r="A82" s="271" t="s">
        <v>1209</v>
      </c>
      <c r="B82" s="270">
        <f>SUM(B80:B81)</f>
        <v>5649117</v>
      </c>
      <c r="C82" s="270">
        <f>SUM(C80:C81)</f>
        <v>5649117</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75000</v>
      </c>
      <c r="C84" s="266">
        <f>'Sources and Uses Budget'!$C83</f>
        <v>75000</v>
      </c>
      <c r="D84" s="270">
        <f t="shared" si="1"/>
        <v>0</v>
      </c>
      <c r="E84" s="268"/>
      <c r="F84" s="267"/>
    </row>
    <row r="85" spans="1:6" s="352" customFormat="1">
      <c r="A85" s="269" t="s">
        <v>767</v>
      </c>
      <c r="B85" s="266">
        <f>'Sources and Uses Budget'!$C84</f>
        <v>500000</v>
      </c>
      <c r="C85" s="266">
        <f>'Sources and Uses Budget'!$C84</f>
        <v>500000</v>
      </c>
      <c r="D85" s="270">
        <f t="shared" si="1"/>
        <v>0</v>
      </c>
      <c r="E85" s="268"/>
      <c r="F85" s="267"/>
    </row>
    <row r="86" spans="1:6" s="352" customFormat="1">
      <c r="A86" s="269" t="s">
        <v>768</v>
      </c>
      <c r="B86" s="266">
        <f>'Sources and Uses Budget'!$C85</f>
        <v>3161516</v>
      </c>
      <c r="C86" s="266">
        <f>'Sources and Uses Budget'!$C85</f>
        <v>3161516</v>
      </c>
      <c r="D86" s="270">
        <f t="shared" si="1"/>
        <v>0</v>
      </c>
      <c r="E86" s="268"/>
      <c r="F86" s="267"/>
    </row>
    <row r="87" spans="1:6" s="352" customFormat="1">
      <c r="A87" s="269" t="s">
        <v>769</v>
      </c>
      <c r="B87" s="266">
        <f>'Sources and Uses Budget'!$C86</f>
        <v>950000</v>
      </c>
      <c r="C87" s="266">
        <f>'Sources and Uses Budget'!$C86</f>
        <v>950000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350000</v>
      </c>
      <c r="C90" s="266">
        <f>'Sources and Uses Budget'!$C89</f>
        <v>350000</v>
      </c>
      <c r="D90" s="270">
        <f t="shared" si="1"/>
        <v>0</v>
      </c>
      <c r="E90" s="268"/>
      <c r="F90" s="267"/>
    </row>
    <row r="91" spans="1:6" s="352" customFormat="1">
      <c r="A91" s="269" t="s">
        <v>773</v>
      </c>
      <c r="B91" s="266">
        <f>'Sources and Uses Budget'!$C90</f>
        <v>12500</v>
      </c>
      <c r="C91" s="266">
        <f>'Sources and Uses Budget'!$C90</f>
        <v>12500</v>
      </c>
      <c r="D91" s="270">
        <f t="shared" si="1"/>
        <v>0</v>
      </c>
      <c r="E91" s="268"/>
      <c r="F91" s="267"/>
    </row>
    <row r="92" spans="1:6" s="352" customFormat="1">
      <c r="A92" s="269" t="s">
        <v>371</v>
      </c>
      <c r="B92" s="266">
        <f>'Sources and Uses Budget'!$C91</f>
        <v>20000</v>
      </c>
      <c r="C92" s="266">
        <f>'Sources and Uses Budget'!$C91</f>
        <v>20000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1099208</v>
      </c>
      <c r="C94" s="266">
        <f>'Sources and Uses Budget'!$C93</f>
        <v>1099208</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6333224</v>
      </c>
      <c r="C97" s="270">
        <f>SUM(C84:C96)</f>
        <v>6333224</v>
      </c>
      <c r="D97" s="270">
        <f t="shared" si="1"/>
        <v>0</v>
      </c>
      <c r="E97" s="268"/>
      <c r="F97" s="267"/>
    </row>
    <row r="98" spans="1:6" s="352" customFormat="1">
      <c r="A98" s="271" t="s">
        <v>775</v>
      </c>
      <c r="B98" s="270">
        <f>SUM(B64+B71+B78+B82+B97)</f>
        <v>127193004</v>
      </c>
      <c r="C98" s="270">
        <f>SUM(C64+C71+C78+C82+C97)</f>
        <v>127193004</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16714698</v>
      </c>
      <c r="C100" s="266">
        <f>'Sources and Uses Budget'!$C99</f>
        <v>16714698</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16714698</v>
      </c>
      <c r="C105" s="270">
        <f>SUM(C100:C104)</f>
        <v>16714698</v>
      </c>
      <c r="D105" s="270">
        <f t="shared" si="1"/>
        <v>0</v>
      </c>
      <c r="E105" s="268"/>
      <c r="F105" s="267"/>
    </row>
    <row r="106" spans="1:6" s="352" customFormat="1">
      <c r="A106" s="271" t="s">
        <v>780</v>
      </c>
      <c r="B106" s="273">
        <f>SUM(B98+B105)</f>
        <v>143907702</v>
      </c>
      <c r="C106" s="273">
        <f>SUM(C98+C105)</f>
        <v>143907702</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2024-12-09T20:28:29Z</cp:lastPrinted>
  <dcterms:created xsi:type="dcterms:W3CDTF">2007-12-27T18:26:28Z</dcterms:created>
  <dcterms:modified xsi:type="dcterms:W3CDTF">2025-09-09T01:01:05Z</dcterms:modified>
</cp:coreProperties>
</file>