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18" activeTab="0"/>
  </bookViews>
  <sheets>
    <sheet name="TCAC Regions" sheetId="1" r:id="rId1"/>
    <sheet name="Calculated Percentages" sheetId="2" r:id="rId2"/>
    <sheet name="Population" sheetId="3" r:id="rId3"/>
    <sheet name="Housing Costs" sheetId="4" r:id="rId4"/>
    <sheet name="Poverty" sheetId="5" r:id="rId5"/>
    <sheet name="Urbanization" sheetId="6" r:id="rId6"/>
  </sheets>
  <definedNames>
    <definedName name="_xlnm.Print_Area" localSheetId="1">'Calculated Percentages'!$H$3:$P$64</definedName>
    <definedName name="_xlnm.Print_Area" localSheetId="3">'Housing Costs'!$A$3:$O$65</definedName>
    <definedName name="_xlnm.Print_Area" localSheetId="2">'Population'!$A$1:$C$64</definedName>
    <definedName name="_xlnm.Print_Area" localSheetId="4">'Poverty'!$A$3:$N$65</definedName>
    <definedName name="_xlnm.Print_Area" localSheetId="0">'TCAC Regions'!$A$1:$E$75</definedName>
    <definedName name="_xlnm.Print_Area" localSheetId="5">'Urbanization'!$A$3:$R$65</definedName>
    <definedName name="_xlnm.Print_Titles" localSheetId="3">'Housing Costs'!$A:$A,'Housing Costs'!$3:$3</definedName>
    <definedName name="_xlnm.Print_Titles" localSheetId="4">'Poverty'!$A:$A,'Poverty'!$3:$3</definedName>
    <definedName name="_xlnm.Print_Titles" localSheetId="0">'TCAC Regions'!$1:$8</definedName>
    <definedName name="_xlnm.Print_Titles" localSheetId="5">'Urbanization'!$A:$A,'Urbanization'!$3:$3</definedName>
  </definedNames>
  <calcPr fullCalcOnLoad="1"/>
</workbook>
</file>

<file path=xl/sharedStrings.xml><?xml version="1.0" encoding="utf-8"?>
<sst xmlns="http://schemas.openxmlformats.org/spreadsheetml/2006/main" count="478" uniqueCount="121">
  <si>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</si>
  <si>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</si>
  <si>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</si>
  <si>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</si>
  <si>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</si>
  <si>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</si>
  <si>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</si>
  <si>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</si>
  <si>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</si>
  <si>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</si>
  <si>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</si>
  <si>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</si>
  <si>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</si>
  <si>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</si>
  <si>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</si>
  <si>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</si>
  <si>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</si>
  <si>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</si>
  <si>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</si>
  <si>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</si>
  <si>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</si>
  <si>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</si>
  <si>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</si>
  <si>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</si>
  <si>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</si>
  <si>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</si>
  <si>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</si>
  <si>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</si>
  <si>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</si>
  <si>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</si>
  <si>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</si>
  <si>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</si>
  <si>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</si>
  <si>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</si>
  <si>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</si>
  <si>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</si>
  <si>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</si>
  <si>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</si>
  <si>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</si>
  <si>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</si>
  <si>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</si>
  <si>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</si>
  <si>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</si>
  <si>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</si>
  <si>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</si>
  <si>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</si>
  <si>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</si>
  <si>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</si>
  <si>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</si>
  <si>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</si>
  <si>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</si>
  <si>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</si>
  <si>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</si>
  <si>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</si>
  <si>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</si>
  <si>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</si>
  <si>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</si>
  <si>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</si>
  <si>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</si>
  <si>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Population</t>
  </si>
  <si>
    <t>Federal Credit Available:  Calculated in January of the Current Year.</t>
  </si>
  <si>
    <t>Average</t>
  </si>
  <si>
    <t>Housing Factor</t>
  </si>
  <si>
    <t>Housing Factor:  Developed based on CalFHA Homeownership Program Sales Price Limits.</t>
  </si>
  <si>
    <t>Adjusted Population</t>
  </si>
  <si>
    <t>Poverty Factor</t>
  </si>
  <si>
    <t>Region</t>
  </si>
  <si>
    <t>Totals</t>
  </si>
  <si>
    <t>County</t>
  </si>
  <si>
    <t>California Average</t>
  </si>
  <si>
    <t>Counties</t>
  </si>
  <si>
    <t>Central Valley</t>
  </si>
  <si>
    <t>July 1, 2002</t>
  </si>
  <si>
    <t xml:space="preserve">Data: </t>
  </si>
  <si>
    <t>DOF July 2002 Population Estimates</t>
  </si>
  <si>
    <t>All Rural Counties</t>
  </si>
  <si>
    <t>2000 % at &lt; 2x Poverty Line</t>
  </si>
  <si>
    <t>TCAC Average $/SF</t>
  </si>
  <si>
    <t>Coastal California</t>
  </si>
  <si>
    <t>Inland Empire</t>
  </si>
  <si>
    <t>North and East Bay Area</t>
  </si>
  <si>
    <t>South and West Bay Area</t>
  </si>
  <si>
    <t>100% Rural</t>
  </si>
  <si>
    <t>Rural %</t>
  </si>
  <si>
    <t>Urban %</t>
  </si>
  <si>
    <t>Population, Housing, Poverty and Urbanization</t>
  </si>
  <si>
    <t>Standard Deviation</t>
  </si>
  <si>
    <t>State Average</t>
  </si>
  <si>
    <t>Standard Deviations</t>
  </si>
  <si>
    <t>Difference</t>
  </si>
  <si>
    <t>Deviations</t>
  </si>
  <si>
    <t>Housing Factor (STDEV)</t>
  </si>
  <si>
    <t>Housing Factor (%)</t>
  </si>
  <si>
    <t>&gt;=1.5, x2</t>
  </si>
  <si>
    <t>&gt;=0.75, x1.5</t>
  </si>
  <si>
    <t>&gt;=.25, x1.25</t>
  </si>
  <si>
    <t>&lt;.25 but &gt;-.25, x1</t>
  </si>
  <si>
    <t>&lt;=-.25, x.875</t>
  </si>
  <si>
    <t>&lt;=-.75, x.75</t>
  </si>
  <si>
    <t>&lt;=-1.5, x.5</t>
  </si>
  <si>
    <t>&gt;=1.25, x2</t>
  </si>
  <si>
    <t>&gt;=0.5, x1.5</t>
  </si>
  <si>
    <t>&lt;0.5, x1.25</t>
  </si>
  <si>
    <t>=0, x1</t>
  </si>
  <si>
    <t>&gt;-0.5, x.875</t>
  </si>
  <si>
    <t>&lt;=-0.5, x.75</t>
  </si>
  <si>
    <t>&lt;=-1, x.5</t>
  </si>
  <si>
    <t>2000 Census Percentage of Population Living in Urban Areas (Normalized Standard Deviations)</t>
  </si>
  <si>
    <t>&lt;=-1.25, x.5</t>
  </si>
  <si>
    <t>1999-Present TCAC Initial &amp; Final New Construction Housing Costs in $/SF (Normalized Standard Deviations)</t>
  </si>
  <si>
    <t>Aggregate Adjustement Factor</t>
  </si>
  <si>
    <t>Adjusted %</t>
  </si>
  <si>
    <t>2000 Census Total Pop.</t>
  </si>
  <si>
    <t>2000 Census Rural Pop.</t>
  </si>
  <si>
    <t>2000 Census Urban Pop.</t>
  </si>
  <si>
    <t>Urbanization Factor</t>
  </si>
  <si>
    <t>2000 Census Percentage of Population Earning Less than 2x Poverty Line (Normalized Standard Deviations)</t>
  </si>
  <si>
    <t>Capital Area and Northern California</t>
  </si>
  <si>
    <t>Imperial (El Centro)</t>
  </si>
  <si>
    <t>Apportionment</t>
  </si>
  <si>
    <t>10 Regions - Original / Current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</si>
</sst>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00000"/>
    <numFmt numFmtId="167" formatCode="&quot;$&quot;#,##0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0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1" fillId="0" borderId="11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1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10" fontId="0" fillId="34" borderId="0" xfId="0" applyNumberFormat="1" applyFill="1" applyAlignment="1">
      <alignment/>
    </xf>
    <xf numFmtId="3" fontId="7" fillId="0" borderId="0" xfId="0" applyNumberFormat="1" applyFont="1" applyAlignment="1">
      <alignment/>
    </xf>
    <xf numFmtId="3" fontId="0" fillId="34" borderId="0" xfId="0" applyNumberFormat="1" applyFill="1" applyAlignment="1">
      <alignment/>
    </xf>
    <xf numFmtId="10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164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68" fontId="7" fillId="34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5" fontId="0" fillId="0" borderId="0" xfId="0" applyNumberFormat="1" applyAlignment="1">
      <alignment/>
    </xf>
    <xf numFmtId="165" fontId="0" fillId="34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Border="1" applyAlignment="1">
      <alignment horizontal="center"/>
    </xf>
    <xf numFmtId="168" fontId="0" fillId="34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5" fontId="3" fillId="34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5" fontId="3" fillId="0" borderId="0" xfId="0" applyNumberFormat="1" applyFont="1" applyBorder="1" applyAlignment="1" applyProtection="1" quotePrefix="1">
      <alignment/>
      <protection/>
    </xf>
    <xf numFmtId="165" fontId="0" fillId="0" borderId="0" xfId="0" applyNumberFormat="1" applyFont="1" applyAlignment="1">
      <alignment/>
    </xf>
    <xf numFmtId="0" fontId="0" fillId="0" borderId="10" xfId="0" applyBorder="1" applyAlignment="1" quotePrefix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7" fillId="34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 quotePrefix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65" fontId="3" fillId="0" borderId="0" xfId="0" applyNumberFormat="1" applyFont="1" applyFill="1" applyBorder="1" applyAlignment="1" applyProtection="1" quotePrefix="1">
      <alignment/>
      <protection/>
    </xf>
    <xf numFmtId="165" fontId="0" fillId="0" borderId="0" xfId="0" applyNumberFormat="1" applyFont="1" applyFill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7" fontId="4" fillId="0" borderId="10" xfId="0" applyNumberFormat="1" applyFont="1" applyFill="1" applyBorder="1" applyAlignment="1">
      <alignment/>
    </xf>
    <xf numFmtId="167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8" fontId="7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7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 applyProtection="1">
      <alignment/>
      <protection/>
    </xf>
    <xf numFmtId="165" fontId="7" fillId="0" borderId="10" xfId="42" applyNumberFormat="1" applyFont="1" applyFill="1" applyBorder="1" applyAlignment="1">
      <alignment/>
    </xf>
    <xf numFmtId="5" fontId="3" fillId="0" borderId="10" xfId="0" applyNumberFormat="1" applyFont="1" applyFill="1" applyBorder="1" applyAlignment="1" applyProtection="1">
      <alignment/>
      <protection/>
    </xf>
    <xf numFmtId="5" fontId="0" fillId="0" borderId="10" xfId="0" applyNumberFormat="1" applyFont="1" applyFill="1" applyBorder="1" applyAlignment="1" applyProtection="1">
      <alignment/>
      <protection/>
    </xf>
    <xf numFmtId="165" fontId="7" fillId="0" borderId="11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3" fontId="7" fillId="34" borderId="0" xfId="0" applyNumberFormat="1" applyFont="1" applyFill="1" applyAlignment="1">
      <alignment/>
    </xf>
    <xf numFmtId="165" fontId="0" fillId="34" borderId="0" xfId="0" applyNumberFormat="1" applyFont="1" applyFill="1" applyBorder="1" applyAlignment="1">
      <alignment/>
    </xf>
    <xf numFmtId="165" fontId="0" fillId="34" borderId="0" xfId="0" applyNumberFormat="1" applyFont="1" applyFill="1" applyAlignment="1">
      <alignment/>
    </xf>
    <xf numFmtId="165" fontId="3" fillId="34" borderId="0" xfId="0" applyNumberFormat="1" applyFont="1" applyFill="1" applyBorder="1" applyAlignment="1" applyProtection="1" quotePrefix="1">
      <alignment/>
      <protection/>
    </xf>
    <xf numFmtId="0" fontId="0" fillId="34" borderId="0" xfId="0" applyFont="1" applyFill="1" applyAlignment="1">
      <alignment/>
    </xf>
    <xf numFmtId="165" fontId="0" fillId="34" borderId="0" xfId="0" applyNumberFormat="1" applyFont="1" applyFill="1" applyBorder="1" applyAlignment="1" applyProtection="1">
      <alignment/>
      <protection/>
    </xf>
    <xf numFmtId="172" fontId="0" fillId="34" borderId="0" xfId="0" applyNumberFormat="1" applyFill="1" applyAlignment="1">
      <alignment/>
    </xf>
    <xf numFmtId="3" fontId="7" fillId="34" borderId="0" xfId="0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10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9.140625" style="3" customWidth="1"/>
    <col min="2" max="2" width="17.8515625" style="3" customWidth="1"/>
    <col min="3" max="4" width="25.7109375" style="64" customWidth="1"/>
    <col min="5" max="5" width="14.28125" style="0" customWidth="1"/>
  </cols>
  <sheetData>
    <row r="1" ht="20.25">
      <c r="A1" s="29" t="s">
        <v>120</v>
      </c>
    </row>
    <row r="2" spans="1:4" s="38" customFormat="1" ht="11.25">
      <c r="A2" s="37" t="s">
        <v>73</v>
      </c>
      <c r="B2" s="37" t="s">
        <v>74</v>
      </c>
      <c r="C2" s="65"/>
      <c r="D2" s="65"/>
    </row>
    <row r="3" spans="1:4" s="38" customFormat="1" ht="11.25">
      <c r="A3" s="37"/>
      <c r="B3" s="37" t="s">
        <v>107</v>
      </c>
      <c r="C3" s="65"/>
      <c r="D3" s="65"/>
    </row>
    <row r="4" spans="2:4" s="38" customFormat="1" ht="11.25">
      <c r="B4" s="37" t="s">
        <v>109</v>
      </c>
      <c r="C4" s="65"/>
      <c r="D4" s="65"/>
    </row>
    <row r="5" spans="1:4" s="38" customFormat="1" ht="11.25">
      <c r="A5" s="37"/>
      <c r="B5" s="37" t="s">
        <v>116</v>
      </c>
      <c r="C5" s="65"/>
      <c r="D5" s="65"/>
    </row>
    <row r="6" spans="1:4" s="38" customFormat="1" ht="9.75" customHeight="1">
      <c r="A6" s="37"/>
      <c r="B6" s="37"/>
      <c r="C6" s="65"/>
      <c r="D6" s="65"/>
    </row>
    <row r="7" spans="1:5" s="25" customFormat="1" ht="25.5">
      <c r="A7" s="25" t="s">
        <v>66</v>
      </c>
      <c r="B7" s="25" t="s">
        <v>70</v>
      </c>
      <c r="C7" s="25" t="s">
        <v>59</v>
      </c>
      <c r="D7" s="25" t="s">
        <v>85</v>
      </c>
      <c r="E7" s="25" t="s">
        <v>119</v>
      </c>
    </row>
    <row r="8" spans="1:5" s="53" customFormat="1" ht="12.75">
      <c r="A8" s="66"/>
      <c r="B8" s="30"/>
      <c r="C8" s="66"/>
      <c r="D8" s="66"/>
      <c r="E8" s="66"/>
    </row>
    <row r="9" spans="1:5" s="53" customFormat="1" ht="12.75">
      <c r="A9" s="128" t="s">
        <v>19</v>
      </c>
      <c r="B9" s="129"/>
      <c r="C9" s="130"/>
      <c r="D9" s="130"/>
      <c r="E9" s="131">
        <v>0.33</v>
      </c>
    </row>
    <row r="10" spans="1:5" s="53" customFormat="1" ht="12.75">
      <c r="A10" s="3"/>
      <c r="B10" s="33" t="s">
        <v>19</v>
      </c>
      <c r="C10" s="127">
        <f>'Calculated Percentages'!$F$23</f>
        <v>0.28853894869340607</v>
      </c>
      <c r="D10" s="127">
        <f>'Calculated Percentages'!$P$23</f>
        <v>0.32674837240244353</v>
      </c>
      <c r="E10" s="121"/>
    </row>
    <row r="11" spans="1:5" s="53" customFormat="1" ht="12.75">
      <c r="A11" s="3"/>
      <c r="B11" s="33"/>
      <c r="C11" s="125">
        <f>SUM(C10)</f>
        <v>0.28853894869340607</v>
      </c>
      <c r="D11" s="125">
        <f>SUM(D10)</f>
        <v>0.32674837240244353</v>
      </c>
      <c r="E11"/>
    </row>
    <row r="12" spans="1:4" s="53" customFormat="1" ht="6.75" customHeight="1">
      <c r="A12" s="57"/>
      <c r="B12" s="57"/>
      <c r="C12" s="133"/>
      <c r="D12" s="133"/>
    </row>
    <row r="13" spans="1:5" s="53" customFormat="1" ht="12.75">
      <c r="A13" s="128" t="s">
        <v>71</v>
      </c>
      <c r="B13" s="129"/>
      <c r="C13" s="130"/>
      <c r="D13" s="130"/>
      <c r="E13" s="131">
        <v>0.1</v>
      </c>
    </row>
    <row r="14" spans="1:5" s="53" customFormat="1" ht="12.75">
      <c r="A14" s="3"/>
      <c r="B14" s="33" t="s">
        <v>10</v>
      </c>
      <c r="C14" s="68">
        <f>'Calculated Percentages'!$F$14</f>
        <v>0.024341385454317653</v>
      </c>
      <c r="D14" s="68">
        <f>'Calculated Percentages'!$P$14</f>
        <v>0.030872535888353834</v>
      </c>
      <c r="E14" s="121"/>
    </row>
    <row r="15" spans="1:5" s="53" customFormat="1" ht="12.75">
      <c r="A15" s="3"/>
      <c r="B15" s="33" t="s">
        <v>15</v>
      </c>
      <c r="C15" s="68">
        <f>'Calculated Percentages'!$F$19</f>
        <v>0.020311682786934206</v>
      </c>
      <c r="D15" s="68">
        <f>'Calculated Percentages'!$P$19</f>
        <v>0.019321203705803917</v>
      </c>
      <c r="E15" s="121"/>
    </row>
    <row r="16" spans="1:5" s="53" customFormat="1" ht="12.75">
      <c r="A16" s="3"/>
      <c r="B16" s="33" t="s">
        <v>16</v>
      </c>
      <c r="C16" s="68">
        <f>'Calculated Percentages'!$F$20</f>
        <v>0.0039248080209439646</v>
      </c>
      <c r="D16" s="68">
        <f>'Calculated Percentages'!$P$20</f>
        <v>0.0037334186474993368</v>
      </c>
      <c r="E16" s="121"/>
    </row>
    <row r="17" spans="1:5" s="53" customFormat="1" ht="12.75">
      <c r="A17" s="3"/>
      <c r="B17" s="33" t="s">
        <v>20</v>
      </c>
      <c r="C17" s="68">
        <f>'Calculated Percentages'!$F$24</f>
        <v>0.0038403095557566036</v>
      </c>
      <c r="D17" s="68">
        <f>'Calculated Percentages'!$P$24</f>
        <v>0.003131177713906539</v>
      </c>
      <c r="E17" s="121"/>
    </row>
    <row r="18" spans="1:5" s="53" customFormat="1" ht="12.75">
      <c r="A18" s="3"/>
      <c r="B18" s="33" t="s">
        <v>24</v>
      </c>
      <c r="C18" s="68">
        <f>'Calculated Percentages'!$F$28</f>
        <v>0.006488899378353533</v>
      </c>
      <c r="D18" s="68">
        <f>'Calculated Percentages'!$P$28</f>
        <v>0.008229966174690446</v>
      </c>
      <c r="E18" s="121"/>
    </row>
    <row r="19" spans="1:5" s="53" customFormat="1" ht="12.75">
      <c r="A19" s="3"/>
      <c r="B19" s="33" t="s">
        <v>39</v>
      </c>
      <c r="C19" s="68">
        <f>'Calculated Percentages'!$F$43</f>
        <v>0.017642696783085155</v>
      </c>
      <c r="D19" s="68">
        <f>'Calculated Percentages'!$P$43</f>
        <v>0.015983207770784096</v>
      </c>
      <c r="E19" s="121"/>
    </row>
    <row r="20" spans="1:5" s="53" customFormat="1" ht="12.75">
      <c r="A20" s="3"/>
      <c r="B20" s="33" t="s">
        <v>50</v>
      </c>
      <c r="C20" s="68">
        <f>'Calculated Percentages'!$F$54</f>
        <v>0.013901454393410286</v>
      </c>
      <c r="D20" s="68">
        <f>'Calculated Percentages'!$P$54</f>
        <v>0.009445402676434053</v>
      </c>
      <c r="E20" s="121"/>
    </row>
    <row r="21" spans="1:5" s="53" customFormat="1" ht="12.75">
      <c r="A21" s="3"/>
      <c r="B21" s="33" t="s">
        <v>54</v>
      </c>
      <c r="C21" s="127">
        <f>'Calculated Percentages'!$F$58</f>
        <v>0.011130487483300627</v>
      </c>
      <c r="D21" s="127">
        <f>'Calculated Percentages'!$P$58</f>
        <v>0.014116960389455547</v>
      </c>
      <c r="E21" s="121"/>
    </row>
    <row r="22" spans="1:5" s="53" customFormat="1" ht="12.75">
      <c r="A22" s="3"/>
      <c r="B22" s="33"/>
      <c r="C22" s="125">
        <f>SUM(C14:C21)</f>
        <v>0.10158172385610202</v>
      </c>
      <c r="D22" s="125">
        <f>SUM(D14:D21)</f>
        <v>0.10483387296692775</v>
      </c>
      <c r="E22"/>
    </row>
    <row r="23" spans="1:5" s="53" customFormat="1" ht="6.75" customHeight="1">
      <c r="A23" s="3"/>
      <c r="B23" s="33"/>
      <c r="C23" s="125"/>
      <c r="D23" s="125"/>
      <c r="E23"/>
    </row>
    <row r="24" spans="1:5" ht="12.75">
      <c r="A24" s="128" t="s">
        <v>80</v>
      </c>
      <c r="B24" s="129"/>
      <c r="C24" s="130"/>
      <c r="D24" s="130"/>
      <c r="E24" s="131">
        <v>0.1</v>
      </c>
    </row>
    <row r="25" spans="2:5" ht="12.75">
      <c r="B25" s="3" t="s">
        <v>1</v>
      </c>
      <c r="C25" s="67">
        <f>'Calculated Percentages'!$F$5</f>
        <v>0.04341472866523019</v>
      </c>
      <c r="D25" s="67">
        <f>'Calculated Percentages'!$P$5</f>
        <v>0.04214046168184789</v>
      </c>
      <c r="E25" s="21"/>
    </row>
    <row r="26" spans="2:5" ht="12.75">
      <c r="B26" s="3" t="s">
        <v>7</v>
      </c>
      <c r="C26" s="67">
        <f>'Calculated Percentages'!$F$11</f>
        <v>0.02875861556549141</v>
      </c>
      <c r="D26" s="67">
        <f>'Calculated Percentages'!$P$11</f>
        <v>0.03349742470871184</v>
      </c>
      <c r="E26" s="21"/>
    </row>
    <row r="27" spans="2:5" ht="12.75">
      <c r="B27" s="3" t="s">
        <v>21</v>
      </c>
      <c r="C27" s="67">
        <f>'Calculated Percentages'!$F$25</f>
        <v>0.007258126785576404</v>
      </c>
      <c r="D27" s="67">
        <f>'Calculated Percentages'!$P$25</f>
        <v>0.003287710202892088</v>
      </c>
      <c r="E27" s="21"/>
    </row>
    <row r="28" spans="2:5" ht="12.75">
      <c r="B28" s="3" t="s">
        <v>28</v>
      </c>
      <c r="C28" s="67">
        <f>'Calculated Percentages'!$F$32</f>
        <v>0.003755811090569243</v>
      </c>
      <c r="D28" s="67">
        <f>'Calculated Percentages'!$P$32</f>
        <v>0.0025519019178208958</v>
      </c>
      <c r="E28" s="21"/>
    </row>
    <row r="29" spans="2:5" ht="12.75">
      <c r="B29" s="3" t="s">
        <v>48</v>
      </c>
      <c r="C29" s="67">
        <f>'Calculated Percentages'!$F$52</f>
        <v>0.01190845611106012</v>
      </c>
      <c r="D29" s="67">
        <f>'Calculated Percentages'!$P$52</f>
        <v>0.011558930664007537</v>
      </c>
      <c r="E29" s="21"/>
    </row>
    <row r="30" spans="2:5" ht="12.75">
      <c r="B30" s="33" t="s">
        <v>49</v>
      </c>
      <c r="C30" s="127">
        <f>'Calculated Percentages'!$F$53</f>
        <v>0.013700406321067945</v>
      </c>
      <c r="D30" s="127">
        <f>'Calculated Percentages'!$P$53</f>
        <v>0.00930879970333115</v>
      </c>
      <c r="E30" s="121"/>
    </row>
    <row r="31" spans="2:4" ht="12.75">
      <c r="B31" s="33"/>
      <c r="C31" s="125">
        <f>SUM(C25:C30)</f>
        <v>0.1087961445389953</v>
      </c>
      <c r="D31" s="125">
        <f>SUM(D25:D30)</f>
        <v>0.1023452288786114</v>
      </c>
    </row>
    <row r="32" spans="2:4" ht="6.75" customHeight="1">
      <c r="B32" s="33"/>
      <c r="C32" s="125"/>
      <c r="D32" s="125"/>
    </row>
    <row r="33" spans="1:5" ht="12.75">
      <c r="A33" s="128" t="s">
        <v>37</v>
      </c>
      <c r="B33" s="129"/>
      <c r="C33" s="132"/>
      <c r="D33" s="132"/>
      <c r="E33" s="131">
        <v>0.1</v>
      </c>
    </row>
    <row r="34" spans="2:5" ht="12.75">
      <c r="B34" s="33" t="s">
        <v>37</v>
      </c>
      <c r="C34" s="127">
        <f>'Calculated Percentages'!$F$41</f>
        <v>0.08552118799014573</v>
      </c>
      <c r="D34" s="127">
        <f>'Calculated Percentages'!$P$41</f>
        <v>0.09684622858800247</v>
      </c>
      <c r="E34" s="121"/>
    </row>
    <row r="35" spans="2:4" ht="12.75">
      <c r="B35" s="33"/>
      <c r="C35" s="125">
        <f>SUM(C34)</f>
        <v>0.08552118799014573</v>
      </c>
      <c r="D35" s="125">
        <f>SUM(D34)</f>
        <v>0.09684622858800247</v>
      </c>
    </row>
    <row r="36" spans="2:4" ht="6.75" customHeight="1">
      <c r="B36" s="33"/>
      <c r="C36" s="125"/>
      <c r="D36" s="125"/>
    </row>
    <row r="37" spans="1:5" ht="12.75">
      <c r="A37" s="128" t="s">
        <v>79</v>
      </c>
      <c r="B37" s="129"/>
      <c r="C37" s="132"/>
      <c r="D37" s="132"/>
      <c r="E37" s="131">
        <v>0.08</v>
      </c>
    </row>
    <row r="38" spans="2:5" ht="12.75">
      <c r="B38" s="33" t="s">
        <v>118</v>
      </c>
      <c r="C38" s="68">
        <f>'Calculated Percentages'!$F$17</f>
        <v>0.001178607902354739</v>
      </c>
      <c r="D38" s="68">
        <f>'Calculated Percentages'!$P$17</f>
        <v>0.001708395056854082</v>
      </c>
      <c r="E38" s="121"/>
    </row>
    <row r="39" spans="2:5" ht="12.75">
      <c r="B39" s="33" t="s">
        <v>33</v>
      </c>
      <c r="C39" s="68">
        <f>'Calculated Percentages'!$F$37</f>
        <v>0.0488663365399044</v>
      </c>
      <c r="D39" s="68">
        <f>'Calculated Percentages'!$P$37</f>
        <v>0.03541593757540149</v>
      </c>
      <c r="E39" s="121"/>
    </row>
    <row r="40" spans="2:5" ht="12.75">
      <c r="B40" s="33" t="s">
        <v>36</v>
      </c>
      <c r="C40" s="127">
        <f>'Calculated Percentages'!$F$40</f>
        <v>0.05278823082066949</v>
      </c>
      <c r="D40" s="127">
        <f>'Calculated Percentages'!$P$40</f>
        <v>0.04782291910541626</v>
      </c>
      <c r="E40" s="121"/>
    </row>
    <row r="41" spans="2:4" ht="12.75">
      <c r="B41" s="33"/>
      <c r="C41" s="125">
        <f>SUM(C38:C40)</f>
        <v>0.10283317526292862</v>
      </c>
      <c r="D41" s="125">
        <f>SUM(D38:D40)</f>
        <v>0.08494725173767184</v>
      </c>
    </row>
    <row r="42" spans="2:4" ht="12.75">
      <c r="B42" s="33"/>
      <c r="C42" s="125"/>
      <c r="D42" s="125"/>
    </row>
    <row r="43" spans="1:5" ht="12.75">
      <c r="A43" s="128" t="s">
        <v>30</v>
      </c>
      <c r="B43" s="129"/>
      <c r="C43" s="132"/>
      <c r="D43" s="132"/>
      <c r="E43" s="131">
        <v>0.08</v>
      </c>
    </row>
    <row r="44" spans="2:5" ht="12.75">
      <c r="B44" s="33" t="s">
        <v>30</v>
      </c>
      <c r="C44" s="127">
        <f>'Calculated Percentages'!$F$34</f>
        <v>0.08608645358484739</v>
      </c>
      <c r="D44" s="127">
        <f>'Calculated Percentages'!$P$34</f>
        <v>0.07798907904010174</v>
      </c>
      <c r="E44" s="121"/>
    </row>
    <row r="45" spans="2:4" ht="12.75">
      <c r="B45" s="33"/>
      <c r="C45" s="125">
        <f>SUM(C44)</f>
        <v>0.08608645358484739</v>
      </c>
      <c r="D45" s="125">
        <f>SUM(D44)</f>
        <v>0.07798907904010174</v>
      </c>
    </row>
    <row r="46" spans="2:4" ht="12.75">
      <c r="B46" s="33"/>
      <c r="C46" s="125"/>
      <c r="D46" s="125"/>
    </row>
    <row r="47" spans="1:5" ht="12.75">
      <c r="A47" s="128" t="s">
        <v>81</v>
      </c>
      <c r="B47" s="129"/>
      <c r="C47" s="132"/>
      <c r="D47" s="132"/>
      <c r="E47" s="131">
        <v>0.06</v>
      </c>
    </row>
    <row r="48" spans="2:5" ht="12.75">
      <c r="B48" s="33" t="s">
        <v>41</v>
      </c>
      <c r="C48" s="68">
        <f>'Calculated Percentages'!$F$45</f>
        <v>0.020798277396806248</v>
      </c>
      <c r="D48" s="68">
        <f>'Calculated Percentages'!$P$45</f>
        <v>0.016150261234095582</v>
      </c>
      <c r="E48" s="121"/>
    </row>
    <row r="49" spans="2:5" ht="12.75">
      <c r="B49" s="33" t="s">
        <v>43</v>
      </c>
      <c r="C49" s="127">
        <f>'Calculated Percentages'!$F$47</f>
        <v>0.050072624973958445</v>
      </c>
      <c r="D49" s="127">
        <f>'Calculated Percentages'!$P$47</f>
        <v>0.038882353503492936</v>
      </c>
      <c r="E49" s="121"/>
    </row>
    <row r="50" spans="2:4" ht="12.75">
      <c r="B50" s="33"/>
      <c r="C50" s="125">
        <f>SUM(C48:C49)</f>
        <v>0.0708709023707647</v>
      </c>
      <c r="D50" s="125">
        <f>SUM(D48:D49)</f>
        <v>0.05503261473758852</v>
      </c>
    </row>
    <row r="51" spans="2:4" ht="6.75" customHeight="1">
      <c r="B51" s="33"/>
      <c r="C51" s="125"/>
      <c r="D51" s="125"/>
    </row>
    <row r="52" spans="1:5" ht="12.75">
      <c r="A52" s="128" t="s">
        <v>117</v>
      </c>
      <c r="B52" s="129"/>
      <c r="C52" s="130"/>
      <c r="D52" s="130"/>
      <c r="E52" s="131">
        <v>0.06</v>
      </c>
    </row>
    <row r="53" spans="2:5" ht="12.75">
      <c r="B53" s="33" t="s">
        <v>4</v>
      </c>
      <c r="C53" s="68">
        <f>'Calculated Percentages'!F8</f>
        <v>0.006083889493489976</v>
      </c>
      <c r="D53" s="68">
        <f>'Calculated Percentages'!P8</f>
        <v>0.005787214651802981</v>
      </c>
      <c r="E53" s="121"/>
    </row>
    <row r="54" spans="1:5" ht="12.75">
      <c r="A54" s="57"/>
      <c r="B54" s="122" t="s">
        <v>9</v>
      </c>
      <c r="C54" s="123">
        <f>'Calculated Percentages'!$F$13</f>
        <v>0.00481349877550069</v>
      </c>
      <c r="D54" s="123">
        <f>'Calculated Percentages'!$P$13</f>
        <v>0.0019623314049217007</v>
      </c>
      <c r="E54" s="124"/>
    </row>
    <row r="55" spans="2:5" ht="12.75">
      <c r="B55" s="33" t="s">
        <v>31</v>
      </c>
      <c r="C55" s="68">
        <f>'Calculated Percentages'!$F$35</f>
        <v>0.007887494664213297</v>
      </c>
      <c r="D55" s="68">
        <f>'Calculated Percentages'!$P$35</f>
        <v>0.0021436768010988875</v>
      </c>
      <c r="E55" s="121"/>
    </row>
    <row r="56" spans="2:5" ht="12.75">
      <c r="B56" s="33" t="s">
        <v>34</v>
      </c>
      <c r="C56" s="68">
        <f>'Calculated Percentages'!$F$38</f>
        <v>0.037808692561075635</v>
      </c>
      <c r="D56" s="68">
        <f>'Calculated Percentages'!$P$38</f>
        <v>0.03425237060837232</v>
      </c>
      <c r="E56" s="121"/>
    </row>
    <row r="57" spans="2:5" ht="12.75">
      <c r="B57" s="33" t="s">
        <v>45</v>
      </c>
      <c r="C57" s="68">
        <f>'Calculated Percentages'!F49</f>
        <v>0.004985409446054286</v>
      </c>
      <c r="D57" s="68">
        <f>'Calculated Percentages'!P49</f>
        <v>0.003387357782305316</v>
      </c>
      <c r="E57" s="121"/>
    </row>
    <row r="58" spans="2:5" ht="12.75">
      <c r="B58" s="33" t="s">
        <v>51</v>
      </c>
      <c r="C58" s="68">
        <f>'Calculated Percentages'!$F$55</f>
        <v>0.0024038356475714704</v>
      </c>
      <c r="D58" s="68">
        <f>'Calculated Percentages'!$P$55</f>
        <v>0.0019055124871238263</v>
      </c>
      <c r="E58" s="121"/>
    </row>
    <row r="59" spans="2:5" ht="12.75">
      <c r="B59" s="33" t="s">
        <v>57</v>
      </c>
      <c r="C59" s="68">
        <f>'Calculated Percentages'!F61</f>
        <v>0.005215594920185372</v>
      </c>
      <c r="D59" s="68">
        <f>'Calculated Percentages'!P61</f>
        <v>0.004134384669032302</v>
      </c>
      <c r="E59" s="121"/>
    </row>
    <row r="60" spans="2:5" ht="12.75">
      <c r="B60" s="33" t="s">
        <v>58</v>
      </c>
      <c r="C60" s="127">
        <f>'Calculated Percentages'!F62</f>
        <v>0.001818173871617694</v>
      </c>
      <c r="D60" s="127">
        <f>'Calculated Percentages'!P62</f>
        <v>0.0019765856282020033</v>
      </c>
      <c r="E60" s="121"/>
    </row>
    <row r="61" spans="2:4" ht="12.75">
      <c r="B61" s="33"/>
      <c r="C61" s="125">
        <f>SUM(C53:C60)</f>
        <v>0.07101658937970842</v>
      </c>
      <c r="D61" s="125">
        <f>SUM(D53:D60)</f>
        <v>0.055549434032859335</v>
      </c>
    </row>
    <row r="62" spans="2:4" ht="6.75" customHeight="1">
      <c r="B62" s="33"/>
      <c r="C62" s="125"/>
      <c r="D62" s="125"/>
    </row>
    <row r="63" spans="1:5" ht="12.75">
      <c r="A63" s="128" t="s">
        <v>78</v>
      </c>
      <c r="B63" s="129"/>
      <c r="C63" s="130"/>
      <c r="D63" s="130"/>
      <c r="E63" s="131">
        <v>0.05</v>
      </c>
    </row>
    <row r="64" spans="2:5" ht="12.75">
      <c r="B64" s="33" t="s">
        <v>27</v>
      </c>
      <c r="C64" s="68">
        <f>'Calculated Percentages'!$F$31</f>
        <v>0.012004609536962979</v>
      </c>
      <c r="D64" s="68">
        <f>'Calculated Percentages'!$P$31</f>
        <v>0.010875444428675553</v>
      </c>
      <c r="E64" s="121"/>
    </row>
    <row r="65" spans="2:5" ht="12.75">
      <c r="B65" s="33" t="s">
        <v>40</v>
      </c>
      <c r="C65" s="68">
        <f>'Calculated Percentages'!$F$44</f>
        <v>0.007415468755235627</v>
      </c>
      <c r="D65" s="68">
        <f>'Calculated Percentages'!$P$44</f>
        <v>0.005878217308763803</v>
      </c>
      <c r="E65" s="121"/>
    </row>
    <row r="66" spans="2:5" ht="12.75">
      <c r="B66" s="33" t="s">
        <v>42</v>
      </c>
      <c r="C66" s="68">
        <f>'Calculated Percentages'!$F$46</f>
        <v>0.01188223244945025</v>
      </c>
      <c r="D66" s="68">
        <f>'Calculated Percentages'!$P$46</f>
        <v>0.012302375140121748</v>
      </c>
      <c r="E66" s="121"/>
    </row>
    <row r="67" spans="2:5" ht="12.75">
      <c r="B67" s="33" t="s">
        <v>44</v>
      </c>
      <c r="C67" s="68">
        <f>'Calculated Percentages'!$F$48</f>
        <v>0.00754658706328498</v>
      </c>
      <c r="D67" s="68">
        <f>'Calculated Percentages'!$P$48</f>
        <v>0.007178585224219215</v>
      </c>
      <c r="E67" s="121"/>
    </row>
    <row r="68" spans="2:5" ht="12.75">
      <c r="B68" s="33" t="s">
        <v>56</v>
      </c>
      <c r="C68" s="127">
        <f>'Calculated Percentages'!$F$60</f>
        <v>0.02289325658541702</v>
      </c>
      <c r="D68" s="127">
        <f>'Calculated Percentages'!$P$60</f>
        <v>0.0177770527481492</v>
      </c>
      <c r="E68" s="121"/>
    </row>
    <row r="69" spans="2:4" ht="12.75">
      <c r="B69" s="33"/>
      <c r="C69" s="125">
        <f>SUM(C64:C68)</f>
        <v>0.061742154390350856</v>
      </c>
      <c r="D69" s="125">
        <f>SUM(D64:D68)</f>
        <v>0.054011674849929525</v>
      </c>
    </row>
    <row r="70" spans="2:4" ht="6.75" customHeight="1">
      <c r="B70" s="33"/>
      <c r="C70" s="125"/>
      <c r="D70" s="125"/>
    </row>
    <row r="71" spans="1:5" ht="12.75">
      <c r="A71" s="128" t="s">
        <v>38</v>
      </c>
      <c r="B71" s="129"/>
      <c r="C71" s="132"/>
      <c r="D71" s="132"/>
      <c r="E71" s="131">
        <v>0.04</v>
      </c>
    </row>
    <row r="72" spans="2:4" ht="12.75">
      <c r="B72" s="33" t="s">
        <v>38</v>
      </c>
      <c r="C72" s="127">
        <f>'Calculated Percentages'!$F$42</f>
        <v>0.023012719932750877</v>
      </c>
      <c r="D72" s="127">
        <f>'Calculated Percentages'!$P$42</f>
        <v>0.041696242765863846</v>
      </c>
    </row>
    <row r="73" spans="2:4" ht="12.75">
      <c r="B73" s="33"/>
      <c r="C73" s="125">
        <f>SUM(C72)</f>
        <v>0.023012719932750877</v>
      </c>
      <c r="D73" s="125">
        <f>SUM(D72)</f>
        <v>0.041696242765863846</v>
      </c>
    </row>
    <row r="74" spans="1:5" s="31" customFormat="1" ht="12.75">
      <c r="A74" s="30"/>
      <c r="B74" s="30"/>
      <c r="C74" s="66"/>
      <c r="D74" s="66"/>
      <c r="E74" s="32"/>
    </row>
    <row r="75" spans="3:5" ht="12.75">
      <c r="C75" s="126">
        <f>SUM(C8:C74)/2</f>
        <v>0.9999999999999999</v>
      </c>
      <c r="D75" s="126">
        <f>SUM(D8:D74)/2</f>
        <v>0.9999999999999999</v>
      </c>
      <c r="E75" s="126">
        <f>SUM(E9:E74)</f>
        <v>1</v>
      </c>
    </row>
  </sheetData>
  <sheetProtection/>
  <printOptions horizontalCentered="1" verticalCentered="1"/>
  <pageMargins left="0.25" right="0.25" top="0.5" bottom="0.25" header="0.5" footer="0.5"/>
  <pageSetup fitToHeight="1" fitToWidth="1" horizontalDpi="600" verticalDpi="600" orientation="portrait" scale="73" r:id="rId1"/>
  <headerFooter alignWithMargins="0">
    <oddHeader>&amp;CCALIFORNIA TAX CREDIT ALLOCATION COMMITTEE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00390625" style="3" customWidth="1"/>
    <col min="2" max="4" width="11.00390625" style="0" customWidth="1"/>
    <col min="5" max="6" width="10.8515625" style="0" customWidth="1"/>
    <col min="7" max="7" width="1.7109375" style="0" customWidth="1"/>
    <col min="8" max="8" width="17.00390625" style="0" bestFit="1" customWidth="1"/>
    <col min="9" max="9" width="10.8515625" style="0" customWidth="1"/>
    <col min="10" max="11" width="9.28125" style="0" bestFit="1" customWidth="1"/>
    <col min="12" max="12" width="12.7109375" style="0" customWidth="1"/>
    <col min="13" max="13" width="12.28125" style="0" customWidth="1"/>
    <col min="14" max="14" width="10.8515625" style="0" customWidth="1"/>
    <col min="15" max="15" width="12.00390625" style="0" customWidth="1"/>
    <col min="16" max="16" width="10.8515625" style="0" bestFit="1" customWidth="1"/>
  </cols>
  <sheetData>
    <row r="3" spans="1:16" s="16" customFormat="1" ht="38.25">
      <c r="A3" s="16" t="s">
        <v>68</v>
      </c>
      <c r="B3" s="16" t="s">
        <v>59</v>
      </c>
      <c r="C3" s="16" t="s">
        <v>82</v>
      </c>
      <c r="D3" s="16" t="s">
        <v>59</v>
      </c>
      <c r="F3" s="16" t="s">
        <v>111</v>
      </c>
      <c r="H3" s="16" t="s">
        <v>68</v>
      </c>
      <c r="I3" s="16" t="s">
        <v>59</v>
      </c>
      <c r="J3" s="16" t="s">
        <v>62</v>
      </c>
      <c r="K3" s="16" t="s">
        <v>65</v>
      </c>
      <c r="L3" s="16" t="s">
        <v>115</v>
      </c>
      <c r="M3" s="16" t="s">
        <v>110</v>
      </c>
      <c r="N3" s="16" t="s">
        <v>64</v>
      </c>
      <c r="P3" s="16" t="s">
        <v>111</v>
      </c>
    </row>
    <row r="4" spans="1:8" s="6" customFormat="1" ht="12.75">
      <c r="A4" s="8"/>
      <c r="H4" s="8"/>
    </row>
    <row r="5" spans="1:16" ht="12.75">
      <c r="A5" s="4" t="s">
        <v>1</v>
      </c>
      <c r="B5" s="17">
        <f>Population!B5</f>
        <v>1490000</v>
      </c>
      <c r="C5" s="17">
        <f>Population!C5</f>
        <v>0</v>
      </c>
      <c r="D5" s="17">
        <f>B5-C5</f>
        <v>1490000</v>
      </c>
      <c r="E5" s="17">
        <f>'Calculated Percentages'!$B$64</f>
        <v>34320150</v>
      </c>
      <c r="F5" s="18">
        <f>D5/E5</f>
        <v>0.04341472866523019</v>
      </c>
      <c r="G5" s="17"/>
      <c r="H5" s="4" t="s">
        <v>1</v>
      </c>
      <c r="I5" s="17">
        <f>'Calculated Percentages'!D5</f>
        <v>1490000</v>
      </c>
      <c r="J5" s="61">
        <f>'Housing Costs'!N5</f>
        <v>1.25</v>
      </c>
      <c r="K5" s="61">
        <f>Poverty!N5</f>
        <v>0.75</v>
      </c>
      <c r="L5" s="61">
        <f>Urbanization!R5</f>
        <v>1.25</v>
      </c>
      <c r="M5">
        <f aca="true" t="shared" si="0" ref="M5:M36">J5*K5*L5</f>
        <v>1.171875</v>
      </c>
      <c r="N5" s="11">
        <f>I5*J5*K5*L5</f>
        <v>1746093.75</v>
      </c>
      <c r="O5" s="11">
        <f>'Calculated Percentages'!$N$64</f>
        <v>41435088.28125</v>
      </c>
      <c r="P5" s="21">
        <f aca="true" t="shared" si="1" ref="P5:P36">N5/O5</f>
        <v>0.04214046168184789</v>
      </c>
    </row>
    <row r="6" spans="1:16" s="46" customFormat="1" ht="12.75">
      <c r="A6" s="39" t="s">
        <v>2</v>
      </c>
      <c r="B6" s="40">
        <f>Population!B6</f>
        <v>1230</v>
      </c>
      <c r="C6" s="40">
        <f>Population!C6</f>
        <v>1230</v>
      </c>
      <c r="D6" s="40">
        <f aca="true" t="shared" si="2" ref="D6:D62">B6-C6</f>
        <v>0</v>
      </c>
      <c r="E6" s="40">
        <f>'Calculated Percentages'!$B$64</f>
        <v>34320150</v>
      </c>
      <c r="F6" s="45">
        <f aca="true" t="shared" si="3" ref="F6:F62">D6/E6</f>
        <v>0</v>
      </c>
      <c r="G6" s="40"/>
      <c r="H6" s="39" t="s">
        <v>2</v>
      </c>
      <c r="I6" s="40">
        <f>'Calculated Percentages'!D6</f>
        <v>0</v>
      </c>
      <c r="J6" s="62">
        <f>'Housing Costs'!N6</f>
        <v>1</v>
      </c>
      <c r="K6" s="62">
        <f>Poverty!N6</f>
        <v>1.25</v>
      </c>
      <c r="L6" s="62">
        <f>Urbanization!R6</f>
        <v>0.5</v>
      </c>
      <c r="M6" s="46">
        <f t="shared" si="0"/>
        <v>0.625</v>
      </c>
      <c r="N6" s="44">
        <f aca="true" t="shared" si="4" ref="N6:N62">I6*J6*K6*L6</f>
        <v>0</v>
      </c>
      <c r="O6" s="44">
        <f>'Calculated Percentages'!$N$64</f>
        <v>41435088.28125</v>
      </c>
      <c r="P6" s="42">
        <f t="shared" si="1"/>
        <v>0</v>
      </c>
    </row>
    <row r="7" spans="1:16" s="46" customFormat="1" ht="12.75">
      <c r="A7" s="39" t="s">
        <v>3</v>
      </c>
      <c r="B7" s="40">
        <f>Population!B7</f>
        <v>36350</v>
      </c>
      <c r="C7" s="40">
        <f>Population!C7</f>
        <v>36350</v>
      </c>
      <c r="D7" s="40">
        <f t="shared" si="2"/>
        <v>0</v>
      </c>
      <c r="E7" s="40">
        <f>'Calculated Percentages'!$B$64</f>
        <v>34320150</v>
      </c>
      <c r="F7" s="45">
        <f t="shared" si="3"/>
        <v>0</v>
      </c>
      <c r="G7" s="40"/>
      <c r="H7" s="39" t="s">
        <v>3</v>
      </c>
      <c r="I7" s="40">
        <f>'Calculated Percentages'!D7</f>
        <v>0</v>
      </c>
      <c r="J7" s="62">
        <f>'Housing Costs'!N7</f>
        <v>1</v>
      </c>
      <c r="K7" s="62">
        <f>Poverty!N7</f>
        <v>0.75</v>
      </c>
      <c r="L7" s="62">
        <f>Urbanization!R7</f>
        <v>0.5</v>
      </c>
      <c r="M7" s="46">
        <f t="shared" si="0"/>
        <v>0.375</v>
      </c>
      <c r="N7" s="44">
        <f t="shared" si="4"/>
        <v>0</v>
      </c>
      <c r="O7" s="44">
        <f>'Calculated Percentages'!$N$64</f>
        <v>41435088.28125</v>
      </c>
      <c r="P7" s="42">
        <f t="shared" si="1"/>
        <v>0</v>
      </c>
    </row>
    <row r="8" spans="1:16" ht="12.75">
      <c r="A8" s="4" t="s">
        <v>4</v>
      </c>
      <c r="B8" s="17">
        <f>Population!B8</f>
        <v>208800</v>
      </c>
      <c r="C8" s="17">
        <f>Population!C8</f>
        <v>0</v>
      </c>
      <c r="D8" s="17">
        <f t="shared" si="2"/>
        <v>208800</v>
      </c>
      <c r="E8" s="17">
        <f>'Calculated Percentages'!$B$64</f>
        <v>34320150</v>
      </c>
      <c r="F8" s="18">
        <f t="shared" si="3"/>
        <v>0.006083889493489976</v>
      </c>
      <c r="G8" s="17"/>
      <c r="H8" s="4" t="s">
        <v>4</v>
      </c>
      <c r="I8" s="17">
        <f>'Calculated Percentages'!D8</f>
        <v>208800</v>
      </c>
      <c r="J8" s="61">
        <f>'Housing Costs'!N8</f>
        <v>0.875</v>
      </c>
      <c r="K8" s="61">
        <f>Poverty!N8</f>
        <v>1.5</v>
      </c>
      <c r="L8" s="61">
        <f>Urbanization!R8</f>
        <v>0.875</v>
      </c>
      <c r="M8">
        <f t="shared" si="0"/>
        <v>1.1484375</v>
      </c>
      <c r="N8" s="11">
        <f t="shared" si="4"/>
        <v>239793.75</v>
      </c>
      <c r="O8" s="11">
        <f>'Calculated Percentages'!$N$64</f>
        <v>41435088.28125</v>
      </c>
      <c r="P8" s="21">
        <f t="shared" si="1"/>
        <v>0.005787214651802981</v>
      </c>
    </row>
    <row r="9" spans="1:16" s="46" customFormat="1" ht="12.75">
      <c r="A9" s="39" t="s">
        <v>5</v>
      </c>
      <c r="B9" s="40">
        <f>Population!B9</f>
        <v>42250</v>
      </c>
      <c r="C9" s="40">
        <f>Population!C9</f>
        <v>42250</v>
      </c>
      <c r="D9" s="40">
        <f t="shared" si="2"/>
        <v>0</v>
      </c>
      <c r="E9" s="40">
        <f>'Calculated Percentages'!$B$64</f>
        <v>34320150</v>
      </c>
      <c r="F9" s="45">
        <f t="shared" si="3"/>
        <v>0</v>
      </c>
      <c r="G9" s="40"/>
      <c r="H9" s="39" t="s">
        <v>5</v>
      </c>
      <c r="I9" s="40">
        <f>'Calculated Percentages'!D9</f>
        <v>0</v>
      </c>
      <c r="J9" s="62">
        <f>'Housing Costs'!N9</f>
        <v>1</v>
      </c>
      <c r="K9" s="62">
        <f>Poverty!N9</f>
        <v>0.875</v>
      </c>
      <c r="L9" s="62">
        <f>Urbanization!R9</f>
        <v>0.5</v>
      </c>
      <c r="M9" s="46">
        <f t="shared" si="0"/>
        <v>0.4375</v>
      </c>
      <c r="N9" s="44">
        <f t="shared" si="4"/>
        <v>0</v>
      </c>
      <c r="O9" s="44">
        <f>'Calculated Percentages'!$N$64</f>
        <v>41435088.28125</v>
      </c>
      <c r="P9" s="42">
        <f t="shared" si="1"/>
        <v>0</v>
      </c>
    </row>
    <row r="10" spans="1:16" s="46" customFormat="1" ht="12.75">
      <c r="A10" s="39" t="s">
        <v>6</v>
      </c>
      <c r="B10" s="40">
        <f>Population!B10</f>
        <v>19550</v>
      </c>
      <c r="C10" s="40">
        <f>Population!C10</f>
        <v>19550</v>
      </c>
      <c r="D10" s="40">
        <f t="shared" si="2"/>
        <v>0</v>
      </c>
      <c r="E10" s="40">
        <f>'Calculated Percentages'!$B$64</f>
        <v>34320150</v>
      </c>
      <c r="F10" s="45">
        <f t="shared" si="3"/>
        <v>0</v>
      </c>
      <c r="G10" s="40"/>
      <c r="H10" s="39" t="s">
        <v>6</v>
      </c>
      <c r="I10" s="40">
        <f>'Calculated Percentages'!D10</f>
        <v>0</v>
      </c>
      <c r="J10" s="62">
        <f>'Housing Costs'!N10</f>
        <v>1</v>
      </c>
      <c r="K10" s="62">
        <f>Poverty!N10</f>
        <v>1.5</v>
      </c>
      <c r="L10" s="62">
        <f>Urbanization!R10</f>
        <v>0.5</v>
      </c>
      <c r="M10" s="46">
        <f t="shared" si="0"/>
        <v>0.75</v>
      </c>
      <c r="N10" s="44">
        <f t="shared" si="4"/>
        <v>0</v>
      </c>
      <c r="O10" s="44">
        <f>'Calculated Percentages'!$N$64</f>
        <v>41435088.28125</v>
      </c>
      <c r="P10" s="42">
        <f t="shared" si="1"/>
        <v>0</v>
      </c>
    </row>
    <row r="11" spans="1:16" ht="12.75">
      <c r="A11" s="4" t="s">
        <v>7</v>
      </c>
      <c r="B11" s="17">
        <f>Population!B11</f>
        <v>987000</v>
      </c>
      <c r="C11" s="17">
        <f>Population!C11</f>
        <v>0</v>
      </c>
      <c r="D11" s="17">
        <f t="shared" si="2"/>
        <v>987000</v>
      </c>
      <c r="E11" s="17">
        <f>'Calculated Percentages'!$B$64</f>
        <v>34320150</v>
      </c>
      <c r="F11" s="18">
        <f t="shared" si="3"/>
        <v>0.02875861556549141</v>
      </c>
      <c r="G11" s="17"/>
      <c r="H11" s="4" t="s">
        <v>7</v>
      </c>
      <c r="I11" s="17">
        <f>'Calculated Percentages'!D11</f>
        <v>987000</v>
      </c>
      <c r="J11" s="61">
        <f>'Housing Costs'!N11</f>
        <v>1.5</v>
      </c>
      <c r="K11" s="61">
        <f>Poverty!N11</f>
        <v>0.75</v>
      </c>
      <c r="L11" s="61">
        <f>Urbanization!R11</f>
        <v>1.25</v>
      </c>
      <c r="M11">
        <f t="shared" si="0"/>
        <v>1.40625</v>
      </c>
      <c r="N11" s="11">
        <f t="shared" si="4"/>
        <v>1387968.75</v>
      </c>
      <c r="O11" s="11">
        <f>'Calculated Percentages'!$N$64</f>
        <v>41435088.28125</v>
      </c>
      <c r="P11" s="21">
        <f t="shared" si="1"/>
        <v>0.03349742470871184</v>
      </c>
    </row>
    <row r="12" spans="1:16" s="46" customFormat="1" ht="12.75">
      <c r="A12" s="39" t="s">
        <v>8</v>
      </c>
      <c r="B12" s="40">
        <f>Population!B12</f>
        <v>27850</v>
      </c>
      <c r="C12" s="40">
        <f>Population!C12</f>
        <v>27850</v>
      </c>
      <c r="D12" s="40">
        <f t="shared" si="2"/>
        <v>0</v>
      </c>
      <c r="E12" s="40">
        <f>'Calculated Percentages'!$B$64</f>
        <v>34320150</v>
      </c>
      <c r="F12" s="45">
        <f t="shared" si="3"/>
        <v>0</v>
      </c>
      <c r="G12" s="40"/>
      <c r="H12" s="39" t="s">
        <v>8</v>
      </c>
      <c r="I12" s="40">
        <f>'Calculated Percentages'!D12</f>
        <v>0</v>
      </c>
      <c r="J12" s="62">
        <f>'Housing Costs'!N12</f>
        <v>1</v>
      </c>
      <c r="K12" s="62">
        <f>Poverty!N12</f>
        <v>1.5</v>
      </c>
      <c r="L12" s="62">
        <f>Urbanization!R12</f>
        <v>0.75</v>
      </c>
      <c r="M12" s="46">
        <f t="shared" si="0"/>
        <v>1.125</v>
      </c>
      <c r="N12" s="44">
        <f t="shared" si="4"/>
        <v>0</v>
      </c>
      <c r="O12" s="44">
        <f>'Calculated Percentages'!$N$64</f>
        <v>41435088.28125</v>
      </c>
      <c r="P12" s="42">
        <f t="shared" si="1"/>
        <v>0</v>
      </c>
    </row>
    <row r="13" spans="1:16" s="53" customFormat="1" ht="12.75">
      <c r="A13" s="47" t="s">
        <v>9</v>
      </c>
      <c r="B13" s="48">
        <f>Population!B13</f>
        <v>165200</v>
      </c>
      <c r="C13" s="48">
        <f>Population!C13</f>
        <v>0</v>
      </c>
      <c r="D13" s="17">
        <f t="shared" si="2"/>
        <v>165200</v>
      </c>
      <c r="E13" s="48">
        <f>'Calculated Percentages'!$B$64</f>
        <v>34320150</v>
      </c>
      <c r="F13" s="18">
        <f t="shared" si="3"/>
        <v>0.00481349877550069</v>
      </c>
      <c r="G13" s="48"/>
      <c r="H13" s="47" t="s">
        <v>9</v>
      </c>
      <c r="I13" s="48">
        <f>'Calculated Percentages'!D13</f>
        <v>165200</v>
      </c>
      <c r="J13" s="63">
        <f>'Housing Costs'!N13</f>
        <v>0.875</v>
      </c>
      <c r="K13" s="63">
        <f>Poverty!N13</f>
        <v>0.75</v>
      </c>
      <c r="L13" s="63">
        <f>Urbanization!R13</f>
        <v>0.75</v>
      </c>
      <c r="M13">
        <f t="shared" si="0"/>
        <v>0.4921875</v>
      </c>
      <c r="N13" s="11">
        <f t="shared" si="4"/>
        <v>81309.375</v>
      </c>
      <c r="O13" s="51">
        <f>'Calculated Percentages'!$N$64</f>
        <v>41435088.28125</v>
      </c>
      <c r="P13" s="52">
        <f t="shared" si="1"/>
        <v>0.0019623314049217007</v>
      </c>
    </row>
    <row r="14" spans="1:16" ht="12.75">
      <c r="A14" s="4" t="s">
        <v>10</v>
      </c>
      <c r="B14" s="17">
        <f>Population!B14</f>
        <v>835400</v>
      </c>
      <c r="C14" s="17">
        <f>Population!C14</f>
        <v>0</v>
      </c>
      <c r="D14" s="17">
        <f t="shared" si="2"/>
        <v>835400</v>
      </c>
      <c r="E14" s="17">
        <f>'Calculated Percentages'!$B$64</f>
        <v>34320150</v>
      </c>
      <c r="F14" s="18">
        <f t="shared" si="3"/>
        <v>0.024341385454317653</v>
      </c>
      <c r="G14" s="17"/>
      <c r="H14" s="4" t="s">
        <v>10</v>
      </c>
      <c r="I14" s="17">
        <f>'Calculated Percentages'!D14</f>
        <v>835400</v>
      </c>
      <c r="J14" s="61">
        <f>'Housing Costs'!N14</f>
        <v>0.875</v>
      </c>
      <c r="K14" s="61">
        <f>Poverty!N14</f>
        <v>2</v>
      </c>
      <c r="L14" s="61">
        <f>Urbanization!R14</f>
        <v>0.875</v>
      </c>
      <c r="M14">
        <f t="shared" si="0"/>
        <v>1.53125</v>
      </c>
      <c r="N14" s="11">
        <f t="shared" si="4"/>
        <v>1279206.25</v>
      </c>
      <c r="O14" s="11">
        <f>'Calculated Percentages'!$N$64</f>
        <v>41435088.28125</v>
      </c>
      <c r="P14" s="21">
        <f t="shared" si="1"/>
        <v>0.030872535888353834</v>
      </c>
    </row>
    <row r="15" spans="1:16" s="46" customFormat="1" ht="12.75">
      <c r="A15" s="39" t="s">
        <v>11</v>
      </c>
      <c r="B15" s="40">
        <f>Population!B15</f>
        <v>26850</v>
      </c>
      <c r="C15" s="40">
        <f>Population!C15</f>
        <v>26850</v>
      </c>
      <c r="D15" s="40">
        <f t="shared" si="2"/>
        <v>0</v>
      </c>
      <c r="E15" s="40">
        <f>'Calculated Percentages'!$B$64</f>
        <v>34320150</v>
      </c>
      <c r="F15" s="45">
        <f t="shared" si="3"/>
        <v>0</v>
      </c>
      <c r="G15" s="40"/>
      <c r="H15" s="39" t="s">
        <v>11</v>
      </c>
      <c r="I15" s="40">
        <f>'Calculated Percentages'!D15</f>
        <v>0</v>
      </c>
      <c r="J15" s="62">
        <f>'Housing Costs'!N15</f>
        <v>1</v>
      </c>
      <c r="K15" s="62">
        <f>Poverty!N15</f>
        <v>1.5</v>
      </c>
      <c r="L15" s="62">
        <f>Urbanization!R15</f>
        <v>0.5</v>
      </c>
      <c r="M15" s="46">
        <f t="shared" si="0"/>
        <v>0.75</v>
      </c>
      <c r="N15" s="44">
        <f t="shared" si="4"/>
        <v>0</v>
      </c>
      <c r="O15" s="44">
        <f>'Calculated Percentages'!$N$64</f>
        <v>41435088.28125</v>
      </c>
      <c r="P15" s="42">
        <f t="shared" si="1"/>
        <v>0</v>
      </c>
    </row>
    <row r="16" spans="1:16" s="46" customFormat="1" ht="12.75">
      <c r="A16" s="39" t="s">
        <v>12</v>
      </c>
      <c r="B16" s="40">
        <f>Population!B16</f>
        <v>127500</v>
      </c>
      <c r="C16" s="40">
        <f>Population!C16</f>
        <v>127500</v>
      </c>
      <c r="D16" s="40">
        <f t="shared" si="2"/>
        <v>0</v>
      </c>
      <c r="E16" s="40">
        <f>'Calculated Percentages'!$B$64</f>
        <v>34320150</v>
      </c>
      <c r="F16" s="45">
        <f t="shared" si="3"/>
        <v>0</v>
      </c>
      <c r="G16" s="40"/>
      <c r="H16" s="39" t="s">
        <v>12</v>
      </c>
      <c r="I16" s="40">
        <f>'Calculated Percentages'!D16</f>
        <v>0</v>
      </c>
      <c r="J16" s="62">
        <f>'Housing Costs'!N16</f>
        <v>0.875</v>
      </c>
      <c r="K16" s="62">
        <f>Poverty!N16</f>
        <v>1.5</v>
      </c>
      <c r="L16" s="62">
        <f>Urbanization!R16</f>
        <v>0.75</v>
      </c>
      <c r="M16" s="46">
        <f t="shared" si="0"/>
        <v>0.984375</v>
      </c>
      <c r="N16" s="44">
        <f t="shared" si="4"/>
        <v>0</v>
      </c>
      <c r="O16" s="44">
        <f>'Calculated Percentages'!$N$64</f>
        <v>41435088.28125</v>
      </c>
      <c r="P16" s="42">
        <f t="shared" si="1"/>
        <v>0</v>
      </c>
    </row>
    <row r="17" spans="1:16" s="46" customFormat="1" ht="12.75">
      <c r="A17" s="39" t="s">
        <v>13</v>
      </c>
      <c r="B17" s="40">
        <f>Population!B17</f>
        <v>151900</v>
      </c>
      <c r="C17" s="40">
        <f>Population!C17</f>
        <v>111450</v>
      </c>
      <c r="D17" s="40">
        <f t="shared" si="2"/>
        <v>40450</v>
      </c>
      <c r="E17" s="40">
        <f>'Calculated Percentages'!$B$64</f>
        <v>34320150</v>
      </c>
      <c r="F17" s="45">
        <f t="shared" si="3"/>
        <v>0.001178607902354739</v>
      </c>
      <c r="G17" s="40"/>
      <c r="H17" s="39" t="s">
        <v>13</v>
      </c>
      <c r="I17" s="40">
        <f>'Calculated Percentages'!D17</f>
        <v>40450</v>
      </c>
      <c r="J17" s="62">
        <f>'Housing Costs'!N17</f>
        <v>1</v>
      </c>
      <c r="K17" s="62">
        <f>Poverty!N17</f>
        <v>2</v>
      </c>
      <c r="L17" s="62">
        <f>Urbanization!R17</f>
        <v>0.875</v>
      </c>
      <c r="M17" s="46">
        <f t="shared" si="0"/>
        <v>1.75</v>
      </c>
      <c r="N17" s="44">
        <f t="shared" si="4"/>
        <v>70787.5</v>
      </c>
      <c r="O17" s="44">
        <f>'Calculated Percentages'!$N$64</f>
        <v>41435088.28125</v>
      </c>
      <c r="P17" s="42">
        <f t="shared" si="1"/>
        <v>0.001708395056854082</v>
      </c>
    </row>
    <row r="18" spans="1:16" s="46" customFormat="1" ht="12.75">
      <c r="A18" s="39" t="s">
        <v>14</v>
      </c>
      <c r="B18" s="40">
        <f>Population!B18</f>
        <v>18250</v>
      </c>
      <c r="C18" s="40">
        <f>Population!C18</f>
        <v>18250</v>
      </c>
      <c r="D18" s="40">
        <f t="shared" si="2"/>
        <v>0</v>
      </c>
      <c r="E18" s="40">
        <f>'Calculated Percentages'!$B$64</f>
        <v>34320150</v>
      </c>
      <c r="F18" s="45">
        <f t="shared" si="3"/>
        <v>0</v>
      </c>
      <c r="G18" s="40"/>
      <c r="H18" s="39" t="s">
        <v>14</v>
      </c>
      <c r="I18" s="40">
        <f>'Calculated Percentages'!D18</f>
        <v>0</v>
      </c>
      <c r="J18" s="62">
        <f>'Housing Costs'!N18</f>
        <v>1</v>
      </c>
      <c r="K18" s="62">
        <f>Poverty!N18</f>
        <v>1</v>
      </c>
      <c r="L18" s="62">
        <f>Urbanization!R18</f>
        <v>0.5</v>
      </c>
      <c r="M18" s="46">
        <f t="shared" si="0"/>
        <v>0.5</v>
      </c>
      <c r="N18" s="44">
        <f t="shared" si="4"/>
        <v>0</v>
      </c>
      <c r="O18" s="44">
        <f>'Calculated Percentages'!$N$64</f>
        <v>41435088.28125</v>
      </c>
      <c r="P18" s="42">
        <f t="shared" si="1"/>
        <v>0</v>
      </c>
    </row>
    <row r="19" spans="1:16" ht="12.75">
      <c r="A19" s="4" t="s">
        <v>15</v>
      </c>
      <c r="B19" s="17">
        <f>Population!B19</f>
        <v>697100</v>
      </c>
      <c r="C19" s="17">
        <f>Population!C19</f>
        <v>0</v>
      </c>
      <c r="D19" s="17">
        <f t="shared" si="2"/>
        <v>697100</v>
      </c>
      <c r="E19" s="17">
        <f>'Calculated Percentages'!$B$64</f>
        <v>34320150</v>
      </c>
      <c r="F19" s="18">
        <f t="shared" si="3"/>
        <v>0.020311682786934206</v>
      </c>
      <c r="G19" s="17"/>
      <c r="H19" s="4" t="s">
        <v>15</v>
      </c>
      <c r="I19" s="17">
        <f>'Calculated Percentages'!D19</f>
        <v>697100</v>
      </c>
      <c r="J19" s="61">
        <f>'Housing Costs'!N19</f>
        <v>0.875</v>
      </c>
      <c r="K19" s="61">
        <f>Poverty!N19</f>
        <v>1.5</v>
      </c>
      <c r="L19" s="61">
        <f>Urbanization!R19</f>
        <v>0.875</v>
      </c>
      <c r="M19">
        <f t="shared" si="0"/>
        <v>1.1484375</v>
      </c>
      <c r="N19" s="11">
        <f t="shared" si="4"/>
        <v>800575.78125</v>
      </c>
      <c r="O19" s="11">
        <f>'Calculated Percentages'!$N$64</f>
        <v>41435088.28125</v>
      </c>
      <c r="P19" s="21">
        <f t="shared" si="1"/>
        <v>0.019321203705803917</v>
      </c>
    </row>
    <row r="20" spans="1:16" ht="12.75">
      <c r="A20" s="4" t="s">
        <v>16</v>
      </c>
      <c r="B20" s="17">
        <f>Population!B20</f>
        <v>134700</v>
      </c>
      <c r="C20" s="17">
        <f>Population!C20</f>
        <v>0</v>
      </c>
      <c r="D20" s="17">
        <f t="shared" si="2"/>
        <v>134700</v>
      </c>
      <c r="E20" s="17">
        <f>'Calculated Percentages'!$B$64</f>
        <v>34320150</v>
      </c>
      <c r="F20" s="18">
        <f t="shared" si="3"/>
        <v>0.0039248080209439646</v>
      </c>
      <c r="G20" s="17"/>
      <c r="H20" s="4" t="s">
        <v>16</v>
      </c>
      <c r="I20" s="17">
        <f>'Calculated Percentages'!D20</f>
        <v>134700</v>
      </c>
      <c r="J20" s="61">
        <f>'Housing Costs'!N20</f>
        <v>0.875</v>
      </c>
      <c r="K20" s="61">
        <f>Poverty!N20</f>
        <v>1.5</v>
      </c>
      <c r="L20" s="61">
        <f>Urbanization!R20</f>
        <v>0.875</v>
      </c>
      <c r="M20">
        <f t="shared" si="0"/>
        <v>1.1484375</v>
      </c>
      <c r="N20" s="11">
        <f t="shared" si="4"/>
        <v>154694.53125</v>
      </c>
      <c r="O20" s="11">
        <f>'Calculated Percentages'!$N$64</f>
        <v>41435088.28125</v>
      </c>
      <c r="P20" s="21">
        <f t="shared" si="1"/>
        <v>0.0037334186474993368</v>
      </c>
    </row>
    <row r="21" spans="1:16" s="46" customFormat="1" ht="12.75">
      <c r="A21" s="39" t="s">
        <v>17</v>
      </c>
      <c r="B21" s="40">
        <f>Population!B21</f>
        <v>61100</v>
      </c>
      <c r="C21" s="40">
        <f>Population!C21</f>
        <v>61100</v>
      </c>
      <c r="D21" s="40">
        <f t="shared" si="2"/>
        <v>0</v>
      </c>
      <c r="E21" s="40">
        <f>'Calculated Percentages'!$B$64</f>
        <v>34320150</v>
      </c>
      <c r="F21" s="45">
        <f t="shared" si="3"/>
        <v>0</v>
      </c>
      <c r="G21" s="40"/>
      <c r="H21" s="39" t="s">
        <v>17</v>
      </c>
      <c r="I21" s="40">
        <f>'Calculated Percentages'!D21</f>
        <v>0</v>
      </c>
      <c r="J21" s="62">
        <f>'Housing Costs'!N21</f>
        <v>0.875</v>
      </c>
      <c r="K21" s="62">
        <f>Poverty!N21</f>
        <v>1.5</v>
      </c>
      <c r="L21" s="62">
        <f>Urbanization!R21</f>
        <v>0.5</v>
      </c>
      <c r="M21" s="46">
        <f t="shared" si="0"/>
        <v>0.65625</v>
      </c>
      <c r="N21" s="44">
        <f t="shared" si="4"/>
        <v>0</v>
      </c>
      <c r="O21" s="44">
        <f>'Calculated Percentages'!$N$64</f>
        <v>41435088.28125</v>
      </c>
      <c r="P21" s="42">
        <f t="shared" si="1"/>
        <v>0</v>
      </c>
    </row>
    <row r="22" spans="1:16" s="46" customFormat="1" ht="12.75">
      <c r="A22" s="39" t="s">
        <v>18</v>
      </c>
      <c r="B22" s="40">
        <f>Population!B22</f>
        <v>34150</v>
      </c>
      <c r="C22" s="40">
        <f>Population!C22</f>
        <v>34150</v>
      </c>
      <c r="D22" s="40">
        <f t="shared" si="2"/>
        <v>0</v>
      </c>
      <c r="E22" s="40">
        <f>'Calculated Percentages'!$B$64</f>
        <v>34320150</v>
      </c>
      <c r="F22" s="45">
        <f t="shared" si="3"/>
        <v>0</v>
      </c>
      <c r="G22" s="40"/>
      <c r="H22" s="39" t="s">
        <v>18</v>
      </c>
      <c r="I22" s="40">
        <f>'Calculated Percentages'!D22</f>
        <v>0</v>
      </c>
      <c r="J22" s="62">
        <f>'Housing Costs'!N22</f>
        <v>1</v>
      </c>
      <c r="K22" s="62">
        <f>Poverty!N22</f>
        <v>1</v>
      </c>
      <c r="L22" s="62">
        <f>Urbanization!R22</f>
        <v>0.5</v>
      </c>
      <c r="M22" s="46">
        <f t="shared" si="0"/>
        <v>0.5</v>
      </c>
      <c r="N22" s="44">
        <f t="shared" si="4"/>
        <v>0</v>
      </c>
      <c r="O22" s="44">
        <f>'Calculated Percentages'!$N$64</f>
        <v>41435088.28125</v>
      </c>
      <c r="P22" s="42">
        <f t="shared" si="1"/>
        <v>0</v>
      </c>
    </row>
    <row r="23" spans="1:16" ht="11.25" customHeight="1">
      <c r="A23" s="4" t="s">
        <v>19</v>
      </c>
      <c r="B23" s="17">
        <f>Population!B23</f>
        <v>9902700</v>
      </c>
      <c r="C23" s="17">
        <f>Population!C23</f>
        <v>0</v>
      </c>
      <c r="D23" s="17">
        <f t="shared" si="2"/>
        <v>9902700</v>
      </c>
      <c r="E23" s="17">
        <f>'Calculated Percentages'!$B$64</f>
        <v>34320150</v>
      </c>
      <c r="F23" s="18">
        <f t="shared" si="3"/>
        <v>0.28853894869340607</v>
      </c>
      <c r="G23" s="17"/>
      <c r="H23" s="4" t="s">
        <v>19</v>
      </c>
      <c r="I23" s="17">
        <f>'Calculated Percentages'!D23</f>
        <v>9902700</v>
      </c>
      <c r="J23" s="61">
        <f>'Housing Costs'!N23</f>
        <v>0.875</v>
      </c>
      <c r="K23" s="61">
        <f>Poverty!N23</f>
        <v>1.25</v>
      </c>
      <c r="L23" s="61">
        <f>Urbanization!R23</f>
        <v>1.25</v>
      </c>
      <c r="M23">
        <f t="shared" si="0"/>
        <v>1.3671875</v>
      </c>
      <c r="N23" s="11">
        <f t="shared" si="4"/>
        <v>13538847.65625</v>
      </c>
      <c r="O23" s="11">
        <f>'Calculated Percentages'!$N$64</f>
        <v>41435088.28125</v>
      </c>
      <c r="P23" s="21">
        <f t="shared" si="1"/>
        <v>0.32674837240244353</v>
      </c>
    </row>
    <row r="24" spans="1:16" ht="12.75">
      <c r="A24" s="4" t="s">
        <v>20</v>
      </c>
      <c r="B24" s="17">
        <f>Population!B24</f>
        <v>131800</v>
      </c>
      <c r="C24" s="17">
        <f>Population!C24</f>
        <v>0</v>
      </c>
      <c r="D24" s="17">
        <f t="shared" si="2"/>
        <v>131800</v>
      </c>
      <c r="E24" s="17">
        <f>'Calculated Percentages'!$B$64</f>
        <v>34320150</v>
      </c>
      <c r="F24" s="18">
        <f t="shared" si="3"/>
        <v>0.0038403095557566036</v>
      </c>
      <c r="G24" s="17"/>
      <c r="H24" s="4" t="s">
        <v>20</v>
      </c>
      <c r="I24" s="17">
        <f>'Calculated Percentages'!D24</f>
        <v>131800</v>
      </c>
      <c r="J24" s="61">
        <f>'Housing Costs'!N24</f>
        <v>0.875</v>
      </c>
      <c r="K24" s="61">
        <f>Poverty!N24</f>
        <v>1.5</v>
      </c>
      <c r="L24" s="61">
        <f>Urbanization!R24</f>
        <v>0.75</v>
      </c>
      <c r="M24">
        <f t="shared" si="0"/>
        <v>0.984375</v>
      </c>
      <c r="N24" s="11">
        <f t="shared" si="4"/>
        <v>129740.625</v>
      </c>
      <c r="O24" s="11">
        <f>'Calculated Percentages'!$N$64</f>
        <v>41435088.28125</v>
      </c>
      <c r="P24" s="21">
        <f t="shared" si="1"/>
        <v>0.003131177713906539</v>
      </c>
    </row>
    <row r="25" spans="1:16" ht="12.75">
      <c r="A25" s="4" t="s">
        <v>21</v>
      </c>
      <c r="B25" s="17">
        <f>Population!B25</f>
        <v>249100</v>
      </c>
      <c r="C25" s="17">
        <f>Population!C25</f>
        <v>0</v>
      </c>
      <c r="D25" s="17">
        <f t="shared" si="2"/>
        <v>249100</v>
      </c>
      <c r="E25" s="17">
        <f>'Calculated Percentages'!$B$64</f>
        <v>34320150</v>
      </c>
      <c r="F25" s="18">
        <f t="shared" si="3"/>
        <v>0.007258126785576404</v>
      </c>
      <c r="G25" s="17"/>
      <c r="H25" s="4" t="s">
        <v>21</v>
      </c>
      <c r="I25" s="17">
        <f>'Calculated Percentages'!D25</f>
        <v>249100</v>
      </c>
      <c r="J25" s="61">
        <f>'Housing Costs'!N25</f>
        <v>1.25</v>
      </c>
      <c r="K25" s="61">
        <f>Poverty!N25</f>
        <v>0.5</v>
      </c>
      <c r="L25" s="61">
        <f>Urbanization!R25</f>
        <v>0.875</v>
      </c>
      <c r="M25">
        <f t="shared" si="0"/>
        <v>0.546875</v>
      </c>
      <c r="N25" s="11">
        <f t="shared" si="4"/>
        <v>136226.5625</v>
      </c>
      <c r="O25" s="11">
        <f>'Calculated Percentages'!$N$64</f>
        <v>41435088.28125</v>
      </c>
      <c r="P25" s="21">
        <f t="shared" si="1"/>
        <v>0.003287710202892088</v>
      </c>
    </row>
    <row r="26" spans="1:16" s="46" customFormat="1" ht="12.75">
      <c r="A26" s="39" t="s">
        <v>22</v>
      </c>
      <c r="B26" s="40">
        <f>Population!B26</f>
        <v>17400</v>
      </c>
      <c r="C26" s="40">
        <f>Population!C26</f>
        <v>17400</v>
      </c>
      <c r="D26" s="40">
        <f t="shared" si="2"/>
        <v>0</v>
      </c>
      <c r="E26" s="40">
        <f>'Calculated Percentages'!$B$64</f>
        <v>34320150</v>
      </c>
      <c r="F26" s="45">
        <f t="shared" si="3"/>
        <v>0</v>
      </c>
      <c r="G26" s="40"/>
      <c r="H26" s="39" t="s">
        <v>22</v>
      </c>
      <c r="I26" s="40">
        <f>'Calculated Percentages'!D26</f>
        <v>0</v>
      </c>
      <c r="J26" s="62">
        <f>'Housing Costs'!N26</f>
        <v>1</v>
      </c>
      <c r="K26" s="62">
        <f>Poverty!N26</f>
        <v>1.25</v>
      </c>
      <c r="L26" s="62">
        <f>Urbanization!R26</f>
        <v>0.5</v>
      </c>
      <c r="M26" s="46">
        <f t="shared" si="0"/>
        <v>0.625</v>
      </c>
      <c r="N26" s="44">
        <f t="shared" si="4"/>
        <v>0</v>
      </c>
      <c r="O26" s="44">
        <f>'Calculated Percentages'!$N$64</f>
        <v>41435088.28125</v>
      </c>
      <c r="P26" s="42">
        <f t="shared" si="1"/>
        <v>0</v>
      </c>
    </row>
    <row r="27" spans="1:16" s="46" customFormat="1" ht="12.75">
      <c r="A27" s="39" t="s">
        <v>23</v>
      </c>
      <c r="B27" s="40">
        <f>Population!B27</f>
        <v>87900</v>
      </c>
      <c r="C27" s="40">
        <f>Population!C27</f>
        <v>87900</v>
      </c>
      <c r="D27" s="40">
        <f t="shared" si="2"/>
        <v>0</v>
      </c>
      <c r="E27" s="40">
        <f>'Calculated Percentages'!$B$64</f>
        <v>34320150</v>
      </c>
      <c r="F27" s="45">
        <f t="shared" si="3"/>
        <v>0</v>
      </c>
      <c r="G27" s="40"/>
      <c r="H27" s="39" t="s">
        <v>23</v>
      </c>
      <c r="I27" s="40">
        <f>'Calculated Percentages'!D27</f>
        <v>0</v>
      </c>
      <c r="J27" s="62">
        <f>'Housing Costs'!N27</f>
        <v>0.875</v>
      </c>
      <c r="K27" s="62">
        <f>Poverty!N27</f>
        <v>1.25</v>
      </c>
      <c r="L27" s="62">
        <f>Urbanization!R27</f>
        <v>0.5</v>
      </c>
      <c r="M27" s="46">
        <f t="shared" si="0"/>
        <v>0.546875</v>
      </c>
      <c r="N27" s="44">
        <f t="shared" si="4"/>
        <v>0</v>
      </c>
      <c r="O27" s="44">
        <f>'Calculated Percentages'!$N$64</f>
        <v>41435088.28125</v>
      </c>
      <c r="P27" s="42">
        <f t="shared" si="1"/>
        <v>0</v>
      </c>
    </row>
    <row r="28" spans="1:16" ht="12.75">
      <c r="A28" s="4" t="s">
        <v>24</v>
      </c>
      <c r="B28" s="17">
        <f>Population!B28</f>
        <v>222700</v>
      </c>
      <c r="C28" s="17">
        <f>Population!C28</f>
        <v>0</v>
      </c>
      <c r="D28" s="17">
        <f t="shared" si="2"/>
        <v>222700</v>
      </c>
      <c r="E28" s="17">
        <f>'Calculated Percentages'!$B$64</f>
        <v>34320150</v>
      </c>
      <c r="F28" s="18">
        <f t="shared" si="3"/>
        <v>0.006488899378353533</v>
      </c>
      <c r="G28" s="17"/>
      <c r="H28" s="4" t="s">
        <v>24</v>
      </c>
      <c r="I28" s="17">
        <f>'Calculated Percentages'!D28</f>
        <v>222700</v>
      </c>
      <c r="J28" s="61">
        <f>'Housing Costs'!N28</f>
        <v>0.875</v>
      </c>
      <c r="K28" s="61">
        <f>Poverty!N28</f>
        <v>2</v>
      </c>
      <c r="L28" s="61">
        <f>Urbanization!R28</f>
        <v>0.875</v>
      </c>
      <c r="M28">
        <f t="shared" si="0"/>
        <v>1.53125</v>
      </c>
      <c r="N28" s="11">
        <f t="shared" si="4"/>
        <v>341009.375</v>
      </c>
      <c r="O28" s="11">
        <f>'Calculated Percentages'!$N$64</f>
        <v>41435088.28125</v>
      </c>
      <c r="P28" s="21">
        <f t="shared" si="1"/>
        <v>0.008229966174690446</v>
      </c>
    </row>
    <row r="29" spans="1:16" s="46" customFormat="1" ht="12.75">
      <c r="A29" s="39" t="s">
        <v>25</v>
      </c>
      <c r="B29" s="40">
        <f>Population!B29</f>
        <v>9300</v>
      </c>
      <c r="C29" s="40">
        <f>Population!C29</f>
        <v>9300</v>
      </c>
      <c r="D29" s="40">
        <f t="shared" si="2"/>
        <v>0</v>
      </c>
      <c r="E29" s="40">
        <f>'Calculated Percentages'!$B$64</f>
        <v>34320150</v>
      </c>
      <c r="F29" s="45">
        <f t="shared" si="3"/>
        <v>0</v>
      </c>
      <c r="G29" s="40"/>
      <c r="H29" s="39" t="s">
        <v>25</v>
      </c>
      <c r="I29" s="40">
        <f>'Calculated Percentages'!D29</f>
        <v>0</v>
      </c>
      <c r="J29" s="62">
        <f>'Housing Costs'!N29</f>
        <v>1</v>
      </c>
      <c r="K29" s="62">
        <f>Poverty!N29</f>
        <v>1.5</v>
      </c>
      <c r="L29" s="62">
        <f>Urbanization!R29</f>
        <v>0.5</v>
      </c>
      <c r="M29" s="46">
        <f t="shared" si="0"/>
        <v>0.75</v>
      </c>
      <c r="N29" s="44">
        <f t="shared" si="4"/>
        <v>0</v>
      </c>
      <c r="O29" s="44">
        <f>'Calculated Percentages'!$N$64</f>
        <v>41435088.28125</v>
      </c>
      <c r="P29" s="42">
        <f t="shared" si="1"/>
        <v>0</v>
      </c>
    </row>
    <row r="30" spans="1:16" s="46" customFormat="1" ht="12.75">
      <c r="A30" s="39" t="s">
        <v>26</v>
      </c>
      <c r="B30" s="40">
        <f>Population!B30</f>
        <v>13350</v>
      </c>
      <c r="C30" s="40">
        <f>Population!C30</f>
        <v>13350</v>
      </c>
      <c r="D30" s="40">
        <f t="shared" si="2"/>
        <v>0</v>
      </c>
      <c r="E30" s="40">
        <f>'Calculated Percentages'!$B$64</f>
        <v>34320150</v>
      </c>
      <c r="F30" s="45">
        <f t="shared" si="3"/>
        <v>0</v>
      </c>
      <c r="G30" s="40"/>
      <c r="H30" s="39" t="s">
        <v>26</v>
      </c>
      <c r="I30" s="40">
        <f>'Calculated Percentages'!D30</f>
        <v>0</v>
      </c>
      <c r="J30" s="62">
        <f>'Housing Costs'!N30</f>
        <v>1</v>
      </c>
      <c r="K30" s="62">
        <f>Poverty!N30</f>
        <v>1</v>
      </c>
      <c r="L30" s="62">
        <f>Urbanization!R30</f>
        <v>0.5</v>
      </c>
      <c r="M30" s="46">
        <f t="shared" si="0"/>
        <v>0.5</v>
      </c>
      <c r="N30" s="44">
        <f t="shared" si="4"/>
        <v>0</v>
      </c>
      <c r="O30" s="44">
        <f>'Calculated Percentages'!$N$64</f>
        <v>41435088.28125</v>
      </c>
      <c r="P30" s="42">
        <f t="shared" si="1"/>
        <v>0</v>
      </c>
    </row>
    <row r="31" spans="1:16" ht="12.75">
      <c r="A31" s="4" t="s">
        <v>27</v>
      </c>
      <c r="B31" s="17">
        <f>Population!B31</f>
        <v>412000</v>
      </c>
      <c r="C31" s="17">
        <f>Population!C31</f>
        <v>0</v>
      </c>
      <c r="D31" s="17">
        <f t="shared" si="2"/>
        <v>412000</v>
      </c>
      <c r="E31" s="17">
        <f>'Calculated Percentages'!$B$64</f>
        <v>34320150</v>
      </c>
      <c r="F31" s="18">
        <f t="shared" si="3"/>
        <v>0.012004609536962979</v>
      </c>
      <c r="G31" s="17"/>
      <c r="H31" s="4" t="s">
        <v>27</v>
      </c>
      <c r="I31" s="17">
        <f>'Calculated Percentages'!D31</f>
        <v>412000</v>
      </c>
      <c r="J31" s="61">
        <f>'Housing Costs'!N31</f>
        <v>1</v>
      </c>
      <c r="K31" s="61">
        <f>Poverty!N31</f>
        <v>1.25</v>
      </c>
      <c r="L31" s="61">
        <f>Urbanization!R31</f>
        <v>0.875</v>
      </c>
      <c r="M31">
        <f t="shared" si="0"/>
        <v>1.09375</v>
      </c>
      <c r="N31" s="11">
        <f t="shared" si="4"/>
        <v>450625</v>
      </c>
      <c r="O31" s="11">
        <f>'Calculated Percentages'!$N$64</f>
        <v>41435088.28125</v>
      </c>
      <c r="P31" s="21">
        <f t="shared" si="1"/>
        <v>0.010875444428675553</v>
      </c>
    </row>
    <row r="32" spans="1:16" ht="12.75">
      <c r="A32" s="4" t="s">
        <v>28</v>
      </c>
      <c r="B32" s="17">
        <f>Population!B32</f>
        <v>128900</v>
      </c>
      <c r="C32" s="17">
        <f>Population!C32</f>
        <v>0</v>
      </c>
      <c r="D32" s="17">
        <f t="shared" si="2"/>
        <v>128900</v>
      </c>
      <c r="E32" s="17">
        <f>'Calculated Percentages'!$B$64</f>
        <v>34320150</v>
      </c>
      <c r="F32" s="18">
        <f t="shared" si="3"/>
        <v>0.003755811090569243</v>
      </c>
      <c r="G32" s="17"/>
      <c r="H32" s="4" t="s">
        <v>28</v>
      </c>
      <c r="I32" s="17">
        <f>'Calculated Percentages'!D32</f>
        <v>128900</v>
      </c>
      <c r="J32" s="61">
        <f>'Housing Costs'!N32</f>
        <v>1.25</v>
      </c>
      <c r="K32" s="61">
        <f>Poverty!N32</f>
        <v>0.75</v>
      </c>
      <c r="L32" s="61">
        <f>Urbanization!R32</f>
        <v>0.875</v>
      </c>
      <c r="M32">
        <f t="shared" si="0"/>
        <v>0.8203125</v>
      </c>
      <c r="N32" s="11">
        <f t="shared" si="4"/>
        <v>105738.28125</v>
      </c>
      <c r="O32" s="11">
        <f>'Calculated Percentages'!$N$64</f>
        <v>41435088.28125</v>
      </c>
      <c r="P32" s="21">
        <f t="shared" si="1"/>
        <v>0.0025519019178208958</v>
      </c>
    </row>
    <row r="33" spans="1:16" s="46" customFormat="1" ht="12.75">
      <c r="A33" s="39" t="s">
        <v>29</v>
      </c>
      <c r="B33" s="40">
        <f>Population!B33</f>
        <v>95700</v>
      </c>
      <c r="C33" s="40">
        <f>Population!C33</f>
        <v>95700</v>
      </c>
      <c r="D33" s="40">
        <f t="shared" si="2"/>
        <v>0</v>
      </c>
      <c r="E33" s="40">
        <f>'Calculated Percentages'!$B$64</f>
        <v>34320150</v>
      </c>
      <c r="F33" s="45">
        <f t="shared" si="3"/>
        <v>0</v>
      </c>
      <c r="G33" s="40"/>
      <c r="H33" s="39" t="s">
        <v>29</v>
      </c>
      <c r="I33" s="40">
        <f>'Calculated Percentages'!D33</f>
        <v>0</v>
      </c>
      <c r="J33" s="62">
        <f>'Housing Costs'!N33</f>
        <v>1.25</v>
      </c>
      <c r="K33" s="62">
        <f>Poverty!N33</f>
        <v>0.75</v>
      </c>
      <c r="L33" s="62">
        <f>Urbanization!R33</f>
        <v>0.5</v>
      </c>
      <c r="M33" s="46">
        <f t="shared" si="0"/>
        <v>0.46875</v>
      </c>
      <c r="N33" s="44">
        <f t="shared" si="4"/>
        <v>0</v>
      </c>
      <c r="O33" s="44">
        <f>'Calculated Percentages'!$N$64</f>
        <v>41435088.28125</v>
      </c>
      <c r="P33" s="42">
        <f t="shared" si="1"/>
        <v>0</v>
      </c>
    </row>
    <row r="34" spans="1:16" ht="12.75">
      <c r="A34" s="4" t="s">
        <v>30</v>
      </c>
      <c r="B34" s="17">
        <f>Population!B34</f>
        <v>2954500</v>
      </c>
      <c r="C34" s="17">
        <f>Population!C34</f>
        <v>0</v>
      </c>
      <c r="D34" s="17">
        <f t="shared" si="2"/>
        <v>2954500</v>
      </c>
      <c r="E34" s="17">
        <f>'Calculated Percentages'!$B$64</f>
        <v>34320150</v>
      </c>
      <c r="F34" s="18">
        <f t="shared" si="3"/>
        <v>0.08608645358484739</v>
      </c>
      <c r="G34" s="17"/>
      <c r="H34" s="4" t="s">
        <v>30</v>
      </c>
      <c r="I34" s="17">
        <f>'Calculated Percentages'!D34</f>
        <v>2954500</v>
      </c>
      <c r="J34" s="61">
        <f>'Housing Costs'!N34</f>
        <v>1</v>
      </c>
      <c r="K34" s="61">
        <f>Poverty!N34</f>
        <v>0.875</v>
      </c>
      <c r="L34" s="61">
        <f>Urbanization!R34</f>
        <v>1.25</v>
      </c>
      <c r="M34">
        <f t="shared" si="0"/>
        <v>1.09375</v>
      </c>
      <c r="N34" s="11">
        <f t="shared" si="4"/>
        <v>3231484.375</v>
      </c>
      <c r="O34" s="11">
        <f>'Calculated Percentages'!$N$64</f>
        <v>41435088.28125</v>
      </c>
      <c r="P34" s="21">
        <f t="shared" si="1"/>
        <v>0.07798907904010174</v>
      </c>
    </row>
    <row r="35" spans="1:16" ht="12.75">
      <c r="A35" s="4" t="s">
        <v>31</v>
      </c>
      <c r="B35" s="17">
        <f>Population!B35</f>
        <v>270700</v>
      </c>
      <c r="C35" s="17">
        <f>Population!C35</f>
        <v>0</v>
      </c>
      <c r="D35" s="17">
        <f t="shared" si="2"/>
        <v>270700</v>
      </c>
      <c r="E35" s="17">
        <f>'Calculated Percentages'!$B$64</f>
        <v>34320150</v>
      </c>
      <c r="F35" s="18">
        <f t="shared" si="3"/>
        <v>0.007887494664213297</v>
      </c>
      <c r="G35" s="17"/>
      <c r="H35" s="4" t="s">
        <v>31</v>
      </c>
      <c r="I35" s="17">
        <f>'Calculated Percentages'!D35</f>
        <v>270700</v>
      </c>
      <c r="J35" s="61">
        <f>'Housing Costs'!N35</f>
        <v>0.875</v>
      </c>
      <c r="K35" s="61">
        <f>Poverty!N35</f>
        <v>0.5</v>
      </c>
      <c r="L35" s="61">
        <f>Urbanization!R35</f>
        <v>0.75</v>
      </c>
      <c r="M35">
        <f t="shared" si="0"/>
        <v>0.328125</v>
      </c>
      <c r="N35" s="11">
        <f t="shared" si="4"/>
        <v>88823.4375</v>
      </c>
      <c r="O35" s="11">
        <f>'Calculated Percentages'!$N$64</f>
        <v>41435088.28125</v>
      </c>
      <c r="P35" s="21">
        <f t="shared" si="1"/>
        <v>0.0021436768010988875</v>
      </c>
    </row>
    <row r="36" spans="1:16" s="46" customFormat="1" ht="12.75">
      <c r="A36" s="39" t="s">
        <v>32</v>
      </c>
      <c r="B36" s="40">
        <f>Population!B36</f>
        <v>20950</v>
      </c>
      <c r="C36" s="40">
        <f>Population!C36</f>
        <v>20950</v>
      </c>
      <c r="D36" s="40">
        <f t="shared" si="2"/>
        <v>0</v>
      </c>
      <c r="E36" s="40">
        <f>'Calculated Percentages'!$B$64</f>
        <v>34320150</v>
      </c>
      <c r="F36" s="45">
        <f t="shared" si="3"/>
        <v>0</v>
      </c>
      <c r="G36" s="40"/>
      <c r="H36" s="39" t="s">
        <v>32</v>
      </c>
      <c r="I36" s="40">
        <f>'Calculated Percentages'!D36</f>
        <v>0</v>
      </c>
      <c r="J36" s="62">
        <f>'Housing Costs'!N36</f>
        <v>1</v>
      </c>
      <c r="K36" s="62">
        <f>Poverty!N36</f>
        <v>1</v>
      </c>
      <c r="L36" s="62">
        <f>Urbanization!R36</f>
        <v>0.5</v>
      </c>
      <c r="M36" s="46">
        <f t="shared" si="0"/>
        <v>0.5</v>
      </c>
      <c r="N36" s="44">
        <f t="shared" si="4"/>
        <v>0</v>
      </c>
      <c r="O36" s="44">
        <f>'Calculated Percentages'!$N$64</f>
        <v>41435088.28125</v>
      </c>
      <c r="P36" s="42">
        <f t="shared" si="1"/>
        <v>0</v>
      </c>
    </row>
    <row r="37" spans="1:16" ht="12.75">
      <c r="A37" s="4" t="s">
        <v>33</v>
      </c>
      <c r="B37" s="17">
        <f>Population!B37</f>
        <v>1677100</v>
      </c>
      <c r="C37" s="17">
        <f>Population!C37</f>
        <v>0</v>
      </c>
      <c r="D37" s="17">
        <f t="shared" si="2"/>
        <v>1677100</v>
      </c>
      <c r="E37" s="17">
        <f>'Calculated Percentages'!$B$64</f>
        <v>34320150</v>
      </c>
      <c r="F37" s="18">
        <f t="shared" si="3"/>
        <v>0.0488663365399044</v>
      </c>
      <c r="G37" s="17"/>
      <c r="H37" s="4" t="s">
        <v>33</v>
      </c>
      <c r="I37" s="17">
        <f>'Calculated Percentages'!D37</f>
        <v>1677100</v>
      </c>
      <c r="J37" s="61">
        <f>'Housing Costs'!N37</f>
        <v>1</v>
      </c>
      <c r="K37" s="61">
        <f>Poverty!N37</f>
        <v>1</v>
      </c>
      <c r="L37" s="61">
        <f>Urbanization!R37</f>
        <v>0.875</v>
      </c>
      <c r="M37">
        <f aca="true" t="shared" si="5" ref="M37:M62">J37*K37*L37</f>
        <v>0.875</v>
      </c>
      <c r="N37" s="11">
        <f t="shared" si="4"/>
        <v>1467462.5</v>
      </c>
      <c r="O37" s="11">
        <f>'Calculated Percentages'!$N$64</f>
        <v>41435088.28125</v>
      </c>
      <c r="P37" s="21">
        <f aca="true" t="shared" si="6" ref="P37:P62">N37/O37</f>
        <v>0.03541593757540149</v>
      </c>
    </row>
    <row r="38" spans="1:16" ht="12.75">
      <c r="A38" s="4" t="s">
        <v>34</v>
      </c>
      <c r="B38" s="17">
        <f>Population!B38</f>
        <v>1297600</v>
      </c>
      <c r="C38" s="17">
        <f>Population!C38</f>
        <v>0</v>
      </c>
      <c r="D38" s="17">
        <f t="shared" si="2"/>
        <v>1297600</v>
      </c>
      <c r="E38" s="17">
        <f>'Calculated Percentages'!$B$64</f>
        <v>34320150</v>
      </c>
      <c r="F38" s="18">
        <f t="shared" si="3"/>
        <v>0.037808692561075635</v>
      </c>
      <c r="G38" s="17"/>
      <c r="H38" s="4" t="s">
        <v>34</v>
      </c>
      <c r="I38" s="17">
        <f>'Calculated Percentages'!D38</f>
        <v>1297600</v>
      </c>
      <c r="J38" s="61">
        <f>'Housing Costs'!N38</f>
        <v>0.875</v>
      </c>
      <c r="K38" s="61">
        <f>Poverty!N38</f>
        <v>1</v>
      </c>
      <c r="L38" s="61">
        <f>Urbanization!R38</f>
        <v>1.25</v>
      </c>
      <c r="M38">
        <f t="shared" si="5"/>
        <v>1.09375</v>
      </c>
      <c r="N38" s="11">
        <f t="shared" si="4"/>
        <v>1419250</v>
      </c>
      <c r="O38" s="11">
        <f>'Calculated Percentages'!$N$64</f>
        <v>41435088.28125</v>
      </c>
      <c r="P38" s="21">
        <f t="shared" si="6"/>
        <v>0.03425237060837232</v>
      </c>
    </row>
    <row r="39" spans="1:16" s="46" customFormat="1" ht="12.75">
      <c r="A39" s="39" t="s">
        <v>35</v>
      </c>
      <c r="B39" s="40">
        <f>Population!B39</f>
        <v>56000</v>
      </c>
      <c r="C39" s="40">
        <f>Population!C39</f>
        <v>56000</v>
      </c>
      <c r="D39" s="40">
        <f t="shared" si="2"/>
        <v>0</v>
      </c>
      <c r="E39" s="40">
        <f>'Calculated Percentages'!$B$64</f>
        <v>34320150</v>
      </c>
      <c r="F39" s="45">
        <f t="shared" si="3"/>
        <v>0</v>
      </c>
      <c r="G39" s="40"/>
      <c r="H39" s="39" t="s">
        <v>35</v>
      </c>
      <c r="I39" s="40">
        <f>'Calculated Percentages'!D39</f>
        <v>0</v>
      </c>
      <c r="J39" s="62">
        <f>'Housing Costs'!N39</f>
        <v>1</v>
      </c>
      <c r="K39" s="62">
        <f>Poverty!N39</f>
        <v>0.875</v>
      </c>
      <c r="L39" s="62">
        <f>Urbanization!R39</f>
        <v>0.75</v>
      </c>
      <c r="M39" s="46">
        <f t="shared" si="5"/>
        <v>0.65625</v>
      </c>
      <c r="N39" s="44">
        <f t="shared" si="4"/>
        <v>0</v>
      </c>
      <c r="O39" s="44">
        <f>'Calculated Percentages'!$N$64</f>
        <v>41435088.28125</v>
      </c>
      <c r="P39" s="42">
        <f t="shared" si="6"/>
        <v>0</v>
      </c>
    </row>
    <row r="40" spans="1:16" ht="12.75">
      <c r="A40" s="4" t="s">
        <v>36</v>
      </c>
      <c r="B40" s="17">
        <f>Population!B40</f>
        <v>1811700</v>
      </c>
      <c r="C40" s="17">
        <f>Population!C40</f>
        <v>0</v>
      </c>
      <c r="D40" s="17">
        <f t="shared" si="2"/>
        <v>1811700</v>
      </c>
      <c r="E40" s="17">
        <f>'Calculated Percentages'!$B$64</f>
        <v>34320150</v>
      </c>
      <c r="F40" s="18">
        <f t="shared" si="3"/>
        <v>0.05278823082066949</v>
      </c>
      <c r="G40" s="17"/>
      <c r="H40" s="4" t="s">
        <v>36</v>
      </c>
      <c r="I40" s="17">
        <f>'Calculated Percentages'!D40</f>
        <v>1811700</v>
      </c>
      <c r="J40" s="61">
        <f>'Housing Costs'!N40</f>
        <v>1</v>
      </c>
      <c r="K40" s="61">
        <f>Poverty!N40</f>
        <v>1.25</v>
      </c>
      <c r="L40" s="61">
        <f>Urbanization!R40</f>
        <v>0.875</v>
      </c>
      <c r="M40">
        <f t="shared" si="5"/>
        <v>1.09375</v>
      </c>
      <c r="N40" s="11">
        <f t="shared" si="4"/>
        <v>1981546.875</v>
      </c>
      <c r="O40" s="11">
        <f>'Calculated Percentages'!$N$64</f>
        <v>41435088.28125</v>
      </c>
      <c r="P40" s="21">
        <f t="shared" si="6"/>
        <v>0.04782291910541626</v>
      </c>
    </row>
    <row r="41" spans="1:16" ht="12.75">
      <c r="A41" s="4" t="s">
        <v>37</v>
      </c>
      <c r="B41" s="17">
        <f>Population!B41</f>
        <v>2935100</v>
      </c>
      <c r="C41" s="17">
        <f>Population!C41</f>
        <v>0</v>
      </c>
      <c r="D41" s="17">
        <f t="shared" si="2"/>
        <v>2935100</v>
      </c>
      <c r="E41" s="17">
        <f>'Calculated Percentages'!$B$64</f>
        <v>34320150</v>
      </c>
      <c r="F41" s="18">
        <f t="shared" si="3"/>
        <v>0.08552118799014573</v>
      </c>
      <c r="G41" s="17"/>
      <c r="H41" s="4" t="s">
        <v>37</v>
      </c>
      <c r="I41" s="17">
        <f>'Calculated Percentages'!D41</f>
        <v>2935100</v>
      </c>
      <c r="J41" s="61">
        <f>'Housing Costs'!N41</f>
        <v>1.25</v>
      </c>
      <c r="K41" s="61">
        <f>Poverty!N41</f>
        <v>0.875</v>
      </c>
      <c r="L41" s="61">
        <f>Urbanization!R41</f>
        <v>1.25</v>
      </c>
      <c r="M41">
        <f t="shared" si="5"/>
        <v>1.3671875</v>
      </c>
      <c r="N41" s="11">
        <f t="shared" si="4"/>
        <v>4012832.03125</v>
      </c>
      <c r="O41" s="11">
        <f>'Calculated Percentages'!$N$64</f>
        <v>41435088.28125</v>
      </c>
      <c r="P41" s="21">
        <f t="shared" si="6"/>
        <v>0.09684622858800247</v>
      </c>
    </row>
    <row r="42" spans="1:16" ht="12.75">
      <c r="A42" s="4" t="s">
        <v>38</v>
      </c>
      <c r="B42" s="17">
        <f>Population!B42</f>
        <v>789800</v>
      </c>
      <c r="C42" s="17">
        <f>Population!C42</f>
        <v>0</v>
      </c>
      <c r="D42" s="17">
        <f t="shared" si="2"/>
        <v>789800</v>
      </c>
      <c r="E42" s="17">
        <f>'Calculated Percentages'!$B$64</f>
        <v>34320150</v>
      </c>
      <c r="F42" s="18">
        <f t="shared" si="3"/>
        <v>0.023012719932750877</v>
      </c>
      <c r="G42" s="17"/>
      <c r="H42" s="4" t="s">
        <v>38</v>
      </c>
      <c r="I42" s="17">
        <f>'Calculated Percentages'!D42</f>
        <v>789800</v>
      </c>
      <c r="J42" s="61">
        <f>'Housing Costs'!N42</f>
        <v>2</v>
      </c>
      <c r="K42" s="61">
        <f>Poverty!N42</f>
        <v>0.875</v>
      </c>
      <c r="L42" s="61">
        <f>Urbanization!R42</f>
        <v>1.25</v>
      </c>
      <c r="M42">
        <f t="shared" si="5"/>
        <v>2.1875</v>
      </c>
      <c r="N42" s="11">
        <f t="shared" si="4"/>
        <v>1727687.5</v>
      </c>
      <c r="O42" s="11">
        <f>'Calculated Percentages'!$N$64</f>
        <v>41435088.28125</v>
      </c>
      <c r="P42" s="21">
        <f t="shared" si="6"/>
        <v>0.041696242765863846</v>
      </c>
    </row>
    <row r="43" spans="1:16" ht="12.75">
      <c r="A43" s="4" t="s">
        <v>39</v>
      </c>
      <c r="B43" s="17">
        <f>Population!B43</f>
        <v>605500</v>
      </c>
      <c r="C43" s="17">
        <f>Population!C43</f>
        <v>0</v>
      </c>
      <c r="D43" s="17">
        <f t="shared" si="2"/>
        <v>605500</v>
      </c>
      <c r="E43" s="17">
        <f>'Calculated Percentages'!$B$64</f>
        <v>34320150</v>
      </c>
      <c r="F43" s="18">
        <f t="shared" si="3"/>
        <v>0.017642696783085155</v>
      </c>
      <c r="G43" s="17"/>
      <c r="H43" s="4" t="s">
        <v>39</v>
      </c>
      <c r="I43" s="17">
        <f>'Calculated Percentages'!D43</f>
        <v>605500</v>
      </c>
      <c r="J43" s="61">
        <f>'Housing Costs'!N43</f>
        <v>1</v>
      </c>
      <c r="K43" s="61">
        <f>Poverty!N43</f>
        <v>1.25</v>
      </c>
      <c r="L43" s="61">
        <f>Urbanization!R43</f>
        <v>0.875</v>
      </c>
      <c r="M43">
        <f t="shared" si="5"/>
        <v>1.09375</v>
      </c>
      <c r="N43" s="11">
        <f t="shared" si="4"/>
        <v>662265.625</v>
      </c>
      <c r="O43" s="11">
        <f>'Calculated Percentages'!$N$64</f>
        <v>41435088.28125</v>
      </c>
      <c r="P43" s="21">
        <f t="shared" si="6"/>
        <v>0.015983207770784096</v>
      </c>
    </row>
    <row r="44" spans="1:16" ht="12.75">
      <c r="A44" s="4" t="s">
        <v>40</v>
      </c>
      <c r="B44" s="17">
        <f>Population!B44</f>
        <v>254500</v>
      </c>
      <c r="C44" s="17">
        <f>Population!C44</f>
        <v>0</v>
      </c>
      <c r="D44" s="17">
        <f t="shared" si="2"/>
        <v>254500</v>
      </c>
      <c r="E44" s="17">
        <f>'Calculated Percentages'!$B$64</f>
        <v>34320150</v>
      </c>
      <c r="F44" s="18">
        <f t="shared" si="3"/>
        <v>0.007415468755235627</v>
      </c>
      <c r="G44" s="17"/>
      <c r="H44" s="4" t="s">
        <v>40</v>
      </c>
      <c r="I44" s="17">
        <f>'Calculated Percentages'!D44</f>
        <v>254500</v>
      </c>
      <c r="J44" s="61">
        <f>'Housing Costs'!N44</f>
        <v>1.25</v>
      </c>
      <c r="K44" s="61">
        <f>Poverty!N44</f>
        <v>0.875</v>
      </c>
      <c r="L44" s="61">
        <f>Urbanization!R44</f>
        <v>0.875</v>
      </c>
      <c r="M44">
        <f t="shared" si="5"/>
        <v>0.95703125</v>
      </c>
      <c r="N44" s="11">
        <f t="shared" si="4"/>
        <v>243564.453125</v>
      </c>
      <c r="O44" s="11">
        <f>'Calculated Percentages'!$N$64</f>
        <v>41435088.28125</v>
      </c>
      <c r="P44" s="21">
        <f t="shared" si="6"/>
        <v>0.005878217308763803</v>
      </c>
    </row>
    <row r="45" spans="1:16" ht="12.75">
      <c r="A45" s="4" t="s">
        <v>41</v>
      </c>
      <c r="B45" s="17">
        <f>Population!B45</f>
        <v>713800</v>
      </c>
      <c r="C45" s="17">
        <f>Population!C45</f>
        <v>0</v>
      </c>
      <c r="D45" s="17">
        <f t="shared" si="2"/>
        <v>713800</v>
      </c>
      <c r="E45" s="17">
        <f>'Calculated Percentages'!$B$64</f>
        <v>34320150</v>
      </c>
      <c r="F45" s="18">
        <f t="shared" si="3"/>
        <v>0.020798277396806248</v>
      </c>
      <c r="G45" s="17"/>
      <c r="H45" s="4" t="s">
        <v>41</v>
      </c>
      <c r="I45" s="17">
        <f>'Calculated Percentages'!D45</f>
        <v>713800</v>
      </c>
      <c r="J45" s="61">
        <f>'Housing Costs'!N45</f>
        <v>1.5</v>
      </c>
      <c r="K45" s="61">
        <f>Poverty!N45</f>
        <v>0.5</v>
      </c>
      <c r="L45" s="61">
        <f>Urbanization!R45</f>
        <v>1.25</v>
      </c>
      <c r="M45">
        <f t="shared" si="5"/>
        <v>0.9375</v>
      </c>
      <c r="N45" s="11">
        <f t="shared" si="4"/>
        <v>669187.5</v>
      </c>
      <c r="O45" s="11">
        <f>'Calculated Percentages'!$N$64</f>
        <v>41435088.28125</v>
      </c>
      <c r="P45" s="21">
        <f t="shared" si="6"/>
        <v>0.016150261234095582</v>
      </c>
    </row>
    <row r="46" spans="1:16" ht="12.75">
      <c r="A46" s="4" t="s">
        <v>42</v>
      </c>
      <c r="B46" s="17">
        <f>Population!B46</f>
        <v>407800</v>
      </c>
      <c r="C46" s="17">
        <f>Population!C46</f>
        <v>0</v>
      </c>
      <c r="D46" s="17">
        <f t="shared" si="2"/>
        <v>407800</v>
      </c>
      <c r="E46" s="17">
        <f>'Calculated Percentages'!$B$64</f>
        <v>34320150</v>
      </c>
      <c r="F46" s="18">
        <f t="shared" si="3"/>
        <v>0.01188223244945025</v>
      </c>
      <c r="G46" s="17"/>
      <c r="H46" s="4" t="s">
        <v>42</v>
      </c>
      <c r="I46" s="17">
        <f>'Calculated Percentages'!D46</f>
        <v>407800</v>
      </c>
      <c r="J46" s="61">
        <f>'Housing Costs'!N46</f>
        <v>1</v>
      </c>
      <c r="K46" s="61">
        <f>Poverty!N46</f>
        <v>1</v>
      </c>
      <c r="L46" s="61">
        <f>Urbanization!R46</f>
        <v>1.25</v>
      </c>
      <c r="M46">
        <f t="shared" si="5"/>
        <v>1.25</v>
      </c>
      <c r="N46" s="11">
        <f t="shared" si="4"/>
        <v>509750</v>
      </c>
      <c r="O46" s="11">
        <f>'Calculated Percentages'!$N$64</f>
        <v>41435088.28125</v>
      </c>
      <c r="P46" s="21">
        <f t="shared" si="6"/>
        <v>0.012302375140121748</v>
      </c>
    </row>
    <row r="47" spans="1:16" ht="12.75">
      <c r="A47" s="4" t="s">
        <v>43</v>
      </c>
      <c r="B47" s="17">
        <f>Population!B47</f>
        <v>1718500</v>
      </c>
      <c r="C47" s="17">
        <f>Population!C47</f>
        <v>0</v>
      </c>
      <c r="D47" s="17">
        <f t="shared" si="2"/>
        <v>1718500</v>
      </c>
      <c r="E47" s="17">
        <f>'Calculated Percentages'!$B$64</f>
        <v>34320150</v>
      </c>
      <c r="F47" s="18">
        <f t="shared" si="3"/>
        <v>0.050072624973958445</v>
      </c>
      <c r="G47" s="17"/>
      <c r="H47" s="4" t="s">
        <v>43</v>
      </c>
      <c r="I47" s="17">
        <f>'Calculated Percentages'!D47</f>
        <v>1718500</v>
      </c>
      <c r="J47" s="61">
        <f>'Housing Costs'!N47</f>
        <v>1.5</v>
      </c>
      <c r="K47" s="61">
        <f>Poverty!N47</f>
        <v>0.5</v>
      </c>
      <c r="L47" s="61">
        <f>Urbanization!R47</f>
        <v>1.25</v>
      </c>
      <c r="M47">
        <f t="shared" si="5"/>
        <v>0.9375</v>
      </c>
      <c r="N47" s="11">
        <f t="shared" si="4"/>
        <v>1611093.75</v>
      </c>
      <c r="O47" s="11">
        <f>'Calculated Percentages'!$N$64</f>
        <v>41435088.28125</v>
      </c>
      <c r="P47" s="21">
        <f t="shared" si="6"/>
        <v>0.038882353503492936</v>
      </c>
    </row>
    <row r="48" spans="1:16" ht="12.75">
      <c r="A48" s="4" t="s">
        <v>44</v>
      </c>
      <c r="B48" s="17">
        <f>Population!B48</f>
        <v>259000</v>
      </c>
      <c r="C48" s="17">
        <f>Population!C48</f>
        <v>0</v>
      </c>
      <c r="D48" s="17">
        <f t="shared" si="2"/>
        <v>259000</v>
      </c>
      <c r="E48" s="17">
        <f>'Calculated Percentages'!$B$64</f>
        <v>34320150</v>
      </c>
      <c r="F48" s="18">
        <f t="shared" si="3"/>
        <v>0.00754658706328498</v>
      </c>
      <c r="G48" s="17"/>
      <c r="H48" s="4" t="s">
        <v>44</v>
      </c>
      <c r="I48" s="17">
        <f>'Calculated Percentages'!D48</f>
        <v>259000</v>
      </c>
      <c r="J48" s="61">
        <f>'Housing Costs'!N48</f>
        <v>1.5</v>
      </c>
      <c r="K48" s="61">
        <f>Poverty!N48</f>
        <v>0.875</v>
      </c>
      <c r="L48" s="61">
        <f>Urbanization!R48</f>
        <v>0.875</v>
      </c>
      <c r="M48">
        <f t="shared" si="5"/>
        <v>1.1484375</v>
      </c>
      <c r="N48" s="11">
        <f t="shared" si="4"/>
        <v>297445.3125</v>
      </c>
      <c r="O48" s="11">
        <f>'Calculated Percentages'!$N$64</f>
        <v>41435088.28125</v>
      </c>
      <c r="P48" s="21">
        <f t="shared" si="6"/>
        <v>0.007178585224219215</v>
      </c>
    </row>
    <row r="49" spans="1:16" ht="12.75">
      <c r="A49" s="4" t="s">
        <v>45</v>
      </c>
      <c r="B49" s="17">
        <f>Population!B49</f>
        <v>171100</v>
      </c>
      <c r="C49" s="17">
        <f>Population!C49</f>
        <v>0</v>
      </c>
      <c r="D49" s="17">
        <f t="shared" si="2"/>
        <v>171100</v>
      </c>
      <c r="E49" s="17">
        <f>'Calculated Percentages'!$B$64</f>
        <v>34320150</v>
      </c>
      <c r="F49" s="18">
        <f t="shared" si="3"/>
        <v>0.004985409446054286</v>
      </c>
      <c r="G49" s="17"/>
      <c r="H49" s="4" t="s">
        <v>45</v>
      </c>
      <c r="I49" s="17">
        <f>'Calculated Percentages'!D49</f>
        <v>171100</v>
      </c>
      <c r="J49" s="61">
        <f>'Housing Costs'!N49</f>
        <v>0.875</v>
      </c>
      <c r="K49" s="61">
        <f>Poverty!N49</f>
        <v>1.25</v>
      </c>
      <c r="L49" s="61">
        <f>Urbanization!R49</f>
        <v>0.75</v>
      </c>
      <c r="M49">
        <f t="shared" si="5"/>
        <v>0.8203125</v>
      </c>
      <c r="N49" s="11">
        <f t="shared" si="4"/>
        <v>140355.46875</v>
      </c>
      <c r="O49" s="11">
        <f>'Calculated Percentages'!$N$64</f>
        <v>41435088.28125</v>
      </c>
      <c r="P49" s="21">
        <f t="shared" si="6"/>
        <v>0.003387357782305316</v>
      </c>
    </row>
    <row r="50" spans="1:16" s="46" customFormat="1" ht="12.75">
      <c r="A50" s="39" t="s">
        <v>46</v>
      </c>
      <c r="B50" s="40">
        <f>Population!B50</f>
        <v>3520</v>
      </c>
      <c r="C50" s="40">
        <f>Population!C50</f>
        <v>3520</v>
      </c>
      <c r="D50" s="40">
        <f t="shared" si="2"/>
        <v>0</v>
      </c>
      <c r="E50" s="40">
        <f>'Calculated Percentages'!$B$64</f>
        <v>34320150</v>
      </c>
      <c r="F50" s="45">
        <f t="shared" si="3"/>
        <v>0</v>
      </c>
      <c r="G50" s="40"/>
      <c r="H50" s="39" t="s">
        <v>46</v>
      </c>
      <c r="I50" s="40">
        <f>'Calculated Percentages'!D50</f>
        <v>0</v>
      </c>
      <c r="J50" s="62">
        <f>'Housing Costs'!N50</f>
        <v>1</v>
      </c>
      <c r="K50" s="62">
        <f>Poverty!N50</f>
        <v>1</v>
      </c>
      <c r="L50" s="62">
        <f>Urbanization!R50</f>
        <v>0.5</v>
      </c>
      <c r="M50" s="46">
        <f t="shared" si="5"/>
        <v>0.5</v>
      </c>
      <c r="N50" s="44">
        <f t="shared" si="4"/>
        <v>0</v>
      </c>
      <c r="O50" s="44">
        <f>'Calculated Percentages'!$N$64</f>
        <v>41435088.28125</v>
      </c>
      <c r="P50" s="42">
        <f t="shared" si="6"/>
        <v>0</v>
      </c>
    </row>
    <row r="51" spans="1:16" s="46" customFormat="1" ht="12.75">
      <c r="A51" s="39" t="s">
        <v>47</v>
      </c>
      <c r="B51" s="40">
        <f>Population!B51</f>
        <v>44300</v>
      </c>
      <c r="C51" s="40">
        <f>Population!C51</f>
        <v>44300</v>
      </c>
      <c r="D51" s="40">
        <f t="shared" si="2"/>
        <v>0</v>
      </c>
      <c r="E51" s="40">
        <f>'Calculated Percentages'!$B$64</f>
        <v>34320150</v>
      </c>
      <c r="F51" s="45">
        <f t="shared" si="3"/>
        <v>0</v>
      </c>
      <c r="G51" s="40"/>
      <c r="H51" s="39" t="s">
        <v>47</v>
      </c>
      <c r="I51" s="40">
        <f>'Calculated Percentages'!D51</f>
        <v>0</v>
      </c>
      <c r="J51" s="62">
        <f>'Housing Costs'!N51</f>
        <v>1</v>
      </c>
      <c r="K51" s="62">
        <f>Poverty!N51</f>
        <v>1.5</v>
      </c>
      <c r="L51" s="62">
        <f>Urbanization!R51</f>
        <v>0.5</v>
      </c>
      <c r="M51" s="46">
        <f t="shared" si="5"/>
        <v>0.75</v>
      </c>
      <c r="N51" s="44">
        <f t="shared" si="4"/>
        <v>0</v>
      </c>
      <c r="O51" s="44">
        <f>'Calculated Percentages'!$N$64</f>
        <v>41435088.28125</v>
      </c>
      <c r="P51" s="42">
        <f t="shared" si="6"/>
        <v>0</v>
      </c>
    </row>
    <row r="52" spans="1:16" ht="12.75">
      <c r="A52" s="4" t="s">
        <v>48</v>
      </c>
      <c r="B52" s="17">
        <f>Population!B52</f>
        <v>408700</v>
      </c>
      <c r="C52" s="17">
        <f>Population!C52</f>
        <v>0</v>
      </c>
      <c r="D52" s="17">
        <f t="shared" si="2"/>
        <v>408700</v>
      </c>
      <c r="E52" s="17">
        <f>'Calculated Percentages'!$B$64</f>
        <v>34320150</v>
      </c>
      <c r="F52" s="18">
        <f t="shared" si="3"/>
        <v>0.01190845611106012</v>
      </c>
      <c r="G52" s="17"/>
      <c r="H52" s="4" t="s">
        <v>48</v>
      </c>
      <c r="I52" s="17">
        <f>'Calculated Percentages'!D52</f>
        <v>408700</v>
      </c>
      <c r="J52" s="61">
        <f>'Housing Costs'!N52</f>
        <v>1.25</v>
      </c>
      <c r="K52" s="61">
        <f>Poverty!N52</f>
        <v>0.75</v>
      </c>
      <c r="L52" s="61">
        <f>Urbanization!R52</f>
        <v>1.25</v>
      </c>
      <c r="M52">
        <f t="shared" si="5"/>
        <v>1.171875</v>
      </c>
      <c r="N52" s="11">
        <f t="shared" si="4"/>
        <v>478945.3125</v>
      </c>
      <c r="O52" s="11">
        <f>'Calculated Percentages'!$N$64</f>
        <v>41435088.28125</v>
      </c>
      <c r="P52" s="21">
        <f t="shared" si="6"/>
        <v>0.011558930664007537</v>
      </c>
    </row>
    <row r="53" spans="1:16" ht="12.75">
      <c r="A53" s="4" t="s">
        <v>49</v>
      </c>
      <c r="B53" s="17">
        <f>Population!B53</f>
        <v>470200</v>
      </c>
      <c r="C53" s="17">
        <f>Population!C53</f>
        <v>0</v>
      </c>
      <c r="D53" s="17">
        <f t="shared" si="2"/>
        <v>470200</v>
      </c>
      <c r="E53" s="17">
        <f>'Calculated Percentages'!$B$64</f>
        <v>34320150</v>
      </c>
      <c r="F53" s="18">
        <f t="shared" si="3"/>
        <v>0.013700406321067945</v>
      </c>
      <c r="G53" s="17"/>
      <c r="H53" s="4" t="s">
        <v>49</v>
      </c>
      <c r="I53" s="17">
        <f>'Calculated Percentages'!D53</f>
        <v>470200</v>
      </c>
      <c r="J53" s="61">
        <f>'Housing Costs'!N53</f>
        <v>1.25</v>
      </c>
      <c r="K53" s="61">
        <f>Poverty!N53</f>
        <v>0.75</v>
      </c>
      <c r="L53" s="61">
        <f>Urbanization!R53</f>
        <v>0.875</v>
      </c>
      <c r="M53">
        <f t="shared" si="5"/>
        <v>0.8203125</v>
      </c>
      <c r="N53" s="11">
        <f t="shared" si="4"/>
        <v>385710.9375</v>
      </c>
      <c r="O53" s="11">
        <f>'Calculated Percentages'!$N$64</f>
        <v>41435088.28125</v>
      </c>
      <c r="P53" s="21">
        <f t="shared" si="6"/>
        <v>0.00930879970333115</v>
      </c>
    </row>
    <row r="54" spans="1:16" ht="12.75">
      <c r="A54" s="4" t="s">
        <v>50</v>
      </c>
      <c r="B54" s="17">
        <f>Population!B54</f>
        <v>477100</v>
      </c>
      <c r="C54" s="17">
        <f>Population!C54</f>
        <v>0</v>
      </c>
      <c r="D54" s="17">
        <f t="shared" si="2"/>
        <v>477100</v>
      </c>
      <c r="E54" s="17">
        <f>'Calculated Percentages'!$B$64</f>
        <v>34320150</v>
      </c>
      <c r="F54" s="18">
        <f t="shared" si="3"/>
        <v>0.013901454393410286</v>
      </c>
      <c r="G54" s="17"/>
      <c r="H54" s="4" t="s">
        <v>50</v>
      </c>
      <c r="I54" s="17">
        <f>'Calculated Percentages'!D54</f>
        <v>477100</v>
      </c>
      <c r="J54" s="61">
        <f>'Housing Costs'!N54</f>
        <v>0.75</v>
      </c>
      <c r="K54" s="61">
        <f>Poverty!N54</f>
        <v>1.25</v>
      </c>
      <c r="L54" s="61">
        <f>Urbanization!R54</f>
        <v>0.875</v>
      </c>
      <c r="M54">
        <f t="shared" si="5"/>
        <v>0.8203125</v>
      </c>
      <c r="N54" s="11">
        <f t="shared" si="4"/>
        <v>391371.09375</v>
      </c>
      <c r="O54" s="11">
        <f>'Calculated Percentages'!$N$64</f>
        <v>41435088.28125</v>
      </c>
      <c r="P54" s="21">
        <f t="shared" si="6"/>
        <v>0.009445402676434053</v>
      </c>
    </row>
    <row r="55" spans="1:16" ht="12.75">
      <c r="A55" s="4" t="s">
        <v>51</v>
      </c>
      <c r="B55" s="17">
        <f>Population!B55</f>
        <v>82500</v>
      </c>
      <c r="C55" s="17">
        <f>Population!C55</f>
        <v>0</v>
      </c>
      <c r="D55" s="17">
        <f t="shared" si="2"/>
        <v>82500</v>
      </c>
      <c r="E55" s="17">
        <f>'Calculated Percentages'!$B$64</f>
        <v>34320150</v>
      </c>
      <c r="F55" s="18">
        <f t="shared" si="3"/>
        <v>0.0024038356475714704</v>
      </c>
      <c r="G55" s="17"/>
      <c r="H55" s="4" t="s">
        <v>51</v>
      </c>
      <c r="I55" s="17">
        <f>'Calculated Percentages'!D55</f>
        <v>82500</v>
      </c>
      <c r="J55" s="61">
        <f>'Housing Costs'!N55</f>
        <v>0.875</v>
      </c>
      <c r="K55" s="61">
        <f>Poverty!N55</f>
        <v>1.25</v>
      </c>
      <c r="L55" s="61">
        <f>Urbanization!R55</f>
        <v>0.875</v>
      </c>
      <c r="M55">
        <f t="shared" si="5"/>
        <v>0.95703125</v>
      </c>
      <c r="N55" s="11">
        <f t="shared" si="4"/>
        <v>78955.078125</v>
      </c>
      <c r="O55" s="11">
        <f>'Calculated Percentages'!$N$64</f>
        <v>41435088.28125</v>
      </c>
      <c r="P55" s="21">
        <f t="shared" si="6"/>
        <v>0.0019055124871238263</v>
      </c>
    </row>
    <row r="56" spans="1:16" s="46" customFormat="1" ht="12.75">
      <c r="A56" s="39" t="s">
        <v>52</v>
      </c>
      <c r="B56" s="40">
        <f>Population!B56</f>
        <v>57300</v>
      </c>
      <c r="C56" s="40">
        <f>Population!C56</f>
        <v>57300</v>
      </c>
      <c r="D56" s="40">
        <f t="shared" si="2"/>
        <v>0</v>
      </c>
      <c r="E56" s="40">
        <f>'Calculated Percentages'!$B$64</f>
        <v>34320150</v>
      </c>
      <c r="F56" s="45">
        <f t="shared" si="3"/>
        <v>0</v>
      </c>
      <c r="G56" s="40"/>
      <c r="H56" s="39" t="s">
        <v>52</v>
      </c>
      <c r="I56" s="40">
        <f>'Calculated Percentages'!D56</f>
        <v>0</v>
      </c>
      <c r="J56" s="62">
        <f>'Housing Costs'!N56</f>
        <v>0.875</v>
      </c>
      <c r="K56" s="62">
        <f>Poverty!N56</f>
        <v>1.5</v>
      </c>
      <c r="L56" s="62">
        <f>Urbanization!R56</f>
        <v>0.5</v>
      </c>
      <c r="M56" s="46">
        <f t="shared" si="5"/>
        <v>0.65625</v>
      </c>
      <c r="N56" s="44">
        <f t="shared" si="4"/>
        <v>0</v>
      </c>
      <c r="O56" s="44">
        <f>'Calculated Percentages'!$N$64</f>
        <v>41435088.28125</v>
      </c>
      <c r="P56" s="42">
        <f t="shared" si="6"/>
        <v>0</v>
      </c>
    </row>
    <row r="57" spans="1:16" s="46" customFormat="1" ht="12.75">
      <c r="A57" s="39" t="s">
        <v>53</v>
      </c>
      <c r="B57" s="40">
        <f>Population!B57</f>
        <v>13100</v>
      </c>
      <c r="C57" s="40">
        <f>Population!C57</f>
        <v>13100</v>
      </c>
      <c r="D57" s="40">
        <f t="shared" si="2"/>
        <v>0</v>
      </c>
      <c r="E57" s="40">
        <f>'Calculated Percentages'!$B$64</f>
        <v>34320150</v>
      </c>
      <c r="F57" s="45">
        <f t="shared" si="3"/>
        <v>0</v>
      </c>
      <c r="G57" s="40"/>
      <c r="H57" s="39" t="s">
        <v>53</v>
      </c>
      <c r="I57" s="40">
        <f>'Calculated Percentages'!D57</f>
        <v>0</v>
      </c>
      <c r="J57" s="62">
        <f>'Housing Costs'!N57</f>
        <v>1</v>
      </c>
      <c r="K57" s="62">
        <f>Poverty!N57</f>
        <v>1.5</v>
      </c>
      <c r="L57" s="62">
        <f>Urbanization!R57</f>
        <v>0.5</v>
      </c>
      <c r="M57" s="46">
        <f t="shared" si="5"/>
        <v>0.75</v>
      </c>
      <c r="N57" s="44">
        <f t="shared" si="4"/>
        <v>0</v>
      </c>
      <c r="O57" s="44">
        <f>'Calculated Percentages'!$N$64</f>
        <v>41435088.28125</v>
      </c>
      <c r="P57" s="42">
        <f t="shared" si="6"/>
        <v>0</v>
      </c>
    </row>
    <row r="58" spans="1:16" ht="12.75">
      <c r="A58" s="4" t="s">
        <v>54</v>
      </c>
      <c r="B58" s="17">
        <f>Population!B58</f>
        <v>382000</v>
      </c>
      <c r="C58" s="17">
        <f>Population!C58</f>
        <v>0</v>
      </c>
      <c r="D58" s="17">
        <f t="shared" si="2"/>
        <v>382000</v>
      </c>
      <c r="E58" s="17">
        <f>'Calculated Percentages'!$B$64</f>
        <v>34320150</v>
      </c>
      <c r="F58" s="18">
        <f t="shared" si="3"/>
        <v>0.011130487483300627</v>
      </c>
      <c r="G58" s="17"/>
      <c r="H58" s="4" t="s">
        <v>54</v>
      </c>
      <c r="I58" s="17">
        <f>'Calculated Percentages'!D58</f>
        <v>382000</v>
      </c>
      <c r="J58" s="61">
        <f>'Housing Costs'!N58</f>
        <v>0.875</v>
      </c>
      <c r="K58" s="61">
        <f>Poverty!N58</f>
        <v>2</v>
      </c>
      <c r="L58" s="61">
        <f>Urbanization!R58</f>
        <v>0.875</v>
      </c>
      <c r="M58">
        <f t="shared" si="5"/>
        <v>1.53125</v>
      </c>
      <c r="N58" s="11">
        <f t="shared" si="4"/>
        <v>584937.5</v>
      </c>
      <c r="O58" s="11">
        <f>'Calculated Percentages'!$N$64</f>
        <v>41435088.28125</v>
      </c>
      <c r="P58" s="21">
        <f t="shared" si="6"/>
        <v>0.014116960389455547</v>
      </c>
    </row>
    <row r="59" spans="1:16" s="46" customFormat="1" ht="12.75">
      <c r="A59" s="39" t="s">
        <v>55</v>
      </c>
      <c r="B59" s="40">
        <f>Population!B59</f>
        <v>56200</v>
      </c>
      <c r="C59" s="40">
        <f>Population!C59</f>
        <v>56200</v>
      </c>
      <c r="D59" s="40">
        <f t="shared" si="2"/>
        <v>0</v>
      </c>
      <c r="E59" s="40">
        <f>'Calculated Percentages'!$B$64</f>
        <v>34320150</v>
      </c>
      <c r="F59" s="45">
        <f t="shared" si="3"/>
        <v>0</v>
      </c>
      <c r="G59" s="40"/>
      <c r="H59" s="39" t="s">
        <v>55</v>
      </c>
      <c r="I59" s="40">
        <f>'Calculated Percentages'!D59</f>
        <v>0</v>
      </c>
      <c r="J59" s="62">
        <f>'Housing Costs'!N59</f>
        <v>1</v>
      </c>
      <c r="K59" s="62">
        <f>Poverty!N59</f>
        <v>0.875</v>
      </c>
      <c r="L59" s="62">
        <f>Urbanization!R59</f>
        <v>0.5</v>
      </c>
      <c r="M59" s="46">
        <f t="shared" si="5"/>
        <v>0.4375</v>
      </c>
      <c r="N59" s="44">
        <f t="shared" si="4"/>
        <v>0</v>
      </c>
      <c r="O59" s="44">
        <f>'Calculated Percentages'!$N$64</f>
        <v>41435088.28125</v>
      </c>
      <c r="P59" s="42">
        <f t="shared" si="6"/>
        <v>0</v>
      </c>
    </row>
    <row r="60" spans="1:16" ht="12.75">
      <c r="A60" s="4" t="s">
        <v>56</v>
      </c>
      <c r="B60" s="17">
        <f>Population!B60</f>
        <v>785700</v>
      </c>
      <c r="C60" s="17">
        <f>Population!C60</f>
        <v>0</v>
      </c>
      <c r="D60" s="17">
        <f t="shared" si="2"/>
        <v>785700</v>
      </c>
      <c r="E60" s="17">
        <f>'Calculated Percentages'!$B$64</f>
        <v>34320150</v>
      </c>
      <c r="F60" s="18">
        <f t="shared" si="3"/>
        <v>0.02289325658541702</v>
      </c>
      <c r="G60" s="17"/>
      <c r="H60" s="4" t="s">
        <v>56</v>
      </c>
      <c r="I60" s="17">
        <f>'Calculated Percentages'!D60</f>
        <v>785700</v>
      </c>
      <c r="J60" s="61">
        <f>'Housing Costs'!N60</f>
        <v>1</v>
      </c>
      <c r="K60" s="61">
        <f>Poverty!N60</f>
        <v>0.75</v>
      </c>
      <c r="L60" s="61">
        <f>Urbanization!R60</f>
        <v>1.25</v>
      </c>
      <c r="M60">
        <f t="shared" si="5"/>
        <v>0.9375</v>
      </c>
      <c r="N60" s="11">
        <f t="shared" si="4"/>
        <v>736593.75</v>
      </c>
      <c r="O60" s="11">
        <f>'Calculated Percentages'!$N$64</f>
        <v>41435088.28125</v>
      </c>
      <c r="P60" s="21">
        <f t="shared" si="6"/>
        <v>0.0177770527481492</v>
      </c>
    </row>
    <row r="61" spans="1:16" ht="12.75">
      <c r="A61" s="4" t="s">
        <v>57</v>
      </c>
      <c r="B61" s="17">
        <f>Population!B61</f>
        <v>179000</v>
      </c>
      <c r="C61" s="17">
        <f>Population!C61</f>
        <v>0</v>
      </c>
      <c r="D61" s="17">
        <f t="shared" si="2"/>
        <v>179000</v>
      </c>
      <c r="E61" s="17">
        <f>'Calculated Percentages'!$B$64</f>
        <v>34320150</v>
      </c>
      <c r="F61" s="18">
        <f t="shared" si="3"/>
        <v>0.005215594920185372</v>
      </c>
      <c r="G61" s="17"/>
      <c r="H61" s="4" t="s">
        <v>57</v>
      </c>
      <c r="I61" s="17">
        <f>'Calculated Percentages'!D61</f>
        <v>179000</v>
      </c>
      <c r="J61" s="61">
        <f>'Housing Costs'!N61</f>
        <v>0.875</v>
      </c>
      <c r="K61" s="61">
        <f>Poverty!N61</f>
        <v>1.25</v>
      </c>
      <c r="L61" s="61">
        <f>Urbanization!R61</f>
        <v>0.875</v>
      </c>
      <c r="M61">
        <f t="shared" si="5"/>
        <v>0.95703125</v>
      </c>
      <c r="N61" s="11">
        <f t="shared" si="4"/>
        <v>171308.59375</v>
      </c>
      <c r="O61" s="11">
        <f>'Calculated Percentages'!$N$64</f>
        <v>41435088.28125</v>
      </c>
      <c r="P61" s="21">
        <f t="shared" si="6"/>
        <v>0.004134384669032302</v>
      </c>
    </row>
    <row r="62" spans="1:16" ht="12.75">
      <c r="A62" s="4" t="s">
        <v>58</v>
      </c>
      <c r="B62" s="17">
        <f>Population!B62</f>
        <v>62400</v>
      </c>
      <c r="C62" s="17">
        <f>Population!C62</f>
        <v>0</v>
      </c>
      <c r="D62" s="17">
        <f t="shared" si="2"/>
        <v>62400</v>
      </c>
      <c r="E62" s="17">
        <f>'Calculated Percentages'!$B$64</f>
        <v>34320150</v>
      </c>
      <c r="F62" s="18">
        <f t="shared" si="3"/>
        <v>0.001818173871617694</v>
      </c>
      <c r="G62" s="17"/>
      <c r="H62" s="4" t="s">
        <v>58</v>
      </c>
      <c r="I62" s="17">
        <f>'Calculated Percentages'!D62</f>
        <v>62400</v>
      </c>
      <c r="J62" s="61">
        <f>'Housing Costs'!N62</f>
        <v>0.875</v>
      </c>
      <c r="K62" s="61">
        <f>Poverty!N62</f>
        <v>2</v>
      </c>
      <c r="L62" s="61">
        <f>Urbanization!R62</f>
        <v>0.75</v>
      </c>
      <c r="M62">
        <f t="shared" si="5"/>
        <v>1.3125</v>
      </c>
      <c r="N62" s="11">
        <f t="shared" si="4"/>
        <v>81900</v>
      </c>
      <c r="O62" s="11">
        <f>'Calculated Percentages'!$N$64</f>
        <v>41435088.28125</v>
      </c>
      <c r="P62" s="21">
        <f t="shared" si="6"/>
        <v>0.0019765856282020033</v>
      </c>
    </row>
    <row r="63" spans="1:16" ht="12.75">
      <c r="A63" s="4"/>
      <c r="B63" s="11"/>
      <c r="C63" s="11"/>
      <c r="D63" s="11"/>
      <c r="E63" s="11"/>
      <c r="F63" s="11"/>
      <c r="G63" s="11"/>
      <c r="H63" s="11"/>
      <c r="I63" s="11"/>
      <c r="J63" s="10"/>
      <c r="K63" s="10"/>
      <c r="L63" s="10"/>
      <c r="N63" s="11"/>
      <c r="O63" s="11"/>
      <c r="P63" s="21"/>
    </row>
    <row r="64" spans="2:16" ht="12.75">
      <c r="B64" s="11">
        <f>Population!$B$64</f>
        <v>34320150</v>
      </c>
      <c r="C64" s="11">
        <f>Population!$C$64</f>
        <v>981550</v>
      </c>
      <c r="D64" s="11"/>
      <c r="E64" s="11"/>
      <c r="F64" s="21">
        <f>SUM(F5:F63)</f>
        <v>1.0000000000000002</v>
      </c>
      <c r="G64" s="11"/>
      <c r="H64" s="11"/>
      <c r="I64" s="11">
        <f>Population!$B$64</f>
        <v>34320150</v>
      </c>
      <c r="N64" s="11">
        <f>SUM(N5:N62)</f>
        <v>41435088.28125</v>
      </c>
      <c r="P64" s="21">
        <f>SUM(P5:P62)</f>
        <v>0.9999999999999998</v>
      </c>
    </row>
    <row r="66" ht="12.75">
      <c r="A66" s="3" t="s">
        <v>60</v>
      </c>
    </row>
    <row r="67" ht="12.75">
      <c r="A67" s="3" t="s">
        <v>63</v>
      </c>
    </row>
  </sheetData>
  <sheetProtection/>
  <printOptions horizontalCentered="1" verticalCentered="1"/>
  <pageMargins left="0.25" right="0.25" top="0.75" bottom="0.75" header="0.25" footer="0.5"/>
  <pageSetup fitToHeight="1" fitToWidth="1" horizontalDpi="600" verticalDpi="600" orientation="portrait" scale="86" r:id="rId1"/>
  <headerFooter alignWithMargins="0">
    <oddHeader>&amp;CCALIFORNIA TAX CREDIT ALLOCATION COMMITTEE&amp;"Arial,Bold Italic"&amp;12
&amp;A</oddHeader>
    <oddFooter>&amp;C&amp;F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00390625" style="3" bestFit="1" customWidth="1"/>
    <col min="2" max="2" width="11.421875" style="2" bestFit="1" customWidth="1"/>
    <col min="3" max="3" width="17.57421875" style="3" bestFit="1" customWidth="1"/>
    <col min="4" max="4" width="13.00390625" style="13" bestFit="1" customWidth="1"/>
    <col min="5" max="16384" width="9.140625" style="2" customWidth="1"/>
  </cols>
  <sheetData>
    <row r="2" spans="2:3" ht="12.75">
      <c r="B2" s="34" t="s">
        <v>72</v>
      </c>
      <c r="C2" s="3" t="s">
        <v>75</v>
      </c>
    </row>
    <row r="3" spans="1:4" s="14" customFormat="1" ht="12.75">
      <c r="A3" s="14" t="s">
        <v>68</v>
      </c>
      <c r="B3" s="14" t="s">
        <v>59</v>
      </c>
      <c r="D3" s="15"/>
    </row>
    <row r="4" spans="1:4" s="7" customFormat="1" ht="12.75">
      <c r="A4" s="8"/>
      <c r="B4" s="8"/>
      <c r="C4" s="8"/>
      <c r="D4" s="12"/>
    </row>
    <row r="5" spans="1:4" ht="12.75">
      <c r="A5" s="4" t="s">
        <v>1</v>
      </c>
      <c r="B5" s="54">
        <v>1490000</v>
      </c>
      <c r="C5" s="55"/>
      <c r="D5" s="18"/>
    </row>
    <row r="6" spans="1:4" s="117" customFormat="1" ht="12.75">
      <c r="A6" s="39" t="s">
        <v>2</v>
      </c>
      <c r="B6" s="120">
        <v>1230</v>
      </c>
      <c r="C6" s="113">
        <f>B6</f>
        <v>1230</v>
      </c>
      <c r="D6" s="45"/>
    </row>
    <row r="7" spans="1:4" s="117" customFormat="1" ht="12.75">
      <c r="A7" s="39" t="s">
        <v>3</v>
      </c>
      <c r="B7" s="120">
        <v>36350</v>
      </c>
      <c r="C7" s="113">
        <f>B7</f>
        <v>36350</v>
      </c>
      <c r="D7" s="45"/>
    </row>
    <row r="8" spans="1:4" ht="12.75">
      <c r="A8" s="4" t="s">
        <v>4</v>
      </c>
      <c r="B8" s="54">
        <v>208800</v>
      </c>
      <c r="C8" s="55"/>
      <c r="D8" s="18"/>
    </row>
    <row r="9" spans="1:4" s="117" customFormat="1" ht="12.75">
      <c r="A9" s="39" t="s">
        <v>5</v>
      </c>
      <c r="B9" s="120">
        <v>42250</v>
      </c>
      <c r="C9" s="113">
        <f>B9</f>
        <v>42250</v>
      </c>
      <c r="D9" s="45"/>
    </row>
    <row r="10" spans="1:4" s="117" customFormat="1" ht="12.75">
      <c r="A10" s="39" t="s">
        <v>6</v>
      </c>
      <c r="B10" s="120">
        <v>19550</v>
      </c>
      <c r="C10" s="113">
        <f>B10</f>
        <v>19550</v>
      </c>
      <c r="D10" s="45"/>
    </row>
    <row r="11" spans="1:4" ht="12.75">
      <c r="A11" s="4" t="s">
        <v>7</v>
      </c>
      <c r="B11" s="54">
        <v>987000</v>
      </c>
      <c r="C11" s="55"/>
      <c r="D11" s="18"/>
    </row>
    <row r="12" spans="1:4" s="117" customFormat="1" ht="12.75">
      <c r="A12" s="39" t="s">
        <v>8</v>
      </c>
      <c r="B12" s="120">
        <v>27850</v>
      </c>
      <c r="C12" s="113">
        <f>B12</f>
        <v>27850</v>
      </c>
      <c r="D12" s="45"/>
    </row>
    <row r="13" spans="1:4" s="56" customFormat="1" ht="12.75">
      <c r="A13" s="47" t="s">
        <v>9</v>
      </c>
      <c r="B13" s="54">
        <v>165200</v>
      </c>
      <c r="C13" s="55"/>
      <c r="D13" s="49"/>
    </row>
    <row r="14" spans="1:4" ht="12.75">
      <c r="A14" s="4" t="s">
        <v>10</v>
      </c>
      <c r="B14" s="54">
        <v>835400</v>
      </c>
      <c r="C14" s="55"/>
      <c r="D14" s="18"/>
    </row>
    <row r="15" spans="1:4" s="117" customFormat="1" ht="12.75">
      <c r="A15" s="39" t="s">
        <v>11</v>
      </c>
      <c r="B15" s="120">
        <v>26850</v>
      </c>
      <c r="C15" s="113">
        <f>B15</f>
        <v>26850</v>
      </c>
      <c r="D15" s="45"/>
    </row>
    <row r="16" spans="1:4" s="117" customFormat="1" ht="12.75">
      <c r="A16" s="39" t="s">
        <v>12</v>
      </c>
      <c r="B16" s="120">
        <v>127500</v>
      </c>
      <c r="C16" s="113">
        <f>B16</f>
        <v>127500</v>
      </c>
      <c r="D16" s="45"/>
    </row>
    <row r="17" spans="1:4" s="117" customFormat="1" ht="12.75">
      <c r="A17" s="39" t="s">
        <v>13</v>
      </c>
      <c r="B17" s="120">
        <v>151900</v>
      </c>
      <c r="C17" s="113">
        <f>150792-39342</f>
        <v>111450</v>
      </c>
      <c r="D17" s="45"/>
    </row>
    <row r="18" spans="1:4" s="117" customFormat="1" ht="12.75">
      <c r="A18" s="39" t="s">
        <v>14</v>
      </c>
      <c r="B18" s="120">
        <v>18250</v>
      </c>
      <c r="C18" s="113">
        <f>B18</f>
        <v>18250</v>
      </c>
      <c r="D18" s="45"/>
    </row>
    <row r="19" spans="1:4" ht="12.75">
      <c r="A19" s="4" t="s">
        <v>15</v>
      </c>
      <c r="B19" s="54">
        <v>697100</v>
      </c>
      <c r="C19" s="55"/>
      <c r="D19" s="18"/>
    </row>
    <row r="20" spans="1:4" ht="12.75">
      <c r="A20" s="4" t="s">
        <v>16</v>
      </c>
      <c r="B20" s="54">
        <v>134700</v>
      </c>
      <c r="C20" s="55"/>
      <c r="D20" s="18"/>
    </row>
    <row r="21" spans="1:4" s="117" customFormat="1" ht="12.75">
      <c r="A21" s="39" t="s">
        <v>17</v>
      </c>
      <c r="B21" s="120">
        <v>61100</v>
      </c>
      <c r="C21" s="113">
        <f>B21</f>
        <v>61100</v>
      </c>
      <c r="D21" s="45"/>
    </row>
    <row r="22" spans="1:4" s="117" customFormat="1" ht="12.75">
      <c r="A22" s="39" t="s">
        <v>18</v>
      </c>
      <c r="B22" s="120">
        <v>34150</v>
      </c>
      <c r="C22" s="113">
        <f>B22</f>
        <v>34150</v>
      </c>
      <c r="D22" s="45"/>
    </row>
    <row r="23" spans="1:4" ht="12.75">
      <c r="A23" s="4" t="s">
        <v>19</v>
      </c>
      <c r="B23" s="54">
        <v>9902700</v>
      </c>
      <c r="C23" s="55"/>
      <c r="D23" s="18"/>
    </row>
    <row r="24" spans="1:4" ht="12.75">
      <c r="A24" s="4" t="s">
        <v>20</v>
      </c>
      <c r="B24" s="54">
        <v>131800</v>
      </c>
      <c r="C24" s="55"/>
      <c r="D24" s="18"/>
    </row>
    <row r="25" spans="1:4" ht="12.75">
      <c r="A25" s="4" t="s">
        <v>21</v>
      </c>
      <c r="B25" s="54">
        <v>249100</v>
      </c>
      <c r="C25" s="55"/>
      <c r="D25" s="18"/>
    </row>
    <row r="26" spans="1:4" s="117" customFormat="1" ht="12.75">
      <c r="A26" s="39" t="s">
        <v>22</v>
      </c>
      <c r="B26" s="120">
        <v>17400</v>
      </c>
      <c r="C26" s="113">
        <f>B26</f>
        <v>17400</v>
      </c>
      <c r="D26" s="45"/>
    </row>
    <row r="27" spans="1:4" s="117" customFormat="1" ht="12.75">
      <c r="A27" s="39" t="s">
        <v>23</v>
      </c>
      <c r="B27" s="120">
        <v>87900</v>
      </c>
      <c r="C27" s="113">
        <f>B27</f>
        <v>87900</v>
      </c>
      <c r="D27" s="45"/>
    </row>
    <row r="28" spans="1:4" ht="12.75">
      <c r="A28" s="4" t="s">
        <v>24</v>
      </c>
      <c r="B28" s="54">
        <v>222700</v>
      </c>
      <c r="C28" s="55"/>
      <c r="D28" s="18"/>
    </row>
    <row r="29" spans="1:4" s="117" customFormat="1" ht="12.75">
      <c r="A29" s="39" t="s">
        <v>25</v>
      </c>
      <c r="B29" s="120">
        <v>9300</v>
      </c>
      <c r="C29" s="113">
        <f>B29</f>
        <v>9300</v>
      </c>
      <c r="D29" s="45"/>
    </row>
    <row r="30" spans="1:4" s="117" customFormat="1" ht="12.75">
      <c r="A30" s="39" t="s">
        <v>26</v>
      </c>
      <c r="B30" s="120">
        <v>13350</v>
      </c>
      <c r="C30" s="113">
        <f>B30</f>
        <v>13350</v>
      </c>
      <c r="D30" s="45"/>
    </row>
    <row r="31" spans="1:4" ht="12.75">
      <c r="A31" s="4" t="s">
        <v>27</v>
      </c>
      <c r="B31" s="54">
        <v>412000</v>
      </c>
      <c r="C31" s="55"/>
      <c r="D31" s="18"/>
    </row>
    <row r="32" spans="1:4" ht="12.75">
      <c r="A32" s="4" t="s">
        <v>28</v>
      </c>
      <c r="B32" s="54">
        <v>128900</v>
      </c>
      <c r="C32" s="55"/>
      <c r="D32" s="18"/>
    </row>
    <row r="33" spans="1:4" s="117" customFormat="1" ht="12.75">
      <c r="A33" s="39" t="s">
        <v>29</v>
      </c>
      <c r="B33" s="120">
        <v>95700</v>
      </c>
      <c r="C33" s="113">
        <f>B33</f>
        <v>95700</v>
      </c>
      <c r="D33" s="45"/>
    </row>
    <row r="34" spans="1:4" ht="12.75">
      <c r="A34" s="4" t="s">
        <v>30</v>
      </c>
      <c r="B34" s="54">
        <v>2954500</v>
      </c>
      <c r="C34" s="55"/>
      <c r="D34" s="18"/>
    </row>
    <row r="35" spans="1:4" ht="12.75">
      <c r="A35" s="4" t="s">
        <v>31</v>
      </c>
      <c r="B35" s="54">
        <v>270700</v>
      </c>
      <c r="C35" s="55"/>
      <c r="D35" s="18"/>
    </row>
    <row r="36" spans="1:4" s="117" customFormat="1" ht="12.75">
      <c r="A36" s="39" t="s">
        <v>32</v>
      </c>
      <c r="B36" s="120">
        <v>20950</v>
      </c>
      <c r="C36" s="113">
        <f>B36</f>
        <v>20950</v>
      </c>
      <c r="D36" s="45"/>
    </row>
    <row r="37" spans="1:4" ht="12.75">
      <c r="A37" s="4" t="s">
        <v>33</v>
      </c>
      <c r="B37" s="54">
        <v>1677100</v>
      </c>
      <c r="C37" s="55"/>
      <c r="D37" s="18"/>
    </row>
    <row r="38" spans="1:4" ht="12.75">
      <c r="A38" s="4" t="s">
        <v>34</v>
      </c>
      <c r="B38" s="54">
        <v>1297600</v>
      </c>
      <c r="C38" s="55"/>
      <c r="D38" s="18"/>
    </row>
    <row r="39" spans="1:4" s="117" customFormat="1" ht="12.75">
      <c r="A39" s="39" t="s">
        <v>35</v>
      </c>
      <c r="B39" s="120">
        <v>56000</v>
      </c>
      <c r="C39" s="113">
        <f>B39</f>
        <v>56000</v>
      </c>
      <c r="D39" s="45"/>
    </row>
    <row r="40" spans="1:4" ht="12.75">
      <c r="A40" s="4" t="s">
        <v>36</v>
      </c>
      <c r="B40" s="54">
        <v>1811700</v>
      </c>
      <c r="C40" s="55"/>
      <c r="D40" s="18"/>
    </row>
    <row r="41" spans="1:4" ht="12.75">
      <c r="A41" s="4" t="s">
        <v>37</v>
      </c>
      <c r="B41" s="54">
        <v>2935100</v>
      </c>
      <c r="C41" s="55"/>
      <c r="D41" s="18"/>
    </row>
    <row r="42" spans="1:4" ht="12.75">
      <c r="A42" s="4" t="s">
        <v>38</v>
      </c>
      <c r="B42" s="54">
        <v>789800</v>
      </c>
      <c r="C42" s="55"/>
      <c r="D42" s="18"/>
    </row>
    <row r="43" spans="1:4" ht="12.75">
      <c r="A43" s="4" t="s">
        <v>39</v>
      </c>
      <c r="B43" s="54">
        <v>605500</v>
      </c>
      <c r="C43" s="55"/>
      <c r="D43" s="18"/>
    </row>
    <row r="44" spans="1:4" ht="12.75">
      <c r="A44" s="4" t="s">
        <v>40</v>
      </c>
      <c r="B44" s="54">
        <v>254500</v>
      </c>
      <c r="C44" s="55"/>
      <c r="D44" s="18"/>
    </row>
    <row r="45" spans="1:4" ht="12.75">
      <c r="A45" s="4" t="s">
        <v>41</v>
      </c>
      <c r="B45" s="54">
        <v>713800</v>
      </c>
      <c r="C45" s="55"/>
      <c r="D45" s="18"/>
    </row>
    <row r="46" spans="1:4" ht="12.75">
      <c r="A46" s="4" t="s">
        <v>42</v>
      </c>
      <c r="B46" s="54">
        <v>407800</v>
      </c>
      <c r="C46" s="55"/>
      <c r="D46" s="18"/>
    </row>
    <row r="47" spans="1:4" ht="12.75">
      <c r="A47" s="4" t="s">
        <v>43</v>
      </c>
      <c r="B47" s="54">
        <v>1718500</v>
      </c>
      <c r="C47" s="55"/>
      <c r="D47" s="18"/>
    </row>
    <row r="48" spans="1:4" ht="12.75">
      <c r="A48" s="4" t="s">
        <v>44</v>
      </c>
      <c r="B48" s="54">
        <v>259000</v>
      </c>
      <c r="C48" s="55"/>
      <c r="D48" s="18"/>
    </row>
    <row r="49" spans="1:4" ht="12.75">
      <c r="A49" s="4" t="s">
        <v>45</v>
      </c>
      <c r="B49" s="54">
        <v>171100</v>
      </c>
      <c r="C49" s="55"/>
      <c r="D49" s="18"/>
    </row>
    <row r="50" spans="1:4" s="117" customFormat="1" ht="12.75">
      <c r="A50" s="39" t="s">
        <v>46</v>
      </c>
      <c r="B50" s="120">
        <v>3520</v>
      </c>
      <c r="C50" s="113">
        <f>B50</f>
        <v>3520</v>
      </c>
      <c r="D50" s="45"/>
    </row>
    <row r="51" spans="1:4" s="117" customFormat="1" ht="12.75">
      <c r="A51" s="39" t="s">
        <v>47</v>
      </c>
      <c r="B51" s="120">
        <v>44300</v>
      </c>
      <c r="C51" s="113">
        <f>B51</f>
        <v>44300</v>
      </c>
      <c r="D51" s="45"/>
    </row>
    <row r="52" spans="1:4" ht="12.75">
      <c r="A52" s="4" t="s">
        <v>48</v>
      </c>
      <c r="B52" s="54">
        <v>408700</v>
      </c>
      <c r="C52" s="55"/>
      <c r="D52" s="18"/>
    </row>
    <row r="53" spans="1:4" ht="12.75">
      <c r="A53" s="4" t="s">
        <v>49</v>
      </c>
      <c r="B53" s="54">
        <v>470200</v>
      </c>
      <c r="C53" s="55"/>
      <c r="D53" s="18"/>
    </row>
    <row r="54" spans="1:4" ht="12.75">
      <c r="A54" s="4" t="s">
        <v>50</v>
      </c>
      <c r="B54" s="54">
        <v>477100</v>
      </c>
      <c r="C54" s="55"/>
      <c r="D54" s="18"/>
    </row>
    <row r="55" spans="1:4" ht="12.75">
      <c r="A55" s="4" t="s">
        <v>51</v>
      </c>
      <c r="B55" s="54">
        <v>82500</v>
      </c>
      <c r="C55" s="55"/>
      <c r="D55" s="18"/>
    </row>
    <row r="56" spans="1:4" s="117" customFormat="1" ht="12.75">
      <c r="A56" s="39" t="s">
        <v>52</v>
      </c>
      <c r="B56" s="120">
        <v>57300</v>
      </c>
      <c r="C56" s="113">
        <f>B56</f>
        <v>57300</v>
      </c>
      <c r="D56" s="45"/>
    </row>
    <row r="57" spans="1:4" s="117" customFormat="1" ht="12.75">
      <c r="A57" s="39" t="s">
        <v>53</v>
      </c>
      <c r="B57" s="120">
        <v>13100</v>
      </c>
      <c r="C57" s="113">
        <f>B57</f>
        <v>13100</v>
      </c>
      <c r="D57" s="45"/>
    </row>
    <row r="58" spans="1:4" ht="12.75">
      <c r="A58" s="4" t="s">
        <v>54</v>
      </c>
      <c r="B58" s="54">
        <v>382000</v>
      </c>
      <c r="C58" s="55"/>
      <c r="D58" s="18"/>
    </row>
    <row r="59" spans="1:4" s="117" customFormat="1" ht="12.75">
      <c r="A59" s="39" t="s">
        <v>55</v>
      </c>
      <c r="B59" s="120">
        <v>56200</v>
      </c>
      <c r="C59" s="113">
        <f>B59</f>
        <v>56200</v>
      </c>
      <c r="D59" s="45"/>
    </row>
    <row r="60" spans="1:4" ht="12.75">
      <c r="A60" s="4" t="s">
        <v>56</v>
      </c>
      <c r="B60" s="54">
        <v>785700</v>
      </c>
      <c r="C60" s="55"/>
      <c r="D60" s="18"/>
    </row>
    <row r="61" spans="1:4" ht="12.75">
      <c r="A61" s="4" t="s">
        <v>57</v>
      </c>
      <c r="B61" s="35">
        <v>179000</v>
      </c>
      <c r="C61" s="43"/>
      <c r="D61" s="18"/>
    </row>
    <row r="62" spans="1:4" s="23" customFormat="1" ht="12.75">
      <c r="A62" s="22" t="s">
        <v>58</v>
      </c>
      <c r="B62" s="35">
        <v>62400</v>
      </c>
      <c r="C62" s="35"/>
      <c r="D62" s="24"/>
    </row>
    <row r="63" spans="1:4" s="1" customFormat="1" ht="12.75">
      <c r="A63" s="9"/>
      <c r="B63" s="36"/>
      <c r="C63" s="27"/>
      <c r="D63" s="28"/>
    </row>
    <row r="64" spans="1:4" s="8" customFormat="1" ht="12.75">
      <c r="A64" s="8" t="s">
        <v>67</v>
      </c>
      <c r="B64" s="19">
        <f>SUM(B5:B62)-C64</f>
        <v>34320150</v>
      </c>
      <c r="C64" s="19">
        <f>SUM(C5:C62)</f>
        <v>981550</v>
      </c>
      <c r="D64" s="20"/>
    </row>
  </sheetData>
  <sheetProtection/>
  <printOptions horizontalCentered="1" verticalCentered="1"/>
  <pageMargins left="0.25" right="0.25" top="0.75" bottom="0.25" header="0.25" footer="0.5"/>
  <pageSetup fitToHeight="1" fitToWidth="1" horizontalDpi="600" verticalDpi="600" orientation="portrait" scale="90" r:id="rId1"/>
  <headerFooter alignWithMargins="0">
    <oddHeader>&amp;CCALIFORNIA TAX CREDIT ALLOCATION COMMITTEE&amp;"Arial,Bold Italic"&amp;12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U6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7109375" style="3" bestFit="1" customWidth="1"/>
    <col min="2" max="2" width="8.57421875" style="53" bestFit="1" customWidth="1"/>
    <col min="3" max="3" width="7.57421875" style="53" bestFit="1" customWidth="1"/>
    <col min="4" max="4" width="9.140625" style="53" bestFit="1" customWidth="1"/>
    <col min="5" max="5" width="8.421875" style="53" bestFit="1" customWidth="1"/>
    <col min="6" max="6" width="9.421875" style="53" bestFit="1" customWidth="1"/>
    <col min="7" max="13" width="8.28125" style="53" customWidth="1"/>
    <col min="14" max="14" width="10.421875" style="53" customWidth="1"/>
    <col min="15" max="16" width="9.140625" style="50" customWidth="1"/>
    <col min="17" max="47" width="9.140625" style="53" customWidth="1"/>
  </cols>
  <sheetData>
    <row r="3" spans="1:47" s="16" customFormat="1" ht="38.25">
      <c r="A3" s="16" t="s">
        <v>68</v>
      </c>
      <c r="B3" s="85" t="s">
        <v>77</v>
      </c>
      <c r="C3" s="86" t="s">
        <v>87</v>
      </c>
      <c r="D3" s="86" t="s">
        <v>89</v>
      </c>
      <c r="E3" s="86" t="s">
        <v>86</v>
      </c>
      <c r="F3" s="86" t="s">
        <v>88</v>
      </c>
      <c r="G3" s="87" t="s">
        <v>100</v>
      </c>
      <c r="H3" s="87" t="s">
        <v>94</v>
      </c>
      <c r="I3" s="87" t="s">
        <v>95</v>
      </c>
      <c r="J3" s="87" t="s">
        <v>96</v>
      </c>
      <c r="K3" s="87" t="s">
        <v>97</v>
      </c>
      <c r="L3" s="87" t="s">
        <v>98</v>
      </c>
      <c r="M3" s="87" t="s">
        <v>108</v>
      </c>
      <c r="N3" s="88" t="s">
        <v>91</v>
      </c>
      <c r="O3" s="89" t="s">
        <v>92</v>
      </c>
      <c r="P3" s="90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</row>
    <row r="4" spans="1:47" s="6" customFormat="1" ht="12.75">
      <c r="A4" s="8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  <c r="P4" s="92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</row>
    <row r="5" spans="1:15" ht="12.75">
      <c r="A5" s="4" t="s">
        <v>1</v>
      </c>
      <c r="B5" s="59">
        <v>179.14861449056247</v>
      </c>
      <c r="C5" s="70">
        <f>'Housing Costs'!$B$64</f>
        <v>144.03</v>
      </c>
      <c r="D5" s="70">
        <f>IF(B5&gt;1,B5-C5,0)</f>
        <v>35.118614490562464</v>
      </c>
      <c r="E5" s="70">
        <f>'Housing Costs'!$B$65</f>
        <v>56.03418886094559</v>
      </c>
      <c r="F5" s="93">
        <f>D5/E5</f>
        <v>0.6267354842543148</v>
      </c>
      <c r="G5" s="94">
        <f>IF(F5&gt;=1.25,2,0)</f>
        <v>0</v>
      </c>
      <c r="H5" s="94">
        <f>IF(AND(F5&gt;=0.75,F5&lt;1.25),1.5,0)</f>
        <v>0</v>
      </c>
      <c r="I5" s="95">
        <f>IF(AND(F5&gt;=0.25,F5&lt;0.75),1.25,0)</f>
        <v>1.25</v>
      </c>
      <c r="J5" s="94">
        <f>IF(AND(F5&lt;0.25,F5&gt;-0.25),1,0)</f>
        <v>0</v>
      </c>
      <c r="K5" s="94">
        <f>IF(AND(F5&lt;=-0.25,F5&gt;-0.75),0.875,0)</f>
        <v>0</v>
      </c>
      <c r="L5" s="94">
        <f>IF(AND(F5&lt;=-0.75,F5&gt;-1.25),0.75,0)</f>
        <v>0</v>
      </c>
      <c r="M5" s="94">
        <f>IF(F5&lt;=-1.25,0.5,0)</f>
        <v>0</v>
      </c>
      <c r="N5" s="94">
        <f>SUM(G5:M5)</f>
        <v>1.25</v>
      </c>
      <c r="O5" s="63">
        <f>B5/C5</f>
        <v>1.2438284696977189</v>
      </c>
    </row>
    <row r="6" spans="1:16" s="46" customFormat="1" ht="12.75">
      <c r="A6" s="39" t="s">
        <v>2</v>
      </c>
      <c r="B6" s="58"/>
      <c r="C6" s="69">
        <f>'Housing Costs'!$B$64</f>
        <v>144.03</v>
      </c>
      <c r="D6" s="69">
        <f aca="true" t="shared" si="0" ref="D6:D62">IF(B6&gt;1,B6-C6,0)</f>
        <v>0</v>
      </c>
      <c r="E6" s="69">
        <f>'Housing Costs'!$B$65</f>
        <v>56.03418886094559</v>
      </c>
      <c r="F6" s="119">
        <f aca="true" t="shared" si="1" ref="F6:F62">D6/E6</f>
        <v>0</v>
      </c>
      <c r="G6" s="116">
        <f aca="true" t="shared" si="2" ref="G6:G62">IF(F6&gt;=1.25,2,0)</f>
        <v>0</v>
      </c>
      <c r="H6" s="116">
        <f aca="true" t="shared" si="3" ref="H6:H62">IF(AND(F6&gt;=0.75,F6&lt;1.25),1.5,0)</f>
        <v>0</v>
      </c>
      <c r="I6" s="115">
        <f aca="true" t="shared" si="4" ref="I6:I62">IF(AND(F6&gt;=0.25,F6&lt;0.75),1.25,0)</f>
        <v>0</v>
      </c>
      <c r="J6" s="116">
        <f aca="true" t="shared" si="5" ref="J6:J62">IF(AND(F6&lt;0.25,F6&gt;-0.25),1,0)</f>
        <v>1</v>
      </c>
      <c r="K6" s="116">
        <f aca="true" t="shared" si="6" ref="K6:K62">IF(AND(F6&lt;=-0.25,F6&gt;-0.75),0.875,0)</f>
        <v>0</v>
      </c>
      <c r="L6" s="116">
        <f aca="true" t="shared" si="7" ref="L6:L62">IF(AND(F6&lt;=-0.75,F6&gt;-1.25),0.75,0)</f>
        <v>0</v>
      </c>
      <c r="M6" s="116">
        <f aca="true" t="shared" si="8" ref="M6:M62">IF(F6&lt;=-1.25,0.5,0)</f>
        <v>0</v>
      </c>
      <c r="N6" s="116">
        <f aca="true" t="shared" si="9" ref="N6:N62">SUM(G6:M6)</f>
        <v>1</v>
      </c>
      <c r="O6" s="62">
        <f aca="true" t="shared" si="10" ref="O6:O62">B6/C6</f>
        <v>0</v>
      </c>
      <c r="P6" s="41"/>
    </row>
    <row r="7" spans="1:16" s="46" customFormat="1" ht="12.75">
      <c r="A7" s="39" t="s">
        <v>3</v>
      </c>
      <c r="B7" s="58"/>
      <c r="C7" s="69">
        <f>'Housing Costs'!$B$64</f>
        <v>144.03</v>
      </c>
      <c r="D7" s="69">
        <f t="shared" si="0"/>
        <v>0</v>
      </c>
      <c r="E7" s="69">
        <f>'Housing Costs'!$B$65</f>
        <v>56.03418886094559</v>
      </c>
      <c r="F7" s="119">
        <f t="shared" si="1"/>
        <v>0</v>
      </c>
      <c r="G7" s="116">
        <f t="shared" si="2"/>
        <v>0</v>
      </c>
      <c r="H7" s="116">
        <f t="shared" si="3"/>
        <v>0</v>
      </c>
      <c r="I7" s="115">
        <f t="shared" si="4"/>
        <v>0</v>
      </c>
      <c r="J7" s="116">
        <f t="shared" si="5"/>
        <v>1</v>
      </c>
      <c r="K7" s="116">
        <f t="shared" si="6"/>
        <v>0</v>
      </c>
      <c r="L7" s="116">
        <f t="shared" si="7"/>
        <v>0</v>
      </c>
      <c r="M7" s="116">
        <f t="shared" si="8"/>
        <v>0</v>
      </c>
      <c r="N7" s="116">
        <f t="shared" si="9"/>
        <v>1</v>
      </c>
      <c r="O7" s="62">
        <f t="shared" si="10"/>
        <v>0</v>
      </c>
      <c r="P7" s="41"/>
    </row>
    <row r="8" spans="1:15" ht="12.75">
      <c r="A8" s="4" t="s">
        <v>4</v>
      </c>
      <c r="B8" s="59">
        <v>115.98482367241085</v>
      </c>
      <c r="C8" s="70">
        <f>'Housing Costs'!$B$64</f>
        <v>144.03</v>
      </c>
      <c r="D8" s="70">
        <f t="shared" si="0"/>
        <v>-28.045176327589147</v>
      </c>
      <c r="E8" s="70">
        <f>'Housing Costs'!$B$65</f>
        <v>56.03418886094559</v>
      </c>
      <c r="F8" s="93">
        <f t="shared" si="1"/>
        <v>-0.5005011564847676</v>
      </c>
      <c r="G8" s="94">
        <f t="shared" si="2"/>
        <v>0</v>
      </c>
      <c r="H8" s="94">
        <f t="shared" si="3"/>
        <v>0</v>
      </c>
      <c r="I8" s="95">
        <f t="shared" si="4"/>
        <v>0</v>
      </c>
      <c r="J8" s="94">
        <f t="shared" si="5"/>
        <v>0</v>
      </c>
      <c r="K8" s="94">
        <f t="shared" si="6"/>
        <v>0.875</v>
      </c>
      <c r="L8" s="94">
        <f t="shared" si="7"/>
        <v>0</v>
      </c>
      <c r="M8" s="94">
        <f t="shared" si="8"/>
        <v>0</v>
      </c>
      <c r="N8" s="94">
        <f t="shared" si="9"/>
        <v>0.875</v>
      </c>
      <c r="O8" s="63">
        <f t="shared" si="10"/>
        <v>0.8052823972256533</v>
      </c>
    </row>
    <row r="9" spans="1:16" s="46" customFormat="1" ht="12.75">
      <c r="A9" s="39" t="s">
        <v>5</v>
      </c>
      <c r="B9" s="58"/>
      <c r="C9" s="69">
        <f>'Housing Costs'!$B$64</f>
        <v>144.03</v>
      </c>
      <c r="D9" s="69">
        <f t="shared" si="0"/>
        <v>0</v>
      </c>
      <c r="E9" s="69">
        <f>'Housing Costs'!$B$65</f>
        <v>56.03418886094559</v>
      </c>
      <c r="F9" s="119">
        <f t="shared" si="1"/>
        <v>0</v>
      </c>
      <c r="G9" s="116">
        <f t="shared" si="2"/>
        <v>0</v>
      </c>
      <c r="H9" s="116">
        <f t="shared" si="3"/>
        <v>0</v>
      </c>
      <c r="I9" s="115">
        <f t="shared" si="4"/>
        <v>0</v>
      </c>
      <c r="J9" s="116">
        <f t="shared" si="5"/>
        <v>1</v>
      </c>
      <c r="K9" s="116">
        <f t="shared" si="6"/>
        <v>0</v>
      </c>
      <c r="L9" s="116">
        <f t="shared" si="7"/>
        <v>0</v>
      </c>
      <c r="M9" s="116">
        <f t="shared" si="8"/>
        <v>0</v>
      </c>
      <c r="N9" s="116">
        <f t="shared" si="9"/>
        <v>1</v>
      </c>
      <c r="O9" s="62">
        <f t="shared" si="10"/>
        <v>0</v>
      </c>
      <c r="P9" s="41"/>
    </row>
    <row r="10" spans="1:16" s="46" customFormat="1" ht="12.75">
      <c r="A10" s="39" t="s">
        <v>6</v>
      </c>
      <c r="B10" s="58">
        <v>147.94237075617283</v>
      </c>
      <c r="C10" s="69">
        <f>'Housing Costs'!$B$64</f>
        <v>144.03</v>
      </c>
      <c r="D10" s="69">
        <f t="shared" si="0"/>
        <v>3.912370756172834</v>
      </c>
      <c r="E10" s="69">
        <f>'Housing Costs'!$B$65</f>
        <v>56.03418886094559</v>
      </c>
      <c r="F10" s="119">
        <f t="shared" si="1"/>
        <v>0.06982113662574416</v>
      </c>
      <c r="G10" s="116">
        <f t="shared" si="2"/>
        <v>0</v>
      </c>
      <c r="H10" s="116">
        <f t="shared" si="3"/>
        <v>0</v>
      </c>
      <c r="I10" s="115">
        <f t="shared" si="4"/>
        <v>0</v>
      </c>
      <c r="J10" s="116">
        <f t="shared" si="5"/>
        <v>1</v>
      </c>
      <c r="K10" s="116">
        <f t="shared" si="6"/>
        <v>0</v>
      </c>
      <c r="L10" s="116">
        <f t="shared" si="7"/>
        <v>0</v>
      </c>
      <c r="M10" s="116">
        <f t="shared" si="8"/>
        <v>0</v>
      </c>
      <c r="N10" s="116">
        <f t="shared" si="9"/>
        <v>1</v>
      </c>
      <c r="O10" s="62">
        <f t="shared" si="10"/>
        <v>1.027163582282669</v>
      </c>
      <c r="P10" s="41"/>
    </row>
    <row r="11" spans="1:15" ht="12.75">
      <c r="A11" s="4" t="s">
        <v>7</v>
      </c>
      <c r="B11" s="59">
        <v>187.45196104092145</v>
      </c>
      <c r="C11" s="70">
        <f>'Housing Costs'!$B$64</f>
        <v>144.03</v>
      </c>
      <c r="D11" s="70">
        <f t="shared" si="0"/>
        <v>43.421961040921445</v>
      </c>
      <c r="E11" s="70">
        <f>'Housing Costs'!$B$65</f>
        <v>56.03418886094559</v>
      </c>
      <c r="F11" s="93">
        <f t="shared" si="1"/>
        <v>0.7749190614443864</v>
      </c>
      <c r="G11" s="94">
        <f t="shared" si="2"/>
        <v>0</v>
      </c>
      <c r="H11" s="94">
        <f t="shared" si="3"/>
        <v>1.5</v>
      </c>
      <c r="I11" s="95">
        <f t="shared" si="4"/>
        <v>0</v>
      </c>
      <c r="J11" s="94">
        <f t="shared" si="5"/>
        <v>0</v>
      </c>
      <c r="K11" s="94">
        <f t="shared" si="6"/>
        <v>0</v>
      </c>
      <c r="L11" s="94">
        <f t="shared" si="7"/>
        <v>0</v>
      </c>
      <c r="M11" s="94">
        <f t="shared" si="8"/>
        <v>0</v>
      </c>
      <c r="N11" s="94">
        <f t="shared" si="9"/>
        <v>1.5</v>
      </c>
      <c r="O11" s="63">
        <f t="shared" si="10"/>
        <v>1.301478588078327</v>
      </c>
    </row>
    <row r="12" spans="1:16" s="46" customFormat="1" ht="12.75">
      <c r="A12" s="39" t="s">
        <v>8</v>
      </c>
      <c r="B12" s="58"/>
      <c r="C12" s="69">
        <f>'Housing Costs'!$B$64</f>
        <v>144.03</v>
      </c>
      <c r="D12" s="69">
        <f t="shared" si="0"/>
        <v>0</v>
      </c>
      <c r="E12" s="69">
        <f>'Housing Costs'!$B$65</f>
        <v>56.03418886094559</v>
      </c>
      <c r="F12" s="119">
        <f t="shared" si="1"/>
        <v>0</v>
      </c>
      <c r="G12" s="116">
        <f t="shared" si="2"/>
        <v>0</v>
      </c>
      <c r="H12" s="116">
        <f t="shared" si="3"/>
        <v>0</v>
      </c>
      <c r="I12" s="115">
        <f t="shared" si="4"/>
        <v>0</v>
      </c>
      <c r="J12" s="116">
        <f t="shared" si="5"/>
        <v>1</v>
      </c>
      <c r="K12" s="116">
        <f t="shared" si="6"/>
        <v>0</v>
      </c>
      <c r="L12" s="116">
        <f t="shared" si="7"/>
        <v>0</v>
      </c>
      <c r="M12" s="116">
        <f t="shared" si="8"/>
        <v>0</v>
      </c>
      <c r="N12" s="116">
        <f t="shared" si="9"/>
        <v>1</v>
      </c>
      <c r="O12" s="62">
        <f t="shared" si="10"/>
        <v>0</v>
      </c>
      <c r="P12" s="41"/>
    </row>
    <row r="13" spans="1:16" s="53" customFormat="1" ht="12.75">
      <c r="A13" s="47" t="s">
        <v>9</v>
      </c>
      <c r="B13" s="59">
        <v>117.1047189523249</v>
      </c>
      <c r="C13" s="70">
        <f>'Housing Costs'!$B$64</f>
        <v>144.03</v>
      </c>
      <c r="D13" s="70">
        <f t="shared" si="0"/>
        <v>-26.9252810476751</v>
      </c>
      <c r="E13" s="70">
        <f>'Housing Costs'!$B$65</f>
        <v>56.03418886094559</v>
      </c>
      <c r="F13" s="93">
        <f t="shared" si="1"/>
        <v>-0.4805152282027828</v>
      </c>
      <c r="G13" s="94">
        <f t="shared" si="2"/>
        <v>0</v>
      </c>
      <c r="H13" s="94">
        <f t="shared" si="3"/>
        <v>0</v>
      </c>
      <c r="I13" s="95">
        <f t="shared" si="4"/>
        <v>0</v>
      </c>
      <c r="J13" s="94">
        <f t="shared" si="5"/>
        <v>0</v>
      </c>
      <c r="K13" s="94">
        <f t="shared" si="6"/>
        <v>0.875</v>
      </c>
      <c r="L13" s="94">
        <f t="shared" si="7"/>
        <v>0</v>
      </c>
      <c r="M13" s="94">
        <f t="shared" si="8"/>
        <v>0</v>
      </c>
      <c r="N13" s="94">
        <f t="shared" si="9"/>
        <v>0.875</v>
      </c>
      <c r="O13" s="63">
        <f t="shared" si="10"/>
        <v>0.8130578278992217</v>
      </c>
      <c r="P13" s="50"/>
    </row>
    <row r="14" spans="1:15" ht="12.75">
      <c r="A14" s="4" t="s">
        <v>10</v>
      </c>
      <c r="B14" s="59">
        <v>115.60422310960108</v>
      </c>
      <c r="C14" s="70">
        <f>'Housing Costs'!$B$64</f>
        <v>144.03</v>
      </c>
      <c r="D14" s="70">
        <f t="shared" si="0"/>
        <v>-28.42577689039892</v>
      </c>
      <c r="E14" s="70">
        <f>'Housing Costs'!$B$65</f>
        <v>56.03418886094559</v>
      </c>
      <c r="F14" s="93">
        <f t="shared" si="1"/>
        <v>-0.5072934483077878</v>
      </c>
      <c r="G14" s="94">
        <f t="shared" si="2"/>
        <v>0</v>
      </c>
      <c r="H14" s="94">
        <f t="shared" si="3"/>
        <v>0</v>
      </c>
      <c r="I14" s="95">
        <f t="shared" si="4"/>
        <v>0</v>
      </c>
      <c r="J14" s="94">
        <f t="shared" si="5"/>
        <v>0</v>
      </c>
      <c r="K14" s="94">
        <f t="shared" si="6"/>
        <v>0.875</v>
      </c>
      <c r="L14" s="94">
        <f t="shared" si="7"/>
        <v>0</v>
      </c>
      <c r="M14" s="94">
        <f t="shared" si="8"/>
        <v>0</v>
      </c>
      <c r="N14" s="94">
        <f t="shared" si="9"/>
        <v>0.875</v>
      </c>
      <c r="O14" s="63">
        <f t="shared" si="10"/>
        <v>0.8026398882843927</v>
      </c>
    </row>
    <row r="15" spans="1:16" s="46" customFormat="1" ht="12.75">
      <c r="A15" s="39" t="s">
        <v>11</v>
      </c>
      <c r="B15" s="58">
        <v>144.9435968819599</v>
      </c>
      <c r="C15" s="69">
        <f>'Housing Costs'!$B$64</f>
        <v>144.03</v>
      </c>
      <c r="D15" s="69">
        <f t="shared" si="0"/>
        <v>0.9135968819599043</v>
      </c>
      <c r="E15" s="69">
        <f>'Housing Costs'!$B$65</f>
        <v>56.03418886094559</v>
      </c>
      <c r="F15" s="119">
        <f t="shared" si="1"/>
        <v>0.016304276023823346</v>
      </c>
      <c r="G15" s="116">
        <f t="shared" si="2"/>
        <v>0</v>
      </c>
      <c r="H15" s="116">
        <f t="shared" si="3"/>
        <v>0</v>
      </c>
      <c r="I15" s="115">
        <f t="shared" si="4"/>
        <v>0</v>
      </c>
      <c r="J15" s="116">
        <f t="shared" si="5"/>
        <v>1</v>
      </c>
      <c r="K15" s="116">
        <f t="shared" si="6"/>
        <v>0</v>
      </c>
      <c r="L15" s="116">
        <f t="shared" si="7"/>
        <v>0</v>
      </c>
      <c r="M15" s="116">
        <f t="shared" si="8"/>
        <v>0</v>
      </c>
      <c r="N15" s="116">
        <f t="shared" si="9"/>
        <v>1</v>
      </c>
      <c r="O15" s="62">
        <f t="shared" si="10"/>
        <v>1.0063431013119482</v>
      </c>
      <c r="P15" s="41"/>
    </row>
    <row r="16" spans="1:16" s="46" customFormat="1" ht="12.75">
      <c r="A16" s="39" t="s">
        <v>12</v>
      </c>
      <c r="B16" s="58">
        <v>127.10231629392972</v>
      </c>
      <c r="C16" s="69">
        <f>'Housing Costs'!$B$64</f>
        <v>144.03</v>
      </c>
      <c r="D16" s="69">
        <f t="shared" si="0"/>
        <v>-16.927683706070283</v>
      </c>
      <c r="E16" s="69">
        <f>'Housing Costs'!$B$65</f>
        <v>56.03418886094559</v>
      </c>
      <c r="F16" s="119">
        <f t="shared" si="1"/>
        <v>-0.3020956321519709</v>
      </c>
      <c r="G16" s="116">
        <f t="shared" si="2"/>
        <v>0</v>
      </c>
      <c r="H16" s="116">
        <f t="shared" si="3"/>
        <v>0</v>
      </c>
      <c r="I16" s="115">
        <f t="shared" si="4"/>
        <v>0</v>
      </c>
      <c r="J16" s="116">
        <f t="shared" si="5"/>
        <v>0</v>
      </c>
      <c r="K16" s="116">
        <f t="shared" si="6"/>
        <v>0.875</v>
      </c>
      <c r="L16" s="116">
        <f t="shared" si="7"/>
        <v>0</v>
      </c>
      <c r="M16" s="116">
        <f t="shared" si="8"/>
        <v>0</v>
      </c>
      <c r="N16" s="116">
        <f t="shared" si="9"/>
        <v>0.875</v>
      </c>
      <c r="O16" s="62">
        <f t="shared" si="10"/>
        <v>0.8824711261121274</v>
      </c>
      <c r="P16" s="41"/>
    </row>
    <row r="17" spans="1:16" s="46" customFormat="1" ht="12.75">
      <c r="A17" s="39" t="s">
        <v>13</v>
      </c>
      <c r="B17" s="58">
        <v>137.26226097542317</v>
      </c>
      <c r="C17" s="69">
        <f>'Housing Costs'!$B$64</f>
        <v>144.03</v>
      </c>
      <c r="D17" s="69">
        <f t="shared" si="0"/>
        <v>-6.7677390245768265</v>
      </c>
      <c r="E17" s="69">
        <f>'Housing Costs'!$B$65</f>
        <v>56.03418886094559</v>
      </c>
      <c r="F17" s="119">
        <f t="shared" si="1"/>
        <v>-0.120778745300867</v>
      </c>
      <c r="G17" s="116">
        <f t="shared" si="2"/>
        <v>0</v>
      </c>
      <c r="H17" s="116">
        <f t="shared" si="3"/>
        <v>0</v>
      </c>
      <c r="I17" s="115">
        <f t="shared" si="4"/>
        <v>0</v>
      </c>
      <c r="J17" s="116">
        <f t="shared" si="5"/>
        <v>1</v>
      </c>
      <c r="K17" s="116">
        <f t="shared" si="6"/>
        <v>0</v>
      </c>
      <c r="L17" s="116">
        <f t="shared" si="7"/>
        <v>0</v>
      </c>
      <c r="M17" s="116">
        <f t="shared" si="8"/>
        <v>0</v>
      </c>
      <c r="N17" s="116">
        <f t="shared" si="9"/>
        <v>1</v>
      </c>
      <c r="O17" s="62">
        <f t="shared" si="10"/>
        <v>0.9530116015789987</v>
      </c>
      <c r="P17" s="41"/>
    </row>
    <row r="18" spans="1:16" s="46" customFormat="1" ht="12.75">
      <c r="A18" s="39" t="s">
        <v>14</v>
      </c>
      <c r="B18" s="58"/>
      <c r="C18" s="69">
        <f>'Housing Costs'!$B$64</f>
        <v>144.03</v>
      </c>
      <c r="D18" s="69">
        <f t="shared" si="0"/>
        <v>0</v>
      </c>
      <c r="E18" s="69">
        <f>'Housing Costs'!$B$65</f>
        <v>56.03418886094559</v>
      </c>
      <c r="F18" s="119">
        <f t="shared" si="1"/>
        <v>0</v>
      </c>
      <c r="G18" s="116">
        <f t="shared" si="2"/>
        <v>0</v>
      </c>
      <c r="H18" s="116">
        <f t="shared" si="3"/>
        <v>0</v>
      </c>
      <c r="I18" s="115">
        <f t="shared" si="4"/>
        <v>0</v>
      </c>
      <c r="J18" s="116">
        <f t="shared" si="5"/>
        <v>1</v>
      </c>
      <c r="K18" s="116">
        <f t="shared" si="6"/>
        <v>0</v>
      </c>
      <c r="L18" s="116">
        <f t="shared" si="7"/>
        <v>0</v>
      </c>
      <c r="M18" s="116">
        <f t="shared" si="8"/>
        <v>0</v>
      </c>
      <c r="N18" s="116">
        <f t="shared" si="9"/>
        <v>1</v>
      </c>
      <c r="O18" s="62">
        <f t="shared" si="10"/>
        <v>0</v>
      </c>
      <c r="P18" s="41"/>
    </row>
    <row r="19" spans="1:15" ht="12.75">
      <c r="A19" s="4" t="s">
        <v>15</v>
      </c>
      <c r="B19" s="59">
        <v>121.89607483023273</v>
      </c>
      <c r="C19" s="70">
        <f>'Housing Costs'!$B$64</f>
        <v>144.03</v>
      </c>
      <c r="D19" s="70">
        <f t="shared" si="0"/>
        <v>-22.133925169767267</v>
      </c>
      <c r="E19" s="70">
        <f>'Housing Costs'!$B$65</f>
        <v>56.03418886094559</v>
      </c>
      <c r="F19" s="93">
        <f t="shared" si="1"/>
        <v>-0.39500750559082426</v>
      </c>
      <c r="G19" s="94">
        <f t="shared" si="2"/>
        <v>0</v>
      </c>
      <c r="H19" s="94">
        <f t="shared" si="3"/>
        <v>0</v>
      </c>
      <c r="I19" s="95">
        <f t="shared" si="4"/>
        <v>0</v>
      </c>
      <c r="J19" s="94">
        <f t="shared" si="5"/>
        <v>0</v>
      </c>
      <c r="K19" s="94">
        <f t="shared" si="6"/>
        <v>0.875</v>
      </c>
      <c r="L19" s="94">
        <f t="shared" si="7"/>
        <v>0</v>
      </c>
      <c r="M19" s="94">
        <f t="shared" si="8"/>
        <v>0</v>
      </c>
      <c r="N19" s="94">
        <f t="shared" si="9"/>
        <v>0.875</v>
      </c>
      <c r="O19" s="63">
        <f t="shared" si="10"/>
        <v>0.8463242021122872</v>
      </c>
    </row>
    <row r="20" spans="1:15" ht="12.75">
      <c r="A20" s="4" t="s">
        <v>16</v>
      </c>
      <c r="B20" s="59">
        <v>103.23688939172102</v>
      </c>
      <c r="C20" s="70">
        <f>'Housing Costs'!$B$64</f>
        <v>144.03</v>
      </c>
      <c r="D20" s="70">
        <f t="shared" si="0"/>
        <v>-40.79311060827898</v>
      </c>
      <c r="E20" s="70">
        <f>'Housing Costs'!$B$65</f>
        <v>56.03418886094559</v>
      </c>
      <c r="F20" s="93">
        <f t="shared" si="1"/>
        <v>-0.7280039461178093</v>
      </c>
      <c r="G20" s="94">
        <f t="shared" si="2"/>
        <v>0</v>
      </c>
      <c r="H20" s="94">
        <f t="shared" si="3"/>
        <v>0</v>
      </c>
      <c r="I20" s="95">
        <f t="shared" si="4"/>
        <v>0</v>
      </c>
      <c r="J20" s="94">
        <f t="shared" si="5"/>
        <v>0</v>
      </c>
      <c r="K20" s="94">
        <f t="shared" si="6"/>
        <v>0.875</v>
      </c>
      <c r="L20" s="94">
        <f t="shared" si="7"/>
        <v>0</v>
      </c>
      <c r="M20" s="94">
        <f t="shared" si="8"/>
        <v>0</v>
      </c>
      <c r="N20" s="94">
        <f t="shared" si="9"/>
        <v>0.875</v>
      </c>
      <c r="O20" s="63">
        <f t="shared" si="10"/>
        <v>0.7167735151823996</v>
      </c>
    </row>
    <row r="21" spans="1:16" s="46" customFormat="1" ht="12.75">
      <c r="A21" s="39" t="s">
        <v>17</v>
      </c>
      <c r="B21" s="58">
        <v>123.54565397803668</v>
      </c>
      <c r="C21" s="69">
        <f>'Housing Costs'!$B$64</f>
        <v>144.03</v>
      </c>
      <c r="D21" s="69">
        <f t="shared" si="0"/>
        <v>-20.48434602196332</v>
      </c>
      <c r="E21" s="69">
        <f>'Housing Costs'!$B$65</f>
        <v>56.03418886094559</v>
      </c>
      <c r="F21" s="119">
        <f t="shared" si="1"/>
        <v>-0.36556870793288826</v>
      </c>
      <c r="G21" s="116">
        <f t="shared" si="2"/>
        <v>0</v>
      </c>
      <c r="H21" s="116">
        <f t="shared" si="3"/>
        <v>0</v>
      </c>
      <c r="I21" s="115">
        <f t="shared" si="4"/>
        <v>0</v>
      </c>
      <c r="J21" s="116">
        <f t="shared" si="5"/>
        <v>0</v>
      </c>
      <c r="K21" s="116">
        <f t="shared" si="6"/>
        <v>0.875</v>
      </c>
      <c r="L21" s="116">
        <f t="shared" si="7"/>
        <v>0</v>
      </c>
      <c r="M21" s="116">
        <f t="shared" si="8"/>
        <v>0</v>
      </c>
      <c r="N21" s="116">
        <f t="shared" si="9"/>
        <v>0.875</v>
      </c>
      <c r="O21" s="62">
        <f t="shared" si="10"/>
        <v>0.857777226814113</v>
      </c>
      <c r="P21" s="41"/>
    </row>
    <row r="22" spans="1:16" s="46" customFormat="1" ht="12.75">
      <c r="A22" s="39" t="s">
        <v>18</v>
      </c>
      <c r="B22" s="58"/>
      <c r="C22" s="69">
        <f>'Housing Costs'!$B$64</f>
        <v>144.03</v>
      </c>
      <c r="D22" s="69">
        <f t="shared" si="0"/>
        <v>0</v>
      </c>
      <c r="E22" s="69">
        <f>'Housing Costs'!$B$65</f>
        <v>56.03418886094559</v>
      </c>
      <c r="F22" s="119">
        <f t="shared" si="1"/>
        <v>0</v>
      </c>
      <c r="G22" s="116">
        <f t="shared" si="2"/>
        <v>0</v>
      </c>
      <c r="H22" s="116">
        <f t="shared" si="3"/>
        <v>0</v>
      </c>
      <c r="I22" s="115">
        <f t="shared" si="4"/>
        <v>0</v>
      </c>
      <c r="J22" s="116">
        <f t="shared" si="5"/>
        <v>1</v>
      </c>
      <c r="K22" s="116">
        <f t="shared" si="6"/>
        <v>0</v>
      </c>
      <c r="L22" s="116">
        <f t="shared" si="7"/>
        <v>0</v>
      </c>
      <c r="M22" s="116">
        <f t="shared" si="8"/>
        <v>0</v>
      </c>
      <c r="N22" s="116">
        <f t="shared" si="9"/>
        <v>1</v>
      </c>
      <c r="O22" s="62">
        <f t="shared" si="10"/>
        <v>0</v>
      </c>
      <c r="P22" s="41"/>
    </row>
    <row r="23" spans="1:15" ht="12.75">
      <c r="A23" s="4" t="s">
        <v>19</v>
      </c>
      <c r="B23" s="59">
        <v>125.99348394352364</v>
      </c>
      <c r="C23" s="70">
        <f>'Housing Costs'!$B$64</f>
        <v>144.03</v>
      </c>
      <c r="D23" s="70">
        <f t="shared" si="0"/>
        <v>-18.03651605647636</v>
      </c>
      <c r="E23" s="70">
        <f>'Housing Costs'!$B$65</f>
        <v>56.03418886094559</v>
      </c>
      <c r="F23" s="93">
        <f t="shared" si="1"/>
        <v>-0.3218841286564488</v>
      </c>
      <c r="G23" s="94">
        <f t="shared" si="2"/>
        <v>0</v>
      </c>
      <c r="H23" s="94">
        <f t="shared" si="3"/>
        <v>0</v>
      </c>
      <c r="I23" s="95">
        <f t="shared" si="4"/>
        <v>0</v>
      </c>
      <c r="J23" s="94">
        <f t="shared" si="5"/>
        <v>0</v>
      </c>
      <c r="K23" s="94">
        <f t="shared" si="6"/>
        <v>0.875</v>
      </c>
      <c r="L23" s="94">
        <f t="shared" si="7"/>
        <v>0</v>
      </c>
      <c r="M23" s="94">
        <f t="shared" si="8"/>
        <v>0</v>
      </c>
      <c r="N23" s="94">
        <f t="shared" si="9"/>
        <v>0.875</v>
      </c>
      <c r="O23" s="63">
        <f t="shared" si="10"/>
        <v>0.874772505335858</v>
      </c>
    </row>
    <row r="24" spans="1:15" ht="12.75">
      <c r="A24" s="4" t="s">
        <v>20</v>
      </c>
      <c r="B24" s="59">
        <v>103.4449288404852</v>
      </c>
      <c r="C24" s="70">
        <f>'Housing Costs'!$B$64</f>
        <v>144.03</v>
      </c>
      <c r="D24" s="70">
        <f t="shared" si="0"/>
        <v>-40.5850711595148</v>
      </c>
      <c r="E24" s="70">
        <f>'Housing Costs'!$B$65</f>
        <v>56.03418886094559</v>
      </c>
      <c r="F24" s="93">
        <f t="shared" si="1"/>
        <v>-0.724291222636071</v>
      </c>
      <c r="G24" s="94">
        <f t="shared" si="2"/>
        <v>0</v>
      </c>
      <c r="H24" s="94">
        <f t="shared" si="3"/>
        <v>0</v>
      </c>
      <c r="I24" s="95">
        <f t="shared" si="4"/>
        <v>0</v>
      </c>
      <c r="J24" s="94">
        <f t="shared" si="5"/>
        <v>0</v>
      </c>
      <c r="K24" s="94">
        <f t="shared" si="6"/>
        <v>0.875</v>
      </c>
      <c r="L24" s="94">
        <f t="shared" si="7"/>
        <v>0</v>
      </c>
      <c r="M24" s="94">
        <f t="shared" si="8"/>
        <v>0</v>
      </c>
      <c r="N24" s="94">
        <f t="shared" si="9"/>
        <v>0.875</v>
      </c>
      <c r="O24" s="63">
        <f t="shared" si="10"/>
        <v>0.7182179326562883</v>
      </c>
    </row>
    <row r="25" spans="1:15" ht="12.75">
      <c r="A25" s="4" t="s">
        <v>21</v>
      </c>
      <c r="B25" s="59">
        <v>182.86883668377297</v>
      </c>
      <c r="C25" s="70">
        <f>'Housing Costs'!$B$64</f>
        <v>144.03</v>
      </c>
      <c r="D25" s="70">
        <f t="shared" si="0"/>
        <v>38.83883668377297</v>
      </c>
      <c r="E25" s="70">
        <f>'Housing Costs'!$B$65</f>
        <v>56.03418886094559</v>
      </c>
      <c r="F25" s="93">
        <f t="shared" si="1"/>
        <v>0.6931274900785198</v>
      </c>
      <c r="G25" s="94">
        <f t="shared" si="2"/>
        <v>0</v>
      </c>
      <c r="H25" s="94">
        <f t="shared" si="3"/>
        <v>0</v>
      </c>
      <c r="I25" s="95">
        <f t="shared" si="4"/>
        <v>1.25</v>
      </c>
      <c r="J25" s="94">
        <f t="shared" si="5"/>
        <v>0</v>
      </c>
      <c r="K25" s="94">
        <f t="shared" si="6"/>
        <v>0</v>
      </c>
      <c r="L25" s="94">
        <f t="shared" si="7"/>
        <v>0</v>
      </c>
      <c r="M25" s="94">
        <f t="shared" si="8"/>
        <v>0</v>
      </c>
      <c r="N25" s="94">
        <f t="shared" si="9"/>
        <v>1.25</v>
      </c>
      <c r="O25" s="63">
        <f t="shared" si="10"/>
        <v>1.2696579648946258</v>
      </c>
    </row>
    <row r="26" spans="1:16" s="46" customFormat="1" ht="12.75">
      <c r="A26" s="39" t="s">
        <v>22</v>
      </c>
      <c r="B26" s="58"/>
      <c r="C26" s="69">
        <f>'Housing Costs'!$B$64</f>
        <v>144.03</v>
      </c>
      <c r="D26" s="69">
        <f t="shared" si="0"/>
        <v>0</v>
      </c>
      <c r="E26" s="69">
        <f>'Housing Costs'!$B$65</f>
        <v>56.03418886094559</v>
      </c>
      <c r="F26" s="119">
        <f t="shared" si="1"/>
        <v>0</v>
      </c>
      <c r="G26" s="116">
        <f t="shared" si="2"/>
        <v>0</v>
      </c>
      <c r="H26" s="116">
        <f t="shared" si="3"/>
        <v>0</v>
      </c>
      <c r="I26" s="115">
        <f t="shared" si="4"/>
        <v>0</v>
      </c>
      <c r="J26" s="116">
        <f t="shared" si="5"/>
        <v>1</v>
      </c>
      <c r="K26" s="116">
        <f t="shared" si="6"/>
        <v>0</v>
      </c>
      <c r="L26" s="116">
        <f t="shared" si="7"/>
        <v>0</v>
      </c>
      <c r="M26" s="116">
        <f t="shared" si="8"/>
        <v>0</v>
      </c>
      <c r="N26" s="116">
        <f t="shared" si="9"/>
        <v>1</v>
      </c>
      <c r="O26" s="62">
        <f t="shared" si="10"/>
        <v>0</v>
      </c>
      <c r="P26" s="41"/>
    </row>
    <row r="27" spans="1:16" s="46" customFormat="1" ht="12.75">
      <c r="A27" s="39" t="s">
        <v>23</v>
      </c>
      <c r="B27" s="58">
        <v>129.4758863896302</v>
      </c>
      <c r="C27" s="69">
        <f>'Housing Costs'!$B$64</f>
        <v>144.03</v>
      </c>
      <c r="D27" s="69">
        <f t="shared" si="0"/>
        <v>-14.554113610369797</v>
      </c>
      <c r="E27" s="69">
        <f>'Housing Costs'!$B$65</f>
        <v>56.03418886094559</v>
      </c>
      <c r="F27" s="119">
        <f t="shared" si="1"/>
        <v>-0.2597363128872495</v>
      </c>
      <c r="G27" s="116">
        <f t="shared" si="2"/>
        <v>0</v>
      </c>
      <c r="H27" s="116">
        <f t="shared" si="3"/>
        <v>0</v>
      </c>
      <c r="I27" s="115">
        <f t="shared" si="4"/>
        <v>0</v>
      </c>
      <c r="J27" s="116">
        <f t="shared" si="5"/>
        <v>0</v>
      </c>
      <c r="K27" s="116">
        <f t="shared" si="6"/>
        <v>0.875</v>
      </c>
      <c r="L27" s="116">
        <f t="shared" si="7"/>
        <v>0</v>
      </c>
      <c r="M27" s="116">
        <f t="shared" si="8"/>
        <v>0</v>
      </c>
      <c r="N27" s="116">
        <f t="shared" si="9"/>
        <v>0.875</v>
      </c>
      <c r="O27" s="62">
        <f t="shared" si="10"/>
        <v>0.8989508185074652</v>
      </c>
      <c r="P27" s="41"/>
    </row>
    <row r="28" spans="1:15" ht="12.75">
      <c r="A28" s="4" t="s">
        <v>24</v>
      </c>
      <c r="B28" s="59">
        <v>109.15304889394992</v>
      </c>
      <c r="C28" s="70">
        <f>'Housing Costs'!$B$64</f>
        <v>144.03</v>
      </c>
      <c r="D28" s="70">
        <f t="shared" si="0"/>
        <v>-34.876951106050086</v>
      </c>
      <c r="E28" s="70">
        <f>'Housing Costs'!$B$65</f>
        <v>56.03418886094559</v>
      </c>
      <c r="F28" s="93">
        <f t="shared" si="1"/>
        <v>-0.6224226996950148</v>
      </c>
      <c r="G28" s="94">
        <f t="shared" si="2"/>
        <v>0</v>
      </c>
      <c r="H28" s="94">
        <f t="shared" si="3"/>
        <v>0</v>
      </c>
      <c r="I28" s="95">
        <f t="shared" si="4"/>
        <v>0</v>
      </c>
      <c r="J28" s="94">
        <f t="shared" si="5"/>
        <v>0</v>
      </c>
      <c r="K28" s="94">
        <f t="shared" si="6"/>
        <v>0.875</v>
      </c>
      <c r="L28" s="94">
        <f t="shared" si="7"/>
        <v>0</v>
      </c>
      <c r="M28" s="94">
        <f t="shared" si="8"/>
        <v>0</v>
      </c>
      <c r="N28" s="94">
        <f t="shared" si="9"/>
        <v>0.875</v>
      </c>
      <c r="O28" s="63">
        <f t="shared" si="10"/>
        <v>0.7578493986943686</v>
      </c>
    </row>
    <row r="29" spans="1:16" s="46" customFormat="1" ht="12.75">
      <c r="A29" s="39" t="s">
        <v>25</v>
      </c>
      <c r="B29" s="58"/>
      <c r="C29" s="69">
        <f>'Housing Costs'!$B$64</f>
        <v>144.03</v>
      </c>
      <c r="D29" s="69">
        <f t="shared" si="0"/>
        <v>0</v>
      </c>
      <c r="E29" s="69">
        <f>'Housing Costs'!$B$65</f>
        <v>56.03418886094559</v>
      </c>
      <c r="F29" s="119">
        <f t="shared" si="1"/>
        <v>0</v>
      </c>
      <c r="G29" s="116">
        <f t="shared" si="2"/>
        <v>0</v>
      </c>
      <c r="H29" s="116">
        <f t="shared" si="3"/>
        <v>0</v>
      </c>
      <c r="I29" s="115">
        <f t="shared" si="4"/>
        <v>0</v>
      </c>
      <c r="J29" s="116">
        <f t="shared" si="5"/>
        <v>1</v>
      </c>
      <c r="K29" s="116">
        <f t="shared" si="6"/>
        <v>0</v>
      </c>
      <c r="L29" s="116">
        <f t="shared" si="7"/>
        <v>0</v>
      </c>
      <c r="M29" s="116">
        <f t="shared" si="8"/>
        <v>0</v>
      </c>
      <c r="N29" s="116">
        <f t="shared" si="9"/>
        <v>1</v>
      </c>
      <c r="O29" s="62">
        <f t="shared" si="10"/>
        <v>0</v>
      </c>
      <c r="P29" s="41"/>
    </row>
    <row r="30" spans="1:16" s="46" customFormat="1" ht="12.75">
      <c r="A30" s="39" t="s">
        <v>26</v>
      </c>
      <c r="B30" s="58"/>
      <c r="C30" s="69">
        <f>'Housing Costs'!$B$64</f>
        <v>144.03</v>
      </c>
      <c r="D30" s="69">
        <f t="shared" si="0"/>
        <v>0</v>
      </c>
      <c r="E30" s="69">
        <f>'Housing Costs'!$B$65</f>
        <v>56.03418886094559</v>
      </c>
      <c r="F30" s="119">
        <f t="shared" si="1"/>
        <v>0</v>
      </c>
      <c r="G30" s="116">
        <f t="shared" si="2"/>
        <v>0</v>
      </c>
      <c r="H30" s="116">
        <f t="shared" si="3"/>
        <v>0</v>
      </c>
      <c r="I30" s="115">
        <f t="shared" si="4"/>
        <v>0</v>
      </c>
      <c r="J30" s="116">
        <f t="shared" si="5"/>
        <v>1</v>
      </c>
      <c r="K30" s="116">
        <f t="shared" si="6"/>
        <v>0</v>
      </c>
      <c r="L30" s="116">
        <f t="shared" si="7"/>
        <v>0</v>
      </c>
      <c r="M30" s="116">
        <f t="shared" si="8"/>
        <v>0</v>
      </c>
      <c r="N30" s="116">
        <f t="shared" si="9"/>
        <v>1</v>
      </c>
      <c r="O30" s="62">
        <f t="shared" si="10"/>
        <v>0</v>
      </c>
      <c r="P30" s="41"/>
    </row>
    <row r="31" spans="1:15" ht="12.75">
      <c r="A31" s="4" t="s">
        <v>27</v>
      </c>
      <c r="B31" s="59">
        <v>146.65966276591766</v>
      </c>
      <c r="C31" s="70">
        <f>'Housing Costs'!$B$64</f>
        <v>144.03</v>
      </c>
      <c r="D31" s="70">
        <f t="shared" si="0"/>
        <v>2.629662765917658</v>
      </c>
      <c r="E31" s="70">
        <f>'Housing Costs'!$B$65</f>
        <v>56.03418886094559</v>
      </c>
      <c r="F31" s="93">
        <f t="shared" si="1"/>
        <v>0.04692961242721702</v>
      </c>
      <c r="G31" s="94">
        <f t="shared" si="2"/>
        <v>0</v>
      </c>
      <c r="H31" s="94">
        <f t="shared" si="3"/>
        <v>0</v>
      </c>
      <c r="I31" s="95">
        <f t="shared" si="4"/>
        <v>0</v>
      </c>
      <c r="J31" s="94">
        <f t="shared" si="5"/>
        <v>1</v>
      </c>
      <c r="K31" s="94">
        <f t="shared" si="6"/>
        <v>0</v>
      </c>
      <c r="L31" s="94">
        <f t="shared" si="7"/>
        <v>0</v>
      </c>
      <c r="M31" s="94">
        <f t="shared" si="8"/>
        <v>0</v>
      </c>
      <c r="N31" s="94">
        <f t="shared" si="9"/>
        <v>1</v>
      </c>
      <c r="O31" s="63">
        <f t="shared" si="10"/>
        <v>1.0182577432890207</v>
      </c>
    </row>
    <row r="32" spans="1:15" ht="12.75">
      <c r="A32" s="4" t="s">
        <v>28</v>
      </c>
      <c r="B32" s="59">
        <v>178.05984484931852</v>
      </c>
      <c r="C32" s="70">
        <f>'Housing Costs'!$B$64</f>
        <v>144.03</v>
      </c>
      <c r="D32" s="70">
        <f t="shared" si="0"/>
        <v>34.02984484931852</v>
      </c>
      <c r="E32" s="70">
        <f>'Housing Costs'!$B$65</f>
        <v>56.03418886094559</v>
      </c>
      <c r="F32" s="93">
        <f t="shared" si="1"/>
        <v>0.6073050318220358</v>
      </c>
      <c r="G32" s="94">
        <f t="shared" si="2"/>
        <v>0</v>
      </c>
      <c r="H32" s="94">
        <f t="shared" si="3"/>
        <v>0</v>
      </c>
      <c r="I32" s="95">
        <f t="shared" si="4"/>
        <v>1.25</v>
      </c>
      <c r="J32" s="94">
        <f t="shared" si="5"/>
        <v>0</v>
      </c>
      <c r="K32" s="94">
        <f t="shared" si="6"/>
        <v>0</v>
      </c>
      <c r="L32" s="94">
        <f t="shared" si="7"/>
        <v>0</v>
      </c>
      <c r="M32" s="94">
        <f t="shared" si="8"/>
        <v>0</v>
      </c>
      <c r="N32" s="94">
        <f t="shared" si="9"/>
        <v>1.25</v>
      </c>
      <c r="O32" s="63">
        <f t="shared" si="10"/>
        <v>1.2362691442707667</v>
      </c>
    </row>
    <row r="33" spans="1:16" s="46" customFormat="1" ht="12.75">
      <c r="A33" s="39" t="s">
        <v>29</v>
      </c>
      <c r="B33" s="58">
        <v>159.57228165670193</v>
      </c>
      <c r="C33" s="69">
        <f>'Housing Costs'!$B$64</f>
        <v>144.03</v>
      </c>
      <c r="D33" s="69">
        <f t="shared" si="0"/>
        <v>15.542281656701931</v>
      </c>
      <c r="E33" s="69">
        <f>'Housing Costs'!$B$65</f>
        <v>56.03418886094559</v>
      </c>
      <c r="F33" s="119">
        <f t="shared" si="1"/>
        <v>0.2773714043629979</v>
      </c>
      <c r="G33" s="116">
        <f t="shared" si="2"/>
        <v>0</v>
      </c>
      <c r="H33" s="116">
        <f t="shared" si="3"/>
        <v>0</v>
      </c>
      <c r="I33" s="115">
        <f t="shared" si="4"/>
        <v>1.25</v>
      </c>
      <c r="J33" s="116">
        <f t="shared" si="5"/>
        <v>0</v>
      </c>
      <c r="K33" s="116">
        <f t="shared" si="6"/>
        <v>0</v>
      </c>
      <c r="L33" s="116">
        <f t="shared" si="7"/>
        <v>0</v>
      </c>
      <c r="M33" s="116">
        <f t="shared" si="8"/>
        <v>0</v>
      </c>
      <c r="N33" s="116">
        <f t="shared" si="9"/>
        <v>1.25</v>
      </c>
      <c r="O33" s="62">
        <f t="shared" si="10"/>
        <v>1.1079100302485727</v>
      </c>
      <c r="P33" s="41"/>
    </row>
    <row r="34" spans="1:15" ht="12.75">
      <c r="A34" s="4" t="s">
        <v>30</v>
      </c>
      <c r="B34" s="59">
        <v>157.14736992736226</v>
      </c>
      <c r="C34" s="70">
        <f>'Housing Costs'!$B$64</f>
        <v>144.03</v>
      </c>
      <c r="D34" s="70">
        <f t="shared" si="0"/>
        <v>13.117369927362262</v>
      </c>
      <c r="E34" s="70">
        <f>'Housing Costs'!$B$65</f>
        <v>56.03418886094559</v>
      </c>
      <c r="F34" s="93">
        <f t="shared" si="1"/>
        <v>0.23409582959993083</v>
      </c>
      <c r="G34" s="94">
        <f t="shared" si="2"/>
        <v>0</v>
      </c>
      <c r="H34" s="94">
        <f t="shared" si="3"/>
        <v>0</v>
      </c>
      <c r="I34" s="95">
        <f t="shared" si="4"/>
        <v>0</v>
      </c>
      <c r="J34" s="94">
        <f t="shared" si="5"/>
        <v>1</v>
      </c>
      <c r="K34" s="94">
        <f t="shared" si="6"/>
        <v>0</v>
      </c>
      <c r="L34" s="94">
        <f t="shared" si="7"/>
        <v>0</v>
      </c>
      <c r="M34" s="94">
        <f t="shared" si="8"/>
        <v>0</v>
      </c>
      <c r="N34" s="94">
        <f t="shared" si="9"/>
        <v>1</v>
      </c>
      <c r="O34" s="63">
        <f t="shared" si="10"/>
        <v>1.091073872994253</v>
      </c>
    </row>
    <row r="35" spans="1:15" ht="12.75">
      <c r="A35" s="4" t="s">
        <v>31</v>
      </c>
      <c r="B35" s="59">
        <v>117.1047189523249</v>
      </c>
      <c r="C35" s="70">
        <f>'Housing Costs'!$B$64</f>
        <v>144.03</v>
      </c>
      <c r="D35" s="70">
        <f t="shared" si="0"/>
        <v>-26.9252810476751</v>
      </c>
      <c r="E35" s="70">
        <f>'Housing Costs'!$B$65</f>
        <v>56.03418886094559</v>
      </c>
      <c r="F35" s="93">
        <f t="shared" si="1"/>
        <v>-0.4805152282027828</v>
      </c>
      <c r="G35" s="94">
        <f t="shared" si="2"/>
        <v>0</v>
      </c>
      <c r="H35" s="94">
        <f t="shared" si="3"/>
        <v>0</v>
      </c>
      <c r="I35" s="95">
        <f t="shared" si="4"/>
        <v>0</v>
      </c>
      <c r="J35" s="94">
        <f t="shared" si="5"/>
        <v>0</v>
      </c>
      <c r="K35" s="94">
        <f t="shared" si="6"/>
        <v>0.875</v>
      </c>
      <c r="L35" s="94">
        <f t="shared" si="7"/>
        <v>0</v>
      </c>
      <c r="M35" s="94">
        <f t="shared" si="8"/>
        <v>0</v>
      </c>
      <c r="N35" s="94">
        <f t="shared" si="9"/>
        <v>0.875</v>
      </c>
      <c r="O35" s="63">
        <f t="shared" si="10"/>
        <v>0.8130578278992217</v>
      </c>
    </row>
    <row r="36" spans="1:16" s="46" customFormat="1" ht="12.75">
      <c r="A36" s="39" t="s">
        <v>32</v>
      </c>
      <c r="B36" s="58"/>
      <c r="C36" s="69">
        <f>'Housing Costs'!$B$64</f>
        <v>144.03</v>
      </c>
      <c r="D36" s="69">
        <f t="shared" si="0"/>
        <v>0</v>
      </c>
      <c r="E36" s="69">
        <f>'Housing Costs'!$B$65</f>
        <v>56.03418886094559</v>
      </c>
      <c r="F36" s="119">
        <f t="shared" si="1"/>
        <v>0</v>
      </c>
      <c r="G36" s="116">
        <f t="shared" si="2"/>
        <v>0</v>
      </c>
      <c r="H36" s="116">
        <f t="shared" si="3"/>
        <v>0</v>
      </c>
      <c r="I36" s="115">
        <f t="shared" si="4"/>
        <v>0</v>
      </c>
      <c r="J36" s="116">
        <f t="shared" si="5"/>
        <v>1</v>
      </c>
      <c r="K36" s="116">
        <f t="shared" si="6"/>
        <v>0</v>
      </c>
      <c r="L36" s="116">
        <f t="shared" si="7"/>
        <v>0</v>
      </c>
      <c r="M36" s="116">
        <f t="shared" si="8"/>
        <v>0</v>
      </c>
      <c r="N36" s="116">
        <f t="shared" si="9"/>
        <v>1</v>
      </c>
      <c r="O36" s="62">
        <f t="shared" si="10"/>
        <v>0</v>
      </c>
      <c r="P36" s="41"/>
    </row>
    <row r="37" spans="1:15" ht="12.75">
      <c r="A37" s="4" t="s">
        <v>33</v>
      </c>
      <c r="B37" s="59">
        <v>135.17321987350422</v>
      </c>
      <c r="C37" s="70">
        <f>'Housing Costs'!$B$64</f>
        <v>144.03</v>
      </c>
      <c r="D37" s="70">
        <f t="shared" si="0"/>
        <v>-8.856780126495778</v>
      </c>
      <c r="E37" s="70">
        <f>'Housing Costs'!$B$65</f>
        <v>56.03418886094559</v>
      </c>
      <c r="F37" s="93">
        <f t="shared" si="1"/>
        <v>-0.15806028973623154</v>
      </c>
      <c r="G37" s="94">
        <f t="shared" si="2"/>
        <v>0</v>
      </c>
      <c r="H37" s="94">
        <f t="shared" si="3"/>
        <v>0</v>
      </c>
      <c r="I37" s="95">
        <f t="shared" si="4"/>
        <v>0</v>
      </c>
      <c r="J37" s="94">
        <f t="shared" si="5"/>
        <v>1</v>
      </c>
      <c r="K37" s="94">
        <f t="shared" si="6"/>
        <v>0</v>
      </c>
      <c r="L37" s="94">
        <f t="shared" si="7"/>
        <v>0</v>
      </c>
      <c r="M37" s="94">
        <f t="shared" si="8"/>
        <v>0</v>
      </c>
      <c r="N37" s="94">
        <f t="shared" si="9"/>
        <v>1</v>
      </c>
      <c r="O37" s="63">
        <f t="shared" si="10"/>
        <v>0.9385073934145958</v>
      </c>
    </row>
    <row r="38" spans="1:15" ht="12.75">
      <c r="A38" s="4" t="s">
        <v>34</v>
      </c>
      <c r="B38" s="59">
        <v>119.60717444432117</v>
      </c>
      <c r="C38" s="70">
        <f>'Housing Costs'!$B$64</f>
        <v>144.03</v>
      </c>
      <c r="D38" s="70">
        <f t="shared" si="0"/>
        <v>-24.422825555678827</v>
      </c>
      <c r="E38" s="70">
        <f>'Housing Costs'!$B$65</f>
        <v>56.03418886094559</v>
      </c>
      <c r="F38" s="93">
        <f t="shared" si="1"/>
        <v>-0.4358557882632422</v>
      </c>
      <c r="G38" s="94">
        <f t="shared" si="2"/>
        <v>0</v>
      </c>
      <c r="H38" s="94">
        <f t="shared" si="3"/>
        <v>0</v>
      </c>
      <c r="I38" s="95">
        <f t="shared" si="4"/>
        <v>0</v>
      </c>
      <c r="J38" s="94">
        <f t="shared" si="5"/>
        <v>0</v>
      </c>
      <c r="K38" s="94">
        <f t="shared" si="6"/>
        <v>0.875</v>
      </c>
      <c r="L38" s="94">
        <f t="shared" si="7"/>
        <v>0</v>
      </c>
      <c r="M38" s="94">
        <f t="shared" si="8"/>
        <v>0</v>
      </c>
      <c r="N38" s="94">
        <f t="shared" si="9"/>
        <v>0.875</v>
      </c>
      <c r="O38" s="63">
        <f t="shared" si="10"/>
        <v>0.8304323713415342</v>
      </c>
    </row>
    <row r="39" spans="1:16" s="46" customFormat="1" ht="12.75">
      <c r="A39" s="39" t="s">
        <v>35</v>
      </c>
      <c r="B39" s="58"/>
      <c r="C39" s="69">
        <f>'Housing Costs'!$B$64</f>
        <v>144.03</v>
      </c>
      <c r="D39" s="69">
        <f t="shared" si="0"/>
        <v>0</v>
      </c>
      <c r="E39" s="69">
        <f>'Housing Costs'!$B$65</f>
        <v>56.03418886094559</v>
      </c>
      <c r="F39" s="119">
        <f t="shared" si="1"/>
        <v>0</v>
      </c>
      <c r="G39" s="116">
        <f t="shared" si="2"/>
        <v>0</v>
      </c>
      <c r="H39" s="116">
        <f t="shared" si="3"/>
        <v>0</v>
      </c>
      <c r="I39" s="115">
        <f t="shared" si="4"/>
        <v>0</v>
      </c>
      <c r="J39" s="116">
        <f t="shared" si="5"/>
        <v>1</v>
      </c>
      <c r="K39" s="116">
        <f t="shared" si="6"/>
        <v>0</v>
      </c>
      <c r="L39" s="116">
        <f t="shared" si="7"/>
        <v>0</v>
      </c>
      <c r="M39" s="116">
        <f t="shared" si="8"/>
        <v>0</v>
      </c>
      <c r="N39" s="116">
        <f t="shared" si="9"/>
        <v>1</v>
      </c>
      <c r="O39" s="62">
        <f t="shared" si="10"/>
        <v>0</v>
      </c>
      <c r="P39" s="41"/>
    </row>
    <row r="40" spans="1:15" ht="12.75">
      <c r="A40" s="4" t="s">
        <v>36</v>
      </c>
      <c r="B40" s="59">
        <v>138.73803757811916</v>
      </c>
      <c r="C40" s="70">
        <f>'Housing Costs'!$B$64</f>
        <v>144.03</v>
      </c>
      <c r="D40" s="70">
        <f t="shared" si="0"/>
        <v>-5.291962421880839</v>
      </c>
      <c r="E40" s="70">
        <f>'Housing Costs'!$B$65</f>
        <v>56.03418886094559</v>
      </c>
      <c r="F40" s="93">
        <f t="shared" si="1"/>
        <v>-0.0944416708701427</v>
      </c>
      <c r="G40" s="94">
        <f t="shared" si="2"/>
        <v>0</v>
      </c>
      <c r="H40" s="94">
        <f t="shared" si="3"/>
        <v>0</v>
      </c>
      <c r="I40" s="95">
        <f t="shared" si="4"/>
        <v>0</v>
      </c>
      <c r="J40" s="94">
        <f t="shared" si="5"/>
        <v>1</v>
      </c>
      <c r="K40" s="94">
        <f t="shared" si="6"/>
        <v>0</v>
      </c>
      <c r="L40" s="94">
        <f t="shared" si="7"/>
        <v>0</v>
      </c>
      <c r="M40" s="94">
        <f t="shared" si="8"/>
        <v>0</v>
      </c>
      <c r="N40" s="94">
        <f t="shared" si="9"/>
        <v>1</v>
      </c>
      <c r="O40" s="63">
        <f t="shared" si="10"/>
        <v>0.9632579155600858</v>
      </c>
    </row>
    <row r="41" spans="1:15" ht="12.75">
      <c r="A41" s="4" t="s">
        <v>37</v>
      </c>
      <c r="B41" s="59">
        <v>158.1190615515608</v>
      </c>
      <c r="C41" s="70">
        <f>'Housing Costs'!$B$64</f>
        <v>144.03</v>
      </c>
      <c r="D41" s="70">
        <f t="shared" si="0"/>
        <v>14.089061551560803</v>
      </c>
      <c r="E41" s="70">
        <f>'Housing Costs'!$B$65</f>
        <v>56.03418886094559</v>
      </c>
      <c r="F41" s="93">
        <f t="shared" si="1"/>
        <v>0.2514368787692137</v>
      </c>
      <c r="G41" s="94">
        <f t="shared" si="2"/>
        <v>0</v>
      </c>
      <c r="H41" s="94">
        <f t="shared" si="3"/>
        <v>0</v>
      </c>
      <c r="I41" s="95">
        <f t="shared" si="4"/>
        <v>1.25</v>
      </c>
      <c r="J41" s="94">
        <f t="shared" si="5"/>
        <v>0</v>
      </c>
      <c r="K41" s="94">
        <f t="shared" si="6"/>
        <v>0</v>
      </c>
      <c r="L41" s="94">
        <f t="shared" si="7"/>
        <v>0</v>
      </c>
      <c r="M41" s="94">
        <f t="shared" si="8"/>
        <v>0</v>
      </c>
      <c r="N41" s="94">
        <f t="shared" si="9"/>
        <v>1.25</v>
      </c>
      <c r="O41" s="63">
        <f t="shared" si="10"/>
        <v>1.0978203259845922</v>
      </c>
    </row>
    <row r="42" spans="1:15" ht="12.75">
      <c r="A42" s="4" t="s">
        <v>38</v>
      </c>
      <c r="B42" s="59">
        <v>214.13566406340618</v>
      </c>
      <c r="C42" s="70">
        <f>'Housing Costs'!$B$64</f>
        <v>144.03</v>
      </c>
      <c r="D42" s="70">
        <f t="shared" si="0"/>
        <v>70.10566406340618</v>
      </c>
      <c r="E42" s="70">
        <f>'Housing Costs'!$B$65</f>
        <v>56.03418886094559</v>
      </c>
      <c r="F42" s="93">
        <f t="shared" si="1"/>
        <v>1.251123028431452</v>
      </c>
      <c r="G42" s="94">
        <f t="shared" si="2"/>
        <v>2</v>
      </c>
      <c r="H42" s="94">
        <f t="shared" si="3"/>
        <v>0</v>
      </c>
      <c r="I42" s="95">
        <f t="shared" si="4"/>
        <v>0</v>
      </c>
      <c r="J42" s="94">
        <f t="shared" si="5"/>
        <v>0</v>
      </c>
      <c r="K42" s="94">
        <f t="shared" si="6"/>
        <v>0</v>
      </c>
      <c r="L42" s="94">
        <f t="shared" si="7"/>
        <v>0</v>
      </c>
      <c r="M42" s="94">
        <f t="shared" si="8"/>
        <v>0</v>
      </c>
      <c r="N42" s="94">
        <f t="shared" si="9"/>
        <v>2</v>
      </c>
      <c r="O42" s="63">
        <f t="shared" si="10"/>
        <v>1.4867434844366185</v>
      </c>
    </row>
    <row r="43" spans="1:15" ht="12.75">
      <c r="A43" s="4" t="s">
        <v>39</v>
      </c>
      <c r="B43" s="59">
        <v>147.89582420241942</v>
      </c>
      <c r="C43" s="70">
        <f>'Housing Costs'!$B$64</f>
        <v>144.03</v>
      </c>
      <c r="D43" s="70">
        <f t="shared" si="0"/>
        <v>3.865824202419418</v>
      </c>
      <c r="E43" s="70">
        <f>'Housing Costs'!$B$65</f>
        <v>56.03418886094559</v>
      </c>
      <c r="F43" s="93">
        <f t="shared" si="1"/>
        <v>0.06899045530957618</v>
      </c>
      <c r="G43" s="94">
        <f t="shared" si="2"/>
        <v>0</v>
      </c>
      <c r="H43" s="94">
        <f t="shared" si="3"/>
        <v>0</v>
      </c>
      <c r="I43" s="95">
        <f t="shared" si="4"/>
        <v>0</v>
      </c>
      <c r="J43" s="94">
        <f t="shared" si="5"/>
        <v>1</v>
      </c>
      <c r="K43" s="94">
        <f t="shared" si="6"/>
        <v>0</v>
      </c>
      <c r="L43" s="94">
        <f t="shared" si="7"/>
        <v>0</v>
      </c>
      <c r="M43" s="94">
        <f t="shared" si="8"/>
        <v>0</v>
      </c>
      <c r="N43" s="94">
        <f t="shared" si="9"/>
        <v>1</v>
      </c>
      <c r="O43" s="63">
        <f t="shared" si="10"/>
        <v>1.0268404096536792</v>
      </c>
    </row>
    <row r="44" spans="1:15" ht="12.75">
      <c r="A44" s="4" t="s">
        <v>40</v>
      </c>
      <c r="B44" s="59">
        <v>180.30917089320403</v>
      </c>
      <c r="C44" s="70">
        <f>'Housing Costs'!$B$64</f>
        <v>144.03</v>
      </c>
      <c r="D44" s="70">
        <f t="shared" si="0"/>
        <v>36.279170893204025</v>
      </c>
      <c r="E44" s="70">
        <f>'Housing Costs'!$B$65</f>
        <v>56.03418886094559</v>
      </c>
      <c r="F44" s="93">
        <f t="shared" si="1"/>
        <v>0.6474470609940369</v>
      </c>
      <c r="G44" s="94">
        <f t="shared" si="2"/>
        <v>0</v>
      </c>
      <c r="H44" s="94">
        <f t="shared" si="3"/>
        <v>0</v>
      </c>
      <c r="I44" s="95">
        <f t="shared" si="4"/>
        <v>1.25</v>
      </c>
      <c r="J44" s="94">
        <f t="shared" si="5"/>
        <v>0</v>
      </c>
      <c r="K44" s="94">
        <f t="shared" si="6"/>
        <v>0</v>
      </c>
      <c r="L44" s="94">
        <f t="shared" si="7"/>
        <v>0</v>
      </c>
      <c r="M44" s="94">
        <f t="shared" si="8"/>
        <v>0</v>
      </c>
      <c r="N44" s="94">
        <f t="shared" si="9"/>
        <v>1.25</v>
      </c>
      <c r="O44" s="63">
        <f t="shared" si="10"/>
        <v>1.2518862104645145</v>
      </c>
    </row>
    <row r="45" spans="1:15" ht="12.75">
      <c r="A45" s="4" t="s">
        <v>41</v>
      </c>
      <c r="B45" s="59">
        <v>193.25923870026008</v>
      </c>
      <c r="C45" s="70">
        <f>'Housing Costs'!$B$64</f>
        <v>144.03</v>
      </c>
      <c r="D45" s="70">
        <f t="shared" si="0"/>
        <v>49.22923870026008</v>
      </c>
      <c r="E45" s="70">
        <f>'Housing Costs'!$B$65</f>
        <v>56.03418886094559</v>
      </c>
      <c r="F45" s="93">
        <f t="shared" si="1"/>
        <v>0.87855717555629</v>
      </c>
      <c r="G45" s="94">
        <f t="shared" si="2"/>
        <v>0</v>
      </c>
      <c r="H45" s="94">
        <f t="shared" si="3"/>
        <v>1.5</v>
      </c>
      <c r="I45" s="95">
        <f t="shared" si="4"/>
        <v>0</v>
      </c>
      <c r="J45" s="94">
        <f t="shared" si="5"/>
        <v>0</v>
      </c>
      <c r="K45" s="94">
        <f t="shared" si="6"/>
        <v>0</v>
      </c>
      <c r="L45" s="94">
        <f t="shared" si="7"/>
        <v>0</v>
      </c>
      <c r="M45" s="94">
        <f t="shared" si="8"/>
        <v>0</v>
      </c>
      <c r="N45" s="94">
        <f t="shared" si="9"/>
        <v>1.5</v>
      </c>
      <c r="O45" s="63">
        <f t="shared" si="10"/>
        <v>1.3417985051743393</v>
      </c>
    </row>
    <row r="46" spans="1:15" ht="12.75">
      <c r="A46" s="4" t="s">
        <v>42</v>
      </c>
      <c r="B46" s="59">
        <v>132.9594859203761</v>
      </c>
      <c r="C46" s="70">
        <f>'Housing Costs'!$B$64</f>
        <v>144.03</v>
      </c>
      <c r="D46" s="70">
        <f t="shared" si="0"/>
        <v>-11.070514079623905</v>
      </c>
      <c r="E46" s="70">
        <f>'Housing Costs'!$B$65</f>
        <v>56.03418886094559</v>
      </c>
      <c r="F46" s="93">
        <f t="shared" si="1"/>
        <v>-0.1975671336493598</v>
      </c>
      <c r="G46" s="94">
        <f t="shared" si="2"/>
        <v>0</v>
      </c>
      <c r="H46" s="94">
        <f t="shared" si="3"/>
        <v>0</v>
      </c>
      <c r="I46" s="95">
        <f t="shared" si="4"/>
        <v>0</v>
      </c>
      <c r="J46" s="94">
        <f t="shared" si="5"/>
        <v>1</v>
      </c>
      <c r="K46" s="94">
        <f t="shared" si="6"/>
        <v>0</v>
      </c>
      <c r="L46" s="94">
        <f t="shared" si="7"/>
        <v>0</v>
      </c>
      <c r="M46" s="94">
        <f t="shared" si="8"/>
        <v>0</v>
      </c>
      <c r="N46" s="94">
        <f t="shared" si="9"/>
        <v>1</v>
      </c>
      <c r="O46" s="63">
        <f t="shared" si="10"/>
        <v>0.9231374430353128</v>
      </c>
    </row>
    <row r="47" spans="1:15" ht="12.75">
      <c r="A47" s="4" t="s">
        <v>43</v>
      </c>
      <c r="B47" s="59">
        <v>195.02595533372954</v>
      </c>
      <c r="C47" s="70">
        <f>'Housing Costs'!$B$64</f>
        <v>144.03</v>
      </c>
      <c r="D47" s="70">
        <f t="shared" si="0"/>
        <v>50.99595533372954</v>
      </c>
      <c r="E47" s="70">
        <f>'Housing Costs'!$B$65</f>
        <v>56.03418886094559</v>
      </c>
      <c r="F47" s="93">
        <f t="shared" si="1"/>
        <v>0.9100864377689319</v>
      </c>
      <c r="G47" s="94">
        <f t="shared" si="2"/>
        <v>0</v>
      </c>
      <c r="H47" s="94">
        <f t="shared" si="3"/>
        <v>1.5</v>
      </c>
      <c r="I47" s="95">
        <f t="shared" si="4"/>
        <v>0</v>
      </c>
      <c r="J47" s="94">
        <f t="shared" si="5"/>
        <v>0</v>
      </c>
      <c r="K47" s="94">
        <f t="shared" si="6"/>
        <v>0</v>
      </c>
      <c r="L47" s="94">
        <f t="shared" si="7"/>
        <v>0</v>
      </c>
      <c r="M47" s="94">
        <f t="shared" si="8"/>
        <v>0</v>
      </c>
      <c r="N47" s="94">
        <f t="shared" si="9"/>
        <v>1.5</v>
      </c>
      <c r="O47" s="63">
        <f t="shared" si="10"/>
        <v>1.3540648152032877</v>
      </c>
    </row>
    <row r="48" spans="1:15" ht="12.75">
      <c r="A48" s="4" t="s">
        <v>44</v>
      </c>
      <c r="B48" s="59">
        <v>190.26918269251422</v>
      </c>
      <c r="C48" s="70">
        <f>'Housing Costs'!$B$64</f>
        <v>144.03</v>
      </c>
      <c r="D48" s="70">
        <f t="shared" si="0"/>
        <v>46.23918269251422</v>
      </c>
      <c r="E48" s="70">
        <f>'Housing Costs'!$B$65</f>
        <v>56.03418886094559</v>
      </c>
      <c r="F48" s="93">
        <f t="shared" si="1"/>
        <v>0.8251958961565652</v>
      </c>
      <c r="G48" s="94">
        <f t="shared" si="2"/>
        <v>0</v>
      </c>
      <c r="H48" s="94">
        <f t="shared" si="3"/>
        <v>1.5</v>
      </c>
      <c r="I48" s="95">
        <f t="shared" si="4"/>
        <v>0</v>
      </c>
      <c r="J48" s="94">
        <f t="shared" si="5"/>
        <v>0</v>
      </c>
      <c r="K48" s="94">
        <f t="shared" si="6"/>
        <v>0</v>
      </c>
      <c r="L48" s="94">
        <f t="shared" si="7"/>
        <v>0</v>
      </c>
      <c r="M48" s="94">
        <f t="shared" si="8"/>
        <v>0</v>
      </c>
      <c r="N48" s="94">
        <f t="shared" si="9"/>
        <v>1.5</v>
      </c>
      <c r="O48" s="63">
        <f t="shared" si="10"/>
        <v>1.321038552332946</v>
      </c>
    </row>
    <row r="49" spans="1:15" ht="12.75">
      <c r="A49" s="4" t="s">
        <v>45</v>
      </c>
      <c r="B49" s="59">
        <v>113.27815199223325</v>
      </c>
      <c r="C49" s="70">
        <f>'Housing Costs'!$B$64</f>
        <v>144.03</v>
      </c>
      <c r="D49" s="70">
        <f t="shared" si="0"/>
        <v>-30.751848007766753</v>
      </c>
      <c r="E49" s="70">
        <f>'Housing Costs'!$B$65</f>
        <v>56.03418886094559</v>
      </c>
      <c r="F49" s="93">
        <f t="shared" si="1"/>
        <v>-0.5488050890516238</v>
      </c>
      <c r="G49" s="94">
        <f t="shared" si="2"/>
        <v>0</v>
      </c>
      <c r="H49" s="94">
        <f t="shared" si="3"/>
        <v>0</v>
      </c>
      <c r="I49" s="95">
        <f t="shared" si="4"/>
        <v>0</v>
      </c>
      <c r="J49" s="94">
        <f t="shared" si="5"/>
        <v>0</v>
      </c>
      <c r="K49" s="94">
        <f t="shared" si="6"/>
        <v>0.875</v>
      </c>
      <c r="L49" s="94">
        <f t="shared" si="7"/>
        <v>0</v>
      </c>
      <c r="M49" s="94">
        <f t="shared" si="8"/>
        <v>0</v>
      </c>
      <c r="N49" s="94">
        <f t="shared" si="9"/>
        <v>0.875</v>
      </c>
      <c r="O49" s="63">
        <f t="shared" si="10"/>
        <v>0.7864899811999809</v>
      </c>
    </row>
    <row r="50" spans="1:16" s="46" customFormat="1" ht="12.75">
      <c r="A50" s="39" t="s">
        <v>46</v>
      </c>
      <c r="B50" s="58"/>
      <c r="C50" s="69">
        <f>'Housing Costs'!$B$64</f>
        <v>144.03</v>
      </c>
      <c r="D50" s="69">
        <f t="shared" si="0"/>
        <v>0</v>
      </c>
      <c r="E50" s="69">
        <f>'Housing Costs'!$B$65</f>
        <v>56.03418886094559</v>
      </c>
      <c r="F50" s="119">
        <f t="shared" si="1"/>
        <v>0</v>
      </c>
      <c r="G50" s="116">
        <f t="shared" si="2"/>
        <v>0</v>
      </c>
      <c r="H50" s="116">
        <f t="shared" si="3"/>
        <v>0</v>
      </c>
      <c r="I50" s="115">
        <f t="shared" si="4"/>
        <v>0</v>
      </c>
      <c r="J50" s="116">
        <f t="shared" si="5"/>
        <v>1</v>
      </c>
      <c r="K50" s="116">
        <f t="shared" si="6"/>
        <v>0</v>
      </c>
      <c r="L50" s="116">
        <f t="shared" si="7"/>
        <v>0</v>
      </c>
      <c r="M50" s="116">
        <f t="shared" si="8"/>
        <v>0</v>
      </c>
      <c r="N50" s="116">
        <f t="shared" si="9"/>
        <v>1</v>
      </c>
      <c r="O50" s="62">
        <f t="shared" si="10"/>
        <v>0</v>
      </c>
      <c r="P50" s="41"/>
    </row>
    <row r="51" spans="1:16" s="46" customFormat="1" ht="12.75">
      <c r="A51" s="39" t="s">
        <v>47</v>
      </c>
      <c r="B51" s="58"/>
      <c r="C51" s="69">
        <f>'Housing Costs'!$B$64</f>
        <v>144.03</v>
      </c>
      <c r="D51" s="69">
        <f t="shared" si="0"/>
        <v>0</v>
      </c>
      <c r="E51" s="69">
        <f>'Housing Costs'!$B$65</f>
        <v>56.03418886094559</v>
      </c>
      <c r="F51" s="119">
        <f t="shared" si="1"/>
        <v>0</v>
      </c>
      <c r="G51" s="116">
        <f t="shared" si="2"/>
        <v>0</v>
      </c>
      <c r="H51" s="116">
        <f t="shared" si="3"/>
        <v>0</v>
      </c>
      <c r="I51" s="115">
        <f t="shared" si="4"/>
        <v>0</v>
      </c>
      <c r="J51" s="116">
        <f t="shared" si="5"/>
        <v>1</v>
      </c>
      <c r="K51" s="116">
        <f t="shared" si="6"/>
        <v>0</v>
      </c>
      <c r="L51" s="116">
        <f t="shared" si="7"/>
        <v>0</v>
      </c>
      <c r="M51" s="116">
        <f t="shared" si="8"/>
        <v>0</v>
      </c>
      <c r="N51" s="116">
        <f t="shared" si="9"/>
        <v>1</v>
      </c>
      <c r="O51" s="62">
        <f t="shared" si="10"/>
        <v>0</v>
      </c>
      <c r="P51" s="41"/>
    </row>
    <row r="52" spans="1:15" ht="12.75">
      <c r="A52" s="4" t="s">
        <v>48</v>
      </c>
      <c r="B52" s="59">
        <v>162.23931620187253</v>
      </c>
      <c r="C52" s="70">
        <f>'Housing Costs'!$B$64</f>
        <v>144.03</v>
      </c>
      <c r="D52" s="70">
        <f t="shared" si="0"/>
        <v>18.209316201872525</v>
      </c>
      <c r="E52" s="70">
        <f>'Housing Costs'!$B$65</f>
        <v>56.03418886094559</v>
      </c>
      <c r="F52" s="93">
        <f t="shared" si="1"/>
        <v>0.3249679628103612</v>
      </c>
      <c r="G52" s="94">
        <f t="shared" si="2"/>
        <v>0</v>
      </c>
      <c r="H52" s="94">
        <f t="shared" si="3"/>
        <v>0</v>
      </c>
      <c r="I52" s="95">
        <f t="shared" si="4"/>
        <v>1.25</v>
      </c>
      <c r="J52" s="94">
        <f t="shared" si="5"/>
        <v>0</v>
      </c>
      <c r="K52" s="94">
        <f t="shared" si="6"/>
        <v>0</v>
      </c>
      <c r="L52" s="94">
        <f t="shared" si="7"/>
        <v>0</v>
      </c>
      <c r="M52" s="94">
        <f t="shared" si="8"/>
        <v>0</v>
      </c>
      <c r="N52" s="94">
        <f t="shared" si="9"/>
        <v>1.25</v>
      </c>
      <c r="O52" s="63">
        <f t="shared" si="10"/>
        <v>1.1264272457256996</v>
      </c>
    </row>
    <row r="53" spans="1:15" ht="12.75">
      <c r="A53" s="4" t="s">
        <v>49</v>
      </c>
      <c r="B53" s="59">
        <v>173.79370569133704</v>
      </c>
      <c r="C53" s="70">
        <f>'Housing Costs'!$B$64</f>
        <v>144.03</v>
      </c>
      <c r="D53" s="70">
        <f t="shared" si="0"/>
        <v>29.763705691337037</v>
      </c>
      <c r="E53" s="70">
        <f>'Housing Costs'!$B$65</f>
        <v>56.03418886094559</v>
      </c>
      <c r="F53" s="93">
        <f t="shared" si="1"/>
        <v>0.5311704567580808</v>
      </c>
      <c r="G53" s="94">
        <f t="shared" si="2"/>
        <v>0</v>
      </c>
      <c r="H53" s="94">
        <f t="shared" si="3"/>
        <v>0</v>
      </c>
      <c r="I53" s="95">
        <f t="shared" si="4"/>
        <v>1.25</v>
      </c>
      <c r="J53" s="94">
        <f t="shared" si="5"/>
        <v>0</v>
      </c>
      <c r="K53" s="94">
        <f t="shared" si="6"/>
        <v>0</v>
      </c>
      <c r="L53" s="94">
        <f t="shared" si="7"/>
        <v>0</v>
      </c>
      <c r="M53" s="94">
        <f t="shared" si="8"/>
        <v>0</v>
      </c>
      <c r="N53" s="94">
        <f t="shared" si="9"/>
        <v>1.25</v>
      </c>
      <c r="O53" s="63">
        <f t="shared" si="10"/>
        <v>1.2066493486866419</v>
      </c>
    </row>
    <row r="54" spans="1:15" ht="12.75">
      <c r="A54" s="4" t="s">
        <v>50</v>
      </c>
      <c r="B54" s="59">
        <v>77.85587103946636</v>
      </c>
      <c r="C54" s="70">
        <f>'Housing Costs'!$B$64</f>
        <v>144.03</v>
      </c>
      <c r="D54" s="70">
        <f t="shared" si="0"/>
        <v>-66.17412896053364</v>
      </c>
      <c r="E54" s="70">
        <f>'Housing Costs'!$B$65</f>
        <v>56.03418886094559</v>
      </c>
      <c r="F54" s="93">
        <f t="shared" si="1"/>
        <v>-1.180959880132312</v>
      </c>
      <c r="G54" s="94">
        <f t="shared" si="2"/>
        <v>0</v>
      </c>
      <c r="H54" s="94">
        <f t="shared" si="3"/>
        <v>0</v>
      </c>
      <c r="I54" s="95">
        <f t="shared" si="4"/>
        <v>0</v>
      </c>
      <c r="J54" s="94">
        <f t="shared" si="5"/>
        <v>0</v>
      </c>
      <c r="K54" s="94">
        <f t="shared" si="6"/>
        <v>0</v>
      </c>
      <c r="L54" s="94">
        <f t="shared" si="7"/>
        <v>0.75</v>
      </c>
      <c r="M54" s="94">
        <f t="shared" si="8"/>
        <v>0</v>
      </c>
      <c r="N54" s="94">
        <f t="shared" si="9"/>
        <v>0.75</v>
      </c>
      <c r="O54" s="63">
        <f t="shared" si="10"/>
        <v>0.5405531558665998</v>
      </c>
    </row>
    <row r="55" spans="1:15" ht="12.75">
      <c r="A55" s="4" t="s">
        <v>51</v>
      </c>
      <c r="B55" s="59">
        <v>117.1047189523249</v>
      </c>
      <c r="C55" s="70">
        <f>'Housing Costs'!$B$64</f>
        <v>144.03</v>
      </c>
      <c r="D55" s="70">
        <f t="shared" si="0"/>
        <v>-26.9252810476751</v>
      </c>
      <c r="E55" s="70">
        <f>'Housing Costs'!$B$65</f>
        <v>56.03418886094559</v>
      </c>
      <c r="F55" s="93">
        <f t="shared" si="1"/>
        <v>-0.4805152282027828</v>
      </c>
      <c r="G55" s="94">
        <f t="shared" si="2"/>
        <v>0</v>
      </c>
      <c r="H55" s="94">
        <f t="shared" si="3"/>
        <v>0</v>
      </c>
      <c r="I55" s="95">
        <f t="shared" si="4"/>
        <v>0</v>
      </c>
      <c r="J55" s="94">
        <f t="shared" si="5"/>
        <v>0</v>
      </c>
      <c r="K55" s="94">
        <f t="shared" si="6"/>
        <v>0.875</v>
      </c>
      <c r="L55" s="94">
        <f t="shared" si="7"/>
        <v>0</v>
      </c>
      <c r="M55" s="94">
        <f t="shared" si="8"/>
        <v>0</v>
      </c>
      <c r="N55" s="94">
        <f t="shared" si="9"/>
        <v>0.875</v>
      </c>
      <c r="O55" s="63">
        <f t="shared" si="10"/>
        <v>0.8130578278992217</v>
      </c>
    </row>
    <row r="56" spans="1:16" s="46" customFormat="1" ht="12.75">
      <c r="A56" s="39" t="s">
        <v>52</v>
      </c>
      <c r="B56" s="58">
        <v>105.96721542321676</v>
      </c>
      <c r="C56" s="69">
        <f>'Housing Costs'!$B$64</f>
        <v>144.03</v>
      </c>
      <c r="D56" s="69">
        <f t="shared" si="0"/>
        <v>-38.062784576783244</v>
      </c>
      <c r="E56" s="69">
        <f>'Housing Costs'!$B$65</f>
        <v>56.03418886094559</v>
      </c>
      <c r="F56" s="119">
        <f t="shared" si="1"/>
        <v>-0.679277872144091</v>
      </c>
      <c r="G56" s="116">
        <f t="shared" si="2"/>
        <v>0</v>
      </c>
      <c r="H56" s="116">
        <f t="shared" si="3"/>
        <v>0</v>
      </c>
      <c r="I56" s="115">
        <f t="shared" si="4"/>
        <v>0</v>
      </c>
      <c r="J56" s="116">
        <f t="shared" si="5"/>
        <v>0</v>
      </c>
      <c r="K56" s="116">
        <f t="shared" si="6"/>
        <v>0.875</v>
      </c>
      <c r="L56" s="116">
        <f t="shared" si="7"/>
        <v>0</v>
      </c>
      <c r="M56" s="116">
        <f t="shared" si="8"/>
        <v>0</v>
      </c>
      <c r="N56" s="116">
        <f t="shared" si="9"/>
        <v>0.875</v>
      </c>
      <c r="O56" s="62">
        <f t="shared" si="10"/>
        <v>0.7357301633216465</v>
      </c>
      <c r="P56" s="41"/>
    </row>
    <row r="57" spans="1:16" s="46" customFormat="1" ht="12.75">
      <c r="A57" s="39" t="s">
        <v>53</v>
      </c>
      <c r="B57" s="58"/>
      <c r="C57" s="69">
        <f>'Housing Costs'!$B$64</f>
        <v>144.03</v>
      </c>
      <c r="D57" s="69">
        <f t="shared" si="0"/>
        <v>0</v>
      </c>
      <c r="E57" s="69">
        <f>'Housing Costs'!$B$65</f>
        <v>56.03418886094559</v>
      </c>
      <c r="F57" s="119">
        <f t="shared" si="1"/>
        <v>0</v>
      </c>
      <c r="G57" s="116">
        <f t="shared" si="2"/>
        <v>0</v>
      </c>
      <c r="H57" s="116">
        <f t="shared" si="3"/>
        <v>0</v>
      </c>
      <c r="I57" s="115">
        <f t="shared" si="4"/>
        <v>0</v>
      </c>
      <c r="J57" s="116">
        <f t="shared" si="5"/>
        <v>1</v>
      </c>
      <c r="K57" s="116">
        <f t="shared" si="6"/>
        <v>0</v>
      </c>
      <c r="L57" s="116">
        <f t="shared" si="7"/>
        <v>0</v>
      </c>
      <c r="M57" s="116">
        <f t="shared" si="8"/>
        <v>0</v>
      </c>
      <c r="N57" s="116">
        <f t="shared" si="9"/>
        <v>1</v>
      </c>
      <c r="O57" s="62">
        <f t="shared" si="10"/>
        <v>0</v>
      </c>
      <c r="P57" s="41"/>
    </row>
    <row r="58" spans="1:15" ht="12.75">
      <c r="A58" s="4" t="s">
        <v>54</v>
      </c>
      <c r="B58" s="59">
        <v>108.71274872618058</v>
      </c>
      <c r="C58" s="70">
        <f>'Housing Costs'!$B$64</f>
        <v>144.03</v>
      </c>
      <c r="D58" s="70">
        <f t="shared" si="0"/>
        <v>-35.31725127381942</v>
      </c>
      <c r="E58" s="70">
        <f>'Housing Costs'!$B$65</f>
        <v>56.03418886094559</v>
      </c>
      <c r="F58" s="93">
        <f t="shared" si="1"/>
        <v>-0.6302804054407336</v>
      </c>
      <c r="G58" s="94">
        <f t="shared" si="2"/>
        <v>0</v>
      </c>
      <c r="H58" s="94">
        <f t="shared" si="3"/>
        <v>0</v>
      </c>
      <c r="I58" s="95">
        <f t="shared" si="4"/>
        <v>0</v>
      </c>
      <c r="J58" s="94">
        <f t="shared" si="5"/>
        <v>0</v>
      </c>
      <c r="K58" s="94">
        <f t="shared" si="6"/>
        <v>0.875</v>
      </c>
      <c r="L58" s="94">
        <f t="shared" si="7"/>
        <v>0</v>
      </c>
      <c r="M58" s="94">
        <f t="shared" si="8"/>
        <v>0</v>
      </c>
      <c r="N58" s="94">
        <f t="shared" si="9"/>
        <v>0.875</v>
      </c>
      <c r="O58" s="63">
        <f t="shared" si="10"/>
        <v>0.754792395516077</v>
      </c>
    </row>
    <row r="59" spans="1:16" s="46" customFormat="1" ht="12.75">
      <c r="A59" s="39" t="s">
        <v>55</v>
      </c>
      <c r="B59" s="58"/>
      <c r="C59" s="69">
        <f>'Housing Costs'!$B$64</f>
        <v>144.03</v>
      </c>
      <c r="D59" s="69">
        <f t="shared" si="0"/>
        <v>0</v>
      </c>
      <c r="E59" s="69">
        <f>'Housing Costs'!$B$65</f>
        <v>56.03418886094559</v>
      </c>
      <c r="F59" s="119">
        <f t="shared" si="1"/>
        <v>0</v>
      </c>
      <c r="G59" s="116">
        <f t="shared" si="2"/>
        <v>0</v>
      </c>
      <c r="H59" s="116">
        <f t="shared" si="3"/>
        <v>0</v>
      </c>
      <c r="I59" s="115">
        <f t="shared" si="4"/>
        <v>0</v>
      </c>
      <c r="J59" s="116">
        <f t="shared" si="5"/>
        <v>1</v>
      </c>
      <c r="K59" s="116">
        <f t="shared" si="6"/>
        <v>0</v>
      </c>
      <c r="L59" s="116">
        <f t="shared" si="7"/>
        <v>0</v>
      </c>
      <c r="M59" s="116">
        <f t="shared" si="8"/>
        <v>0</v>
      </c>
      <c r="N59" s="116">
        <f t="shared" si="9"/>
        <v>1</v>
      </c>
      <c r="O59" s="62">
        <f t="shared" si="10"/>
        <v>0</v>
      </c>
      <c r="P59" s="41"/>
    </row>
    <row r="60" spans="1:15" ht="12.75">
      <c r="A60" s="4" t="s">
        <v>56</v>
      </c>
      <c r="B60" s="59">
        <v>147.3864346648892</v>
      </c>
      <c r="C60" s="70">
        <f>'Housing Costs'!$B$64</f>
        <v>144.03</v>
      </c>
      <c r="D60" s="70">
        <f t="shared" si="0"/>
        <v>3.356434664889207</v>
      </c>
      <c r="E60" s="70">
        <f>'Housing Costs'!$B$65</f>
        <v>56.03418886094559</v>
      </c>
      <c r="F60" s="93">
        <f t="shared" si="1"/>
        <v>0.05989976357502976</v>
      </c>
      <c r="G60" s="94">
        <f t="shared" si="2"/>
        <v>0</v>
      </c>
      <c r="H60" s="94">
        <f t="shared" si="3"/>
        <v>0</v>
      </c>
      <c r="I60" s="95">
        <f t="shared" si="4"/>
        <v>0</v>
      </c>
      <c r="J60" s="94">
        <f t="shared" si="5"/>
        <v>1</v>
      </c>
      <c r="K60" s="94">
        <f t="shared" si="6"/>
        <v>0</v>
      </c>
      <c r="L60" s="94">
        <f t="shared" si="7"/>
        <v>0</v>
      </c>
      <c r="M60" s="94">
        <f t="shared" si="8"/>
        <v>0</v>
      </c>
      <c r="N60" s="94">
        <f t="shared" si="9"/>
        <v>1</v>
      </c>
      <c r="O60" s="63">
        <f t="shared" si="10"/>
        <v>1.0233037191202472</v>
      </c>
    </row>
    <row r="61" spans="1:15" ht="12.75">
      <c r="A61" s="4" t="s">
        <v>57</v>
      </c>
      <c r="B61" s="59">
        <v>112.66124160727213</v>
      </c>
      <c r="C61" s="70">
        <f>'Housing Costs'!$B$64</f>
        <v>144.03</v>
      </c>
      <c r="D61" s="70">
        <f t="shared" si="0"/>
        <v>-31.36875839272787</v>
      </c>
      <c r="E61" s="70">
        <f>'Housing Costs'!$B$65</f>
        <v>56.03418886094559</v>
      </c>
      <c r="F61" s="93">
        <f t="shared" si="1"/>
        <v>-0.5598146244353168</v>
      </c>
      <c r="G61" s="94">
        <f t="shared" si="2"/>
        <v>0</v>
      </c>
      <c r="H61" s="94">
        <f t="shared" si="3"/>
        <v>0</v>
      </c>
      <c r="I61" s="95">
        <f t="shared" si="4"/>
        <v>0</v>
      </c>
      <c r="J61" s="94">
        <f t="shared" si="5"/>
        <v>0</v>
      </c>
      <c r="K61" s="94">
        <f t="shared" si="6"/>
        <v>0.875</v>
      </c>
      <c r="L61" s="94">
        <f t="shared" si="7"/>
        <v>0</v>
      </c>
      <c r="M61" s="94">
        <f t="shared" si="8"/>
        <v>0</v>
      </c>
      <c r="N61" s="94">
        <f t="shared" si="9"/>
        <v>0.875</v>
      </c>
      <c r="O61" s="63">
        <f t="shared" si="10"/>
        <v>0.782206773639326</v>
      </c>
    </row>
    <row r="62" spans="1:47" s="26" customFormat="1" ht="12.75">
      <c r="A62" s="22" t="s">
        <v>58</v>
      </c>
      <c r="B62" s="59">
        <v>117.1047189523249</v>
      </c>
      <c r="C62" s="96">
        <f>'Housing Costs'!$B$64</f>
        <v>144.03</v>
      </c>
      <c r="D62" s="70">
        <f t="shared" si="0"/>
        <v>-26.9252810476751</v>
      </c>
      <c r="E62" s="96">
        <f>'Housing Costs'!$B$65</f>
        <v>56.03418886094559</v>
      </c>
      <c r="F62" s="93">
        <f t="shared" si="1"/>
        <v>-0.4805152282027828</v>
      </c>
      <c r="G62" s="94">
        <f t="shared" si="2"/>
        <v>0</v>
      </c>
      <c r="H62" s="94">
        <f t="shared" si="3"/>
        <v>0</v>
      </c>
      <c r="I62" s="95">
        <f t="shared" si="4"/>
        <v>0</v>
      </c>
      <c r="J62" s="94">
        <f t="shared" si="5"/>
        <v>0</v>
      </c>
      <c r="K62" s="94">
        <f t="shared" si="6"/>
        <v>0.875</v>
      </c>
      <c r="L62" s="94">
        <f t="shared" si="7"/>
        <v>0</v>
      </c>
      <c r="M62" s="94">
        <f t="shared" si="8"/>
        <v>0</v>
      </c>
      <c r="N62" s="94">
        <f t="shared" si="9"/>
        <v>0.875</v>
      </c>
      <c r="O62" s="63">
        <f t="shared" si="10"/>
        <v>0.8130578278992217</v>
      </c>
      <c r="P62" s="50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</row>
    <row r="63" spans="1:47" s="5" customFormat="1" ht="12.75">
      <c r="A63" s="9"/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100"/>
      <c r="P63" s="100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</row>
    <row r="64" spans="1:47" s="6" customFormat="1" ht="12.75">
      <c r="A64" s="8" t="s">
        <v>61</v>
      </c>
      <c r="B64" s="102">
        <v>144.03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2"/>
      <c r="P64" s="92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</row>
    <row r="65" spans="1:2" ht="12.75">
      <c r="A65" s="3" t="s">
        <v>86</v>
      </c>
      <c r="B65" s="59">
        <v>56.03418886094559</v>
      </c>
    </row>
  </sheetData>
  <sheetProtection/>
  <printOptions horizontalCentered="1"/>
  <pageMargins left="0.25" right="0.25" top="0.75" bottom="0.75" header="0.25" footer="0.5"/>
  <pageSetup fitToHeight="2" fitToWidth="1" horizontalDpi="600" verticalDpi="600" orientation="portrait" scale="65" r:id="rId1"/>
  <headerFooter alignWithMargins="0">
    <oddHeader>&amp;CCALIFORNIA TAX CREDIT ALLOCATION COMMITTEE&amp;"Arial,Bold Italic"&amp;12
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6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0.00390625" style="3" customWidth="1"/>
    <col min="2" max="2" width="9.140625" style="112" customWidth="1"/>
    <col min="3" max="3" width="7.57421875" style="53" bestFit="1" customWidth="1"/>
    <col min="4" max="5" width="9.140625" style="53" customWidth="1"/>
    <col min="6" max="6" width="9.7109375" style="56" customWidth="1"/>
    <col min="7" max="13" width="8.28125" style="53" customWidth="1"/>
    <col min="14" max="14" width="7.140625" style="53" bestFit="1" customWidth="1"/>
    <col min="15" max="23" width="9.140625" style="53" customWidth="1"/>
  </cols>
  <sheetData>
    <row r="3" spans="1:23" s="73" customFormat="1" ht="51">
      <c r="A3" s="16" t="s">
        <v>0</v>
      </c>
      <c r="B3" s="103" t="s">
        <v>76</v>
      </c>
      <c r="C3" s="88" t="s">
        <v>87</v>
      </c>
      <c r="D3" s="88" t="s">
        <v>89</v>
      </c>
      <c r="E3" s="88" t="s">
        <v>86</v>
      </c>
      <c r="F3" s="86" t="s">
        <v>88</v>
      </c>
      <c r="G3" s="87" t="s">
        <v>93</v>
      </c>
      <c r="H3" s="87" t="s">
        <v>94</v>
      </c>
      <c r="I3" s="87" t="s">
        <v>95</v>
      </c>
      <c r="J3" s="87" t="s">
        <v>96</v>
      </c>
      <c r="K3" s="87" t="s">
        <v>97</v>
      </c>
      <c r="L3" s="87" t="s">
        <v>98</v>
      </c>
      <c r="M3" s="87" t="s">
        <v>99</v>
      </c>
      <c r="N3" s="88" t="s">
        <v>65</v>
      </c>
      <c r="O3" s="88"/>
      <c r="P3" s="88"/>
      <c r="Q3" s="88"/>
      <c r="R3" s="88"/>
      <c r="S3" s="88"/>
      <c r="T3" s="88"/>
      <c r="U3" s="88"/>
      <c r="V3" s="88"/>
      <c r="W3" s="88"/>
    </row>
    <row r="4" spans="1:23" s="6" customFormat="1" ht="12.75">
      <c r="A4" s="8"/>
      <c r="B4" s="104"/>
      <c r="C4" s="91"/>
      <c r="D4" s="91"/>
      <c r="E4" s="91"/>
      <c r="F4" s="105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1:14" ht="12.75">
      <c r="A5" s="4" t="s">
        <v>1</v>
      </c>
      <c r="B5" s="106">
        <v>0.24128484688006602</v>
      </c>
      <c r="C5" s="72">
        <f>Poverty!$B$64</f>
        <v>0.3306078988898021</v>
      </c>
      <c r="D5" s="72">
        <f>B5-C5</f>
        <v>-0.08932305200973606</v>
      </c>
      <c r="E5" s="72">
        <f>Poverty!$B$65</f>
        <v>0.09835981385755727</v>
      </c>
      <c r="F5" s="107">
        <f>D5/E5</f>
        <v>-0.9081254681824829</v>
      </c>
      <c r="G5" s="94">
        <f>IF(F5&gt;=1.5,2,0)</f>
        <v>0</v>
      </c>
      <c r="H5" s="94">
        <f>IF(AND(F5&gt;=0.75,F5&lt;1.5),1.5,0)</f>
        <v>0</v>
      </c>
      <c r="I5" s="95">
        <f>IF(AND(F5&gt;=0.25,F5&lt;0.75),1.25,0)</f>
        <v>0</v>
      </c>
      <c r="J5" s="94">
        <f>IF(AND(F5&lt;0.25,F5&gt;-0.25),1,0)</f>
        <v>0</v>
      </c>
      <c r="K5" s="94">
        <f>IF(AND(F5&lt;=-0.25,F5&gt;-0.75),0.875,0)</f>
        <v>0</v>
      </c>
      <c r="L5" s="94">
        <f>IF(AND(F5&lt;=-0.75,F5&gt;-1.5),0.75,0)</f>
        <v>0.75</v>
      </c>
      <c r="M5" s="94">
        <f>IF(F5&lt;=-1.5,0.5,0)</f>
        <v>0</v>
      </c>
      <c r="N5" s="94">
        <f>SUM(G5:M5)</f>
        <v>0.75</v>
      </c>
    </row>
    <row r="6" spans="1:14" s="46" customFormat="1" ht="12.75">
      <c r="A6" s="39" t="s">
        <v>2</v>
      </c>
      <c r="B6" s="84">
        <v>0.3988245172124265</v>
      </c>
      <c r="C6" s="71">
        <f>Poverty!$B$64</f>
        <v>0.3306078988898021</v>
      </c>
      <c r="D6" s="71">
        <f aca="true" t="shared" si="0" ref="D6:D62">B6-C6</f>
        <v>0.06821661832262443</v>
      </c>
      <c r="E6" s="71">
        <f>Poverty!$B$65</f>
        <v>0.09835981385755727</v>
      </c>
      <c r="F6" s="118">
        <f aca="true" t="shared" si="1" ref="F6:F62">D6/E6</f>
        <v>0.6935415557151663</v>
      </c>
      <c r="G6" s="116">
        <f aca="true" t="shared" si="2" ref="G6:G62">IF(F6&gt;=1.5,2,0)</f>
        <v>0</v>
      </c>
      <c r="H6" s="116">
        <f aca="true" t="shared" si="3" ref="H6:H62">IF(AND(F6&gt;=0.75,F6&lt;1.5),1.5,0)</f>
        <v>0</v>
      </c>
      <c r="I6" s="115">
        <f aca="true" t="shared" si="4" ref="I6:I62">IF(AND(F6&gt;=0.25,F6&lt;0.75),1.25,0)</f>
        <v>1.25</v>
      </c>
      <c r="J6" s="116">
        <f aca="true" t="shared" si="5" ref="J6:J62">IF(AND(F6&lt;0.25,F6&gt;-0.25),1,0)</f>
        <v>0</v>
      </c>
      <c r="K6" s="116">
        <f aca="true" t="shared" si="6" ref="K6:K62">IF(AND(F6&lt;=-0.25,F6&gt;-0.75),0.875,0)</f>
        <v>0</v>
      </c>
      <c r="L6" s="116">
        <f aca="true" t="shared" si="7" ref="L6:L62">IF(AND(F6&lt;=-0.75,F6&gt;-1.5),0.75,0)</f>
        <v>0</v>
      </c>
      <c r="M6" s="116">
        <f aca="true" t="shared" si="8" ref="M6:M62">IF(F6&lt;=-1.5,0.5,0)</f>
        <v>0</v>
      </c>
      <c r="N6" s="116">
        <f aca="true" t="shared" si="9" ref="N6:N62">SUM(G6:M6)</f>
        <v>1.25</v>
      </c>
    </row>
    <row r="7" spans="1:14" s="46" customFormat="1" ht="12.75">
      <c r="A7" s="39" t="s">
        <v>3</v>
      </c>
      <c r="B7" s="84">
        <v>0.2359004661545532</v>
      </c>
      <c r="C7" s="71">
        <f>Poverty!$B$64</f>
        <v>0.3306078988898021</v>
      </c>
      <c r="D7" s="71">
        <f t="shared" si="0"/>
        <v>-0.09470743273524887</v>
      </c>
      <c r="E7" s="71">
        <f>Poverty!$B$65</f>
        <v>0.09835981385755727</v>
      </c>
      <c r="F7" s="118">
        <f t="shared" si="1"/>
        <v>-0.9628671407654583</v>
      </c>
      <c r="G7" s="116">
        <f t="shared" si="2"/>
        <v>0</v>
      </c>
      <c r="H7" s="116">
        <f t="shared" si="3"/>
        <v>0</v>
      </c>
      <c r="I7" s="115">
        <f t="shared" si="4"/>
        <v>0</v>
      </c>
      <c r="J7" s="116">
        <f t="shared" si="5"/>
        <v>0</v>
      </c>
      <c r="K7" s="116">
        <f t="shared" si="6"/>
        <v>0</v>
      </c>
      <c r="L7" s="116">
        <f t="shared" si="7"/>
        <v>0.75</v>
      </c>
      <c r="M7" s="116">
        <f t="shared" si="8"/>
        <v>0</v>
      </c>
      <c r="N7" s="116">
        <f t="shared" si="9"/>
        <v>0.75</v>
      </c>
    </row>
    <row r="8" spans="1:14" ht="12.75">
      <c r="A8" s="4" t="s">
        <v>4</v>
      </c>
      <c r="B8" s="106">
        <v>0.4140261657297691</v>
      </c>
      <c r="C8" s="72">
        <f>Poverty!$B$64</f>
        <v>0.3306078988898021</v>
      </c>
      <c r="D8" s="72">
        <f t="shared" si="0"/>
        <v>0.083418266839967</v>
      </c>
      <c r="E8" s="72">
        <f>Poverty!$B$65</f>
        <v>0.09835981385755727</v>
      </c>
      <c r="F8" s="107">
        <f t="shared" si="1"/>
        <v>0.8480929717981338</v>
      </c>
      <c r="G8" s="94">
        <f t="shared" si="2"/>
        <v>0</v>
      </c>
      <c r="H8" s="94">
        <f t="shared" si="3"/>
        <v>1.5</v>
      </c>
      <c r="I8" s="95">
        <f t="shared" si="4"/>
        <v>0</v>
      </c>
      <c r="J8" s="94">
        <f t="shared" si="5"/>
        <v>0</v>
      </c>
      <c r="K8" s="94">
        <f t="shared" si="6"/>
        <v>0</v>
      </c>
      <c r="L8" s="94">
        <f t="shared" si="7"/>
        <v>0</v>
      </c>
      <c r="M8" s="94">
        <f t="shared" si="8"/>
        <v>0</v>
      </c>
      <c r="N8" s="94">
        <f t="shared" si="9"/>
        <v>1.5</v>
      </c>
    </row>
    <row r="9" spans="1:14" s="46" customFormat="1" ht="12.75">
      <c r="A9" s="39" t="s">
        <v>5</v>
      </c>
      <c r="B9" s="84">
        <v>0.29916307507266715</v>
      </c>
      <c r="C9" s="71">
        <f>Poverty!$B$64</f>
        <v>0.3306078988898021</v>
      </c>
      <c r="D9" s="71">
        <f t="shared" si="0"/>
        <v>-0.031444823817134926</v>
      </c>
      <c r="E9" s="71">
        <f>Poverty!$B$65</f>
        <v>0.09835981385755727</v>
      </c>
      <c r="F9" s="118">
        <f t="shared" si="1"/>
        <v>-0.31969177841951485</v>
      </c>
      <c r="G9" s="116">
        <f t="shared" si="2"/>
        <v>0</v>
      </c>
      <c r="H9" s="116">
        <f t="shared" si="3"/>
        <v>0</v>
      </c>
      <c r="I9" s="115">
        <f t="shared" si="4"/>
        <v>0</v>
      </c>
      <c r="J9" s="116">
        <f t="shared" si="5"/>
        <v>0</v>
      </c>
      <c r="K9" s="116">
        <f t="shared" si="6"/>
        <v>0.875</v>
      </c>
      <c r="L9" s="116">
        <f t="shared" si="7"/>
        <v>0</v>
      </c>
      <c r="M9" s="116">
        <f t="shared" si="8"/>
        <v>0</v>
      </c>
      <c r="N9" s="116">
        <f t="shared" si="9"/>
        <v>0.875</v>
      </c>
    </row>
    <row r="10" spans="1:14" s="46" customFormat="1" ht="12.75">
      <c r="A10" s="39" t="s">
        <v>6</v>
      </c>
      <c r="B10" s="84">
        <v>0.4396075029816762</v>
      </c>
      <c r="C10" s="71">
        <f>Poverty!$B$64</f>
        <v>0.3306078988898021</v>
      </c>
      <c r="D10" s="71">
        <f t="shared" si="0"/>
        <v>0.10899960409187415</v>
      </c>
      <c r="E10" s="71">
        <f>Poverty!$B$65</f>
        <v>0.09835981385755727</v>
      </c>
      <c r="F10" s="118">
        <f t="shared" si="1"/>
        <v>1.1081721265732083</v>
      </c>
      <c r="G10" s="116">
        <f t="shared" si="2"/>
        <v>0</v>
      </c>
      <c r="H10" s="116">
        <f t="shared" si="3"/>
        <v>1.5</v>
      </c>
      <c r="I10" s="115">
        <f t="shared" si="4"/>
        <v>0</v>
      </c>
      <c r="J10" s="116">
        <f t="shared" si="5"/>
        <v>0</v>
      </c>
      <c r="K10" s="116">
        <f t="shared" si="6"/>
        <v>0</v>
      </c>
      <c r="L10" s="116">
        <f t="shared" si="7"/>
        <v>0</v>
      </c>
      <c r="M10" s="116">
        <f t="shared" si="8"/>
        <v>0</v>
      </c>
      <c r="N10" s="116">
        <f t="shared" si="9"/>
        <v>1.5</v>
      </c>
    </row>
    <row r="11" spans="1:14" ht="12.75">
      <c r="A11" s="4" t="s">
        <v>7</v>
      </c>
      <c r="B11" s="106">
        <v>0.18657479937334143</v>
      </c>
      <c r="C11" s="72">
        <f>Poverty!$B$64</f>
        <v>0.3306078988898021</v>
      </c>
      <c r="D11" s="72">
        <f t="shared" si="0"/>
        <v>-0.14403309951646065</v>
      </c>
      <c r="E11" s="72">
        <f>Poverty!$B$65</f>
        <v>0.09835981385755727</v>
      </c>
      <c r="F11" s="107">
        <f t="shared" si="1"/>
        <v>-1.4643490452823196</v>
      </c>
      <c r="G11" s="94">
        <f t="shared" si="2"/>
        <v>0</v>
      </c>
      <c r="H11" s="94">
        <f t="shared" si="3"/>
        <v>0</v>
      </c>
      <c r="I11" s="95">
        <f t="shared" si="4"/>
        <v>0</v>
      </c>
      <c r="J11" s="94">
        <f t="shared" si="5"/>
        <v>0</v>
      </c>
      <c r="K11" s="94">
        <f t="shared" si="6"/>
        <v>0</v>
      </c>
      <c r="L11" s="94">
        <f t="shared" si="7"/>
        <v>0.75</v>
      </c>
      <c r="M11" s="94">
        <f t="shared" si="8"/>
        <v>0</v>
      </c>
      <c r="N11" s="94">
        <f t="shared" si="9"/>
        <v>0.75</v>
      </c>
    </row>
    <row r="12" spans="1:14" s="46" customFormat="1" ht="12.75">
      <c r="A12" s="39" t="s">
        <v>8</v>
      </c>
      <c r="B12" s="84">
        <v>0.44793871158892745</v>
      </c>
      <c r="C12" s="71">
        <f>Poverty!$B$64</f>
        <v>0.3306078988898021</v>
      </c>
      <c r="D12" s="71">
        <f t="shared" si="0"/>
        <v>0.11733081269912538</v>
      </c>
      <c r="E12" s="71">
        <f>Poverty!$B$65</f>
        <v>0.09835981385755727</v>
      </c>
      <c r="F12" s="118">
        <f t="shared" si="1"/>
        <v>1.192873472382141</v>
      </c>
      <c r="G12" s="116">
        <f t="shared" si="2"/>
        <v>0</v>
      </c>
      <c r="H12" s="116">
        <f t="shared" si="3"/>
        <v>1.5</v>
      </c>
      <c r="I12" s="115">
        <f t="shared" si="4"/>
        <v>0</v>
      </c>
      <c r="J12" s="116">
        <f t="shared" si="5"/>
        <v>0</v>
      </c>
      <c r="K12" s="116">
        <f t="shared" si="6"/>
        <v>0</v>
      </c>
      <c r="L12" s="116">
        <f t="shared" si="7"/>
        <v>0</v>
      </c>
      <c r="M12" s="116">
        <f t="shared" si="8"/>
        <v>0</v>
      </c>
      <c r="N12" s="116">
        <f t="shared" si="9"/>
        <v>1.5</v>
      </c>
    </row>
    <row r="13" spans="1:14" s="53" customFormat="1" ht="12.75">
      <c r="A13" s="47" t="s">
        <v>9</v>
      </c>
      <c r="B13" s="106">
        <v>0.20585749220872235</v>
      </c>
      <c r="C13" s="72">
        <f>Poverty!$B$64</f>
        <v>0.3306078988898021</v>
      </c>
      <c r="D13" s="72">
        <f t="shared" si="0"/>
        <v>-0.12475040668107973</v>
      </c>
      <c r="E13" s="72">
        <f>Poverty!$B$65</f>
        <v>0.09835981385755727</v>
      </c>
      <c r="F13" s="107">
        <f t="shared" si="1"/>
        <v>-1.268306656839965</v>
      </c>
      <c r="G13" s="94">
        <f t="shared" si="2"/>
        <v>0</v>
      </c>
      <c r="H13" s="94">
        <f t="shared" si="3"/>
        <v>0</v>
      </c>
      <c r="I13" s="95">
        <f t="shared" si="4"/>
        <v>0</v>
      </c>
      <c r="J13" s="94">
        <f t="shared" si="5"/>
        <v>0</v>
      </c>
      <c r="K13" s="94">
        <f t="shared" si="6"/>
        <v>0</v>
      </c>
      <c r="L13" s="94">
        <f t="shared" si="7"/>
        <v>0.75</v>
      </c>
      <c r="M13" s="94">
        <f t="shared" si="8"/>
        <v>0</v>
      </c>
      <c r="N13" s="94">
        <f t="shared" si="9"/>
        <v>0.75</v>
      </c>
    </row>
    <row r="14" spans="1:14" ht="12.75">
      <c r="A14" s="4" t="s">
        <v>10</v>
      </c>
      <c r="B14" s="106">
        <v>0.48265613695106957</v>
      </c>
      <c r="C14" s="72">
        <f>Poverty!$B$64</f>
        <v>0.3306078988898021</v>
      </c>
      <c r="D14" s="72">
        <f t="shared" si="0"/>
        <v>0.1520482380612675</v>
      </c>
      <c r="E14" s="72">
        <f>Poverty!$B$65</f>
        <v>0.09835981385755727</v>
      </c>
      <c r="F14" s="107">
        <f t="shared" si="1"/>
        <v>1.5458369846191529</v>
      </c>
      <c r="G14" s="94">
        <f t="shared" si="2"/>
        <v>2</v>
      </c>
      <c r="H14" s="94">
        <f t="shared" si="3"/>
        <v>0</v>
      </c>
      <c r="I14" s="95">
        <f t="shared" si="4"/>
        <v>0</v>
      </c>
      <c r="J14" s="94">
        <f t="shared" si="5"/>
        <v>0</v>
      </c>
      <c r="K14" s="94">
        <f t="shared" si="6"/>
        <v>0</v>
      </c>
      <c r="L14" s="94">
        <f t="shared" si="7"/>
        <v>0</v>
      </c>
      <c r="M14" s="94">
        <f t="shared" si="8"/>
        <v>0</v>
      </c>
      <c r="N14" s="94">
        <f t="shared" si="9"/>
        <v>2</v>
      </c>
    </row>
    <row r="15" spans="1:14" s="46" customFormat="1" ht="12.75">
      <c r="A15" s="39" t="s">
        <v>11</v>
      </c>
      <c r="B15" s="84">
        <v>0.4773564630027633</v>
      </c>
      <c r="C15" s="71">
        <f>Poverty!$B$64</f>
        <v>0.3306078988898021</v>
      </c>
      <c r="D15" s="71">
        <f t="shared" si="0"/>
        <v>0.14674856411296122</v>
      </c>
      <c r="E15" s="71">
        <f>Poverty!$B$65</f>
        <v>0.09835981385755727</v>
      </c>
      <c r="F15" s="118">
        <f t="shared" si="1"/>
        <v>1.4919565049754933</v>
      </c>
      <c r="G15" s="116">
        <f t="shared" si="2"/>
        <v>0</v>
      </c>
      <c r="H15" s="116">
        <f t="shared" si="3"/>
        <v>1.5</v>
      </c>
      <c r="I15" s="115">
        <f t="shared" si="4"/>
        <v>0</v>
      </c>
      <c r="J15" s="116">
        <f t="shared" si="5"/>
        <v>0</v>
      </c>
      <c r="K15" s="116">
        <f t="shared" si="6"/>
        <v>0</v>
      </c>
      <c r="L15" s="116">
        <f t="shared" si="7"/>
        <v>0</v>
      </c>
      <c r="M15" s="116">
        <f t="shared" si="8"/>
        <v>0</v>
      </c>
      <c r="N15" s="116">
        <f t="shared" si="9"/>
        <v>1.5</v>
      </c>
    </row>
    <row r="16" spans="1:14" s="46" customFormat="1" ht="12.75">
      <c r="A16" s="39" t="s">
        <v>12</v>
      </c>
      <c r="B16" s="84">
        <v>0.42376610618103877</v>
      </c>
      <c r="C16" s="71">
        <f>Poverty!$B$64</f>
        <v>0.3306078988898021</v>
      </c>
      <c r="D16" s="71">
        <f t="shared" si="0"/>
        <v>0.0931582072912367</v>
      </c>
      <c r="E16" s="71">
        <f>Poverty!$B$65</f>
        <v>0.09835981385755727</v>
      </c>
      <c r="F16" s="118">
        <f t="shared" si="1"/>
        <v>0.9471165472735295</v>
      </c>
      <c r="G16" s="116">
        <f t="shared" si="2"/>
        <v>0</v>
      </c>
      <c r="H16" s="116">
        <f t="shared" si="3"/>
        <v>1.5</v>
      </c>
      <c r="I16" s="115">
        <f t="shared" si="4"/>
        <v>0</v>
      </c>
      <c r="J16" s="116">
        <f t="shared" si="5"/>
        <v>0</v>
      </c>
      <c r="K16" s="116">
        <f t="shared" si="6"/>
        <v>0</v>
      </c>
      <c r="L16" s="116">
        <f t="shared" si="7"/>
        <v>0</v>
      </c>
      <c r="M16" s="116">
        <f t="shared" si="8"/>
        <v>0</v>
      </c>
      <c r="N16" s="116">
        <f t="shared" si="9"/>
        <v>1.5</v>
      </c>
    </row>
    <row r="17" spans="1:14" s="46" customFormat="1" ht="12.75">
      <c r="A17" s="39" t="s">
        <v>13</v>
      </c>
      <c r="B17" s="84">
        <v>0.5191504575571091</v>
      </c>
      <c r="C17" s="71">
        <f>Poverty!$B$64</f>
        <v>0.3306078988898021</v>
      </c>
      <c r="D17" s="71">
        <f t="shared" si="0"/>
        <v>0.18854255866730701</v>
      </c>
      <c r="E17" s="71">
        <f>Poverty!$B$65</f>
        <v>0.09835981385755727</v>
      </c>
      <c r="F17" s="118">
        <f t="shared" si="1"/>
        <v>1.916865753125058</v>
      </c>
      <c r="G17" s="116">
        <f t="shared" si="2"/>
        <v>2</v>
      </c>
      <c r="H17" s="116">
        <f t="shared" si="3"/>
        <v>0</v>
      </c>
      <c r="I17" s="115">
        <f t="shared" si="4"/>
        <v>0</v>
      </c>
      <c r="J17" s="116">
        <f t="shared" si="5"/>
        <v>0</v>
      </c>
      <c r="K17" s="116">
        <f t="shared" si="6"/>
        <v>0</v>
      </c>
      <c r="L17" s="116">
        <f t="shared" si="7"/>
        <v>0</v>
      </c>
      <c r="M17" s="116">
        <f t="shared" si="8"/>
        <v>0</v>
      </c>
      <c r="N17" s="116">
        <f t="shared" si="9"/>
        <v>2</v>
      </c>
    </row>
    <row r="18" spans="1:14" s="46" customFormat="1" ht="12.75">
      <c r="A18" s="39" t="s">
        <v>14</v>
      </c>
      <c r="B18" s="84">
        <v>0.3333521095026193</v>
      </c>
      <c r="C18" s="71">
        <f>Poverty!$B$64</f>
        <v>0.3306078988898021</v>
      </c>
      <c r="D18" s="71">
        <f t="shared" si="0"/>
        <v>0.0027442106128172106</v>
      </c>
      <c r="E18" s="71">
        <f>Poverty!$B$65</f>
        <v>0.09835981385755727</v>
      </c>
      <c r="F18" s="118">
        <f t="shared" si="1"/>
        <v>0.027899713360492143</v>
      </c>
      <c r="G18" s="116">
        <f t="shared" si="2"/>
        <v>0</v>
      </c>
      <c r="H18" s="116">
        <f t="shared" si="3"/>
        <v>0</v>
      </c>
      <c r="I18" s="115">
        <f t="shared" si="4"/>
        <v>0</v>
      </c>
      <c r="J18" s="116">
        <f t="shared" si="5"/>
        <v>1</v>
      </c>
      <c r="K18" s="116">
        <f t="shared" si="6"/>
        <v>0</v>
      </c>
      <c r="L18" s="116">
        <f t="shared" si="7"/>
        <v>0</v>
      </c>
      <c r="M18" s="116">
        <f t="shared" si="8"/>
        <v>0</v>
      </c>
      <c r="N18" s="116">
        <f t="shared" si="9"/>
        <v>1</v>
      </c>
    </row>
    <row r="19" spans="1:14" ht="12.75">
      <c r="A19" s="4" t="s">
        <v>15</v>
      </c>
      <c r="B19" s="106">
        <v>0.4545611640357594</v>
      </c>
      <c r="C19" s="72">
        <f>Poverty!$B$64</f>
        <v>0.3306078988898021</v>
      </c>
      <c r="D19" s="72">
        <f t="shared" si="0"/>
        <v>0.12395326514595734</v>
      </c>
      <c r="E19" s="72">
        <f>Poverty!$B$65</f>
        <v>0.09835981385755727</v>
      </c>
      <c r="F19" s="107">
        <f t="shared" si="1"/>
        <v>1.26020231520023</v>
      </c>
      <c r="G19" s="94">
        <f t="shared" si="2"/>
        <v>0</v>
      </c>
      <c r="H19" s="94">
        <f t="shared" si="3"/>
        <v>1.5</v>
      </c>
      <c r="I19" s="95">
        <f t="shared" si="4"/>
        <v>0</v>
      </c>
      <c r="J19" s="94">
        <f t="shared" si="5"/>
        <v>0</v>
      </c>
      <c r="K19" s="94">
        <f t="shared" si="6"/>
        <v>0</v>
      </c>
      <c r="L19" s="94">
        <f t="shared" si="7"/>
        <v>0</v>
      </c>
      <c r="M19" s="94">
        <f t="shared" si="8"/>
        <v>0</v>
      </c>
      <c r="N19" s="94">
        <f t="shared" si="9"/>
        <v>1.5</v>
      </c>
    </row>
    <row r="20" spans="1:14" ht="12.75">
      <c r="A20" s="4" t="s">
        <v>16</v>
      </c>
      <c r="B20" s="106">
        <v>0.47181957200545754</v>
      </c>
      <c r="C20" s="72">
        <f>Poverty!$B$64</f>
        <v>0.3306078988898021</v>
      </c>
      <c r="D20" s="72">
        <f t="shared" si="0"/>
        <v>0.14121167311565547</v>
      </c>
      <c r="E20" s="72">
        <f>Poverty!$B$65</f>
        <v>0.09835981385755727</v>
      </c>
      <c r="F20" s="107">
        <f t="shared" si="1"/>
        <v>1.4356642980247545</v>
      </c>
      <c r="G20" s="94">
        <f t="shared" si="2"/>
        <v>0</v>
      </c>
      <c r="H20" s="94">
        <f t="shared" si="3"/>
        <v>1.5</v>
      </c>
      <c r="I20" s="95">
        <f t="shared" si="4"/>
        <v>0</v>
      </c>
      <c r="J20" s="94">
        <f t="shared" si="5"/>
        <v>0</v>
      </c>
      <c r="K20" s="94">
        <f t="shared" si="6"/>
        <v>0</v>
      </c>
      <c r="L20" s="94">
        <f t="shared" si="7"/>
        <v>0</v>
      </c>
      <c r="M20" s="94">
        <f t="shared" si="8"/>
        <v>0</v>
      </c>
      <c r="N20" s="94">
        <f t="shared" si="9"/>
        <v>1.5</v>
      </c>
    </row>
    <row r="21" spans="1:14" s="46" customFormat="1" ht="12.75">
      <c r="A21" s="39" t="s">
        <v>17</v>
      </c>
      <c r="B21" s="84">
        <v>0.4343349736502286</v>
      </c>
      <c r="C21" s="71">
        <f>Poverty!$B$64</f>
        <v>0.3306078988898021</v>
      </c>
      <c r="D21" s="71">
        <f t="shared" si="0"/>
        <v>0.10372707476042653</v>
      </c>
      <c r="E21" s="71">
        <f>Poverty!$B$65</f>
        <v>0.09835981385755727</v>
      </c>
      <c r="F21" s="118">
        <f t="shared" si="1"/>
        <v>1.0545676195630262</v>
      </c>
      <c r="G21" s="116">
        <f t="shared" si="2"/>
        <v>0</v>
      </c>
      <c r="H21" s="116">
        <f t="shared" si="3"/>
        <v>1.5</v>
      </c>
      <c r="I21" s="115">
        <f t="shared" si="4"/>
        <v>0</v>
      </c>
      <c r="J21" s="116">
        <f t="shared" si="5"/>
        <v>0</v>
      </c>
      <c r="K21" s="116">
        <f t="shared" si="6"/>
        <v>0</v>
      </c>
      <c r="L21" s="116">
        <f t="shared" si="7"/>
        <v>0</v>
      </c>
      <c r="M21" s="116">
        <f t="shared" si="8"/>
        <v>0</v>
      </c>
      <c r="N21" s="116">
        <f t="shared" si="9"/>
        <v>1.5</v>
      </c>
    </row>
    <row r="22" spans="1:14" s="46" customFormat="1" ht="12.75">
      <c r="A22" s="39" t="s">
        <v>18</v>
      </c>
      <c r="B22" s="84">
        <v>0.3411258198205448</v>
      </c>
      <c r="C22" s="71">
        <f>Poverty!$B$64</f>
        <v>0.3306078988898021</v>
      </c>
      <c r="D22" s="71">
        <f t="shared" si="0"/>
        <v>0.010517920930742719</v>
      </c>
      <c r="E22" s="71">
        <f>Poverty!$B$65</f>
        <v>0.09835981385755727</v>
      </c>
      <c r="F22" s="118">
        <f t="shared" si="1"/>
        <v>0.10693311138199757</v>
      </c>
      <c r="G22" s="116">
        <f t="shared" si="2"/>
        <v>0</v>
      </c>
      <c r="H22" s="116">
        <f t="shared" si="3"/>
        <v>0</v>
      </c>
      <c r="I22" s="115">
        <f t="shared" si="4"/>
        <v>0</v>
      </c>
      <c r="J22" s="116">
        <f t="shared" si="5"/>
        <v>1</v>
      </c>
      <c r="K22" s="116">
        <f t="shared" si="6"/>
        <v>0</v>
      </c>
      <c r="L22" s="116">
        <f t="shared" si="7"/>
        <v>0</v>
      </c>
      <c r="M22" s="116">
        <f t="shared" si="8"/>
        <v>0</v>
      </c>
      <c r="N22" s="116">
        <f t="shared" si="9"/>
        <v>1</v>
      </c>
    </row>
    <row r="23" spans="1:14" ht="12.75">
      <c r="A23" s="4" t="s">
        <v>19</v>
      </c>
      <c r="B23" s="106">
        <v>0.3994687142604883</v>
      </c>
      <c r="C23" s="72">
        <f>Poverty!$B$64</f>
        <v>0.3306078988898021</v>
      </c>
      <c r="D23" s="72">
        <f t="shared" si="0"/>
        <v>0.06886081537068622</v>
      </c>
      <c r="E23" s="72">
        <f>Poverty!$B$65</f>
        <v>0.09835981385755727</v>
      </c>
      <c r="F23" s="107">
        <f t="shared" si="1"/>
        <v>0.7000909484274654</v>
      </c>
      <c r="G23" s="94">
        <f t="shared" si="2"/>
        <v>0</v>
      </c>
      <c r="H23" s="94">
        <f t="shared" si="3"/>
        <v>0</v>
      </c>
      <c r="I23" s="95">
        <f t="shared" si="4"/>
        <v>1.25</v>
      </c>
      <c r="J23" s="94">
        <f t="shared" si="5"/>
        <v>0</v>
      </c>
      <c r="K23" s="94">
        <f t="shared" si="6"/>
        <v>0</v>
      </c>
      <c r="L23" s="94">
        <f t="shared" si="7"/>
        <v>0</v>
      </c>
      <c r="M23" s="94">
        <f t="shared" si="8"/>
        <v>0</v>
      </c>
      <c r="N23" s="94">
        <f t="shared" si="9"/>
        <v>1.25</v>
      </c>
    </row>
    <row r="24" spans="1:14" ht="12.75">
      <c r="A24" s="4" t="s">
        <v>20</v>
      </c>
      <c r="B24" s="106">
        <v>0.4677120083627336</v>
      </c>
      <c r="C24" s="72">
        <f>Poverty!$B$64</f>
        <v>0.3306078988898021</v>
      </c>
      <c r="D24" s="72">
        <f t="shared" si="0"/>
        <v>0.1371041094729315</v>
      </c>
      <c r="E24" s="72">
        <f>Poverty!$B$65</f>
        <v>0.09835981385755727</v>
      </c>
      <c r="F24" s="107">
        <f t="shared" si="1"/>
        <v>1.3939037102233942</v>
      </c>
      <c r="G24" s="94">
        <f t="shared" si="2"/>
        <v>0</v>
      </c>
      <c r="H24" s="94">
        <f t="shared" si="3"/>
        <v>1.5</v>
      </c>
      <c r="I24" s="95">
        <f t="shared" si="4"/>
        <v>0</v>
      </c>
      <c r="J24" s="94">
        <f t="shared" si="5"/>
        <v>0</v>
      </c>
      <c r="K24" s="94">
        <f t="shared" si="6"/>
        <v>0</v>
      </c>
      <c r="L24" s="94">
        <f t="shared" si="7"/>
        <v>0</v>
      </c>
      <c r="M24" s="94">
        <f t="shared" si="8"/>
        <v>0</v>
      </c>
      <c r="N24" s="94">
        <f t="shared" si="9"/>
        <v>1.5</v>
      </c>
    </row>
    <row r="25" spans="1:14" ht="12.75">
      <c r="A25" s="4" t="s">
        <v>21</v>
      </c>
      <c r="B25" s="106">
        <v>0.15658745027048646</v>
      </c>
      <c r="C25" s="72">
        <f>Poverty!$B$64</f>
        <v>0.3306078988898021</v>
      </c>
      <c r="D25" s="72">
        <f t="shared" si="0"/>
        <v>-0.17402044861931562</v>
      </c>
      <c r="E25" s="72">
        <f>Poverty!$B$65</f>
        <v>0.09835981385755727</v>
      </c>
      <c r="F25" s="107">
        <f t="shared" si="1"/>
        <v>-1.7692230372795192</v>
      </c>
      <c r="G25" s="94">
        <f t="shared" si="2"/>
        <v>0</v>
      </c>
      <c r="H25" s="94">
        <f t="shared" si="3"/>
        <v>0</v>
      </c>
      <c r="I25" s="95">
        <f t="shared" si="4"/>
        <v>0</v>
      </c>
      <c r="J25" s="94">
        <f t="shared" si="5"/>
        <v>0</v>
      </c>
      <c r="K25" s="94">
        <f t="shared" si="6"/>
        <v>0</v>
      </c>
      <c r="L25" s="94">
        <f t="shared" si="7"/>
        <v>0</v>
      </c>
      <c r="M25" s="94">
        <f t="shared" si="8"/>
        <v>0.5</v>
      </c>
      <c r="N25" s="94">
        <f t="shared" si="9"/>
        <v>0.5</v>
      </c>
    </row>
    <row r="26" spans="1:14" ht="12.75">
      <c r="A26" s="4" t="s">
        <v>22</v>
      </c>
      <c r="B26" s="106">
        <v>0.37055958179874066</v>
      </c>
      <c r="C26" s="72">
        <f>Poverty!$B$64</f>
        <v>0.3306078988898021</v>
      </c>
      <c r="D26" s="72">
        <f t="shared" si="0"/>
        <v>0.03995168290893858</v>
      </c>
      <c r="E26" s="72">
        <f>Poverty!$B$65</f>
        <v>0.09835981385755727</v>
      </c>
      <c r="F26" s="107">
        <f t="shared" si="1"/>
        <v>0.40617891943955703</v>
      </c>
      <c r="G26" s="94">
        <f t="shared" si="2"/>
        <v>0</v>
      </c>
      <c r="H26" s="94">
        <f t="shared" si="3"/>
        <v>0</v>
      </c>
      <c r="I26" s="95">
        <f t="shared" si="4"/>
        <v>1.25</v>
      </c>
      <c r="J26" s="94">
        <f t="shared" si="5"/>
        <v>0</v>
      </c>
      <c r="K26" s="94">
        <f t="shared" si="6"/>
        <v>0</v>
      </c>
      <c r="L26" s="94">
        <f t="shared" si="7"/>
        <v>0</v>
      </c>
      <c r="M26" s="94">
        <f t="shared" si="8"/>
        <v>0</v>
      </c>
      <c r="N26" s="94">
        <f t="shared" si="9"/>
        <v>1.25</v>
      </c>
    </row>
    <row r="27" spans="1:14" s="46" customFormat="1" ht="12.75">
      <c r="A27" s="39" t="s">
        <v>23</v>
      </c>
      <c r="B27" s="84">
        <v>0.38249386329305135</v>
      </c>
      <c r="C27" s="71">
        <f>Poverty!$B$64</f>
        <v>0.3306078988898021</v>
      </c>
      <c r="D27" s="71">
        <f t="shared" si="0"/>
        <v>0.051885964403249274</v>
      </c>
      <c r="E27" s="71">
        <f>Poverty!$B$65</f>
        <v>0.09835981385755727</v>
      </c>
      <c r="F27" s="118">
        <f t="shared" si="1"/>
        <v>0.5275118198006098</v>
      </c>
      <c r="G27" s="116">
        <f t="shared" si="2"/>
        <v>0</v>
      </c>
      <c r="H27" s="116">
        <f t="shared" si="3"/>
        <v>0</v>
      </c>
      <c r="I27" s="115">
        <f t="shared" si="4"/>
        <v>1.25</v>
      </c>
      <c r="J27" s="116">
        <f t="shared" si="5"/>
        <v>0</v>
      </c>
      <c r="K27" s="116">
        <f t="shared" si="6"/>
        <v>0</v>
      </c>
      <c r="L27" s="116">
        <f t="shared" si="7"/>
        <v>0</v>
      </c>
      <c r="M27" s="116">
        <f t="shared" si="8"/>
        <v>0</v>
      </c>
      <c r="N27" s="116">
        <f t="shared" si="9"/>
        <v>1.25</v>
      </c>
    </row>
    <row r="28" spans="1:14" ht="12.75">
      <c r="A28" s="4" t="s">
        <v>24</v>
      </c>
      <c r="B28" s="106">
        <v>0.48014919347086304</v>
      </c>
      <c r="C28" s="72">
        <f>Poverty!$B$64</f>
        <v>0.3306078988898021</v>
      </c>
      <c r="D28" s="72">
        <f t="shared" si="0"/>
        <v>0.14954129458106097</v>
      </c>
      <c r="E28" s="72">
        <f>Poverty!$B$65</f>
        <v>0.09835981385755727</v>
      </c>
      <c r="F28" s="107">
        <f t="shared" si="1"/>
        <v>1.5203495077534785</v>
      </c>
      <c r="G28" s="94">
        <f t="shared" si="2"/>
        <v>2</v>
      </c>
      <c r="H28" s="94">
        <f t="shared" si="3"/>
        <v>0</v>
      </c>
      <c r="I28" s="95">
        <f t="shared" si="4"/>
        <v>0</v>
      </c>
      <c r="J28" s="94">
        <f t="shared" si="5"/>
        <v>0</v>
      </c>
      <c r="K28" s="94">
        <f t="shared" si="6"/>
        <v>0</v>
      </c>
      <c r="L28" s="94">
        <f t="shared" si="7"/>
        <v>0</v>
      </c>
      <c r="M28" s="94">
        <f t="shared" si="8"/>
        <v>0</v>
      </c>
      <c r="N28" s="94">
        <f t="shared" si="9"/>
        <v>2</v>
      </c>
    </row>
    <row r="29" spans="1:14" s="46" customFormat="1" ht="12.75">
      <c r="A29" s="39" t="s">
        <v>25</v>
      </c>
      <c r="B29" s="84">
        <v>0.45099540581929554</v>
      </c>
      <c r="C29" s="71">
        <f>Poverty!$B$64</f>
        <v>0.3306078988898021</v>
      </c>
      <c r="D29" s="71">
        <f t="shared" si="0"/>
        <v>0.12038750692949346</v>
      </c>
      <c r="E29" s="71">
        <f>Poverty!$B$65</f>
        <v>0.09835981385755727</v>
      </c>
      <c r="F29" s="118">
        <f t="shared" si="1"/>
        <v>1.2239501297128954</v>
      </c>
      <c r="G29" s="116">
        <f t="shared" si="2"/>
        <v>0</v>
      </c>
      <c r="H29" s="116">
        <f t="shared" si="3"/>
        <v>1.5</v>
      </c>
      <c r="I29" s="115">
        <f t="shared" si="4"/>
        <v>0</v>
      </c>
      <c r="J29" s="116">
        <f t="shared" si="5"/>
        <v>0</v>
      </c>
      <c r="K29" s="116">
        <f t="shared" si="6"/>
        <v>0</v>
      </c>
      <c r="L29" s="116">
        <f t="shared" si="7"/>
        <v>0</v>
      </c>
      <c r="M29" s="116">
        <f t="shared" si="8"/>
        <v>0</v>
      </c>
      <c r="N29" s="116">
        <f t="shared" si="9"/>
        <v>1.5</v>
      </c>
    </row>
    <row r="30" spans="1:14" s="46" customFormat="1" ht="12.75">
      <c r="A30" s="39" t="s">
        <v>26</v>
      </c>
      <c r="B30" s="84">
        <v>0.3291548407442447</v>
      </c>
      <c r="C30" s="71">
        <f>Poverty!$B$64</f>
        <v>0.3306078988898021</v>
      </c>
      <c r="D30" s="71">
        <f t="shared" si="0"/>
        <v>-0.001453058145557351</v>
      </c>
      <c r="E30" s="71">
        <f>Poverty!$B$65</f>
        <v>0.09835981385755727</v>
      </c>
      <c r="F30" s="118">
        <f t="shared" si="1"/>
        <v>-0.014772884255979186</v>
      </c>
      <c r="G30" s="116">
        <f t="shared" si="2"/>
        <v>0</v>
      </c>
      <c r="H30" s="116">
        <f t="shared" si="3"/>
        <v>0</v>
      </c>
      <c r="I30" s="115">
        <f t="shared" si="4"/>
        <v>0</v>
      </c>
      <c r="J30" s="116">
        <f t="shared" si="5"/>
        <v>1</v>
      </c>
      <c r="K30" s="116">
        <f t="shared" si="6"/>
        <v>0</v>
      </c>
      <c r="L30" s="116">
        <f t="shared" si="7"/>
        <v>0</v>
      </c>
      <c r="M30" s="116">
        <f t="shared" si="8"/>
        <v>0</v>
      </c>
      <c r="N30" s="116">
        <f t="shared" si="9"/>
        <v>1</v>
      </c>
    </row>
    <row r="31" spans="1:14" ht="12.75">
      <c r="A31" s="4" t="s">
        <v>27</v>
      </c>
      <c r="B31" s="106">
        <v>0.35918522002717673</v>
      </c>
      <c r="C31" s="72">
        <f>Poverty!$B$64</f>
        <v>0.3306078988898021</v>
      </c>
      <c r="D31" s="72">
        <f t="shared" si="0"/>
        <v>0.028577321137374656</v>
      </c>
      <c r="E31" s="72">
        <f>Poverty!$B$65</f>
        <v>0.09835981385755727</v>
      </c>
      <c r="F31" s="107">
        <f t="shared" si="1"/>
        <v>0.2905385849830884</v>
      </c>
      <c r="G31" s="94">
        <f t="shared" si="2"/>
        <v>0</v>
      </c>
      <c r="H31" s="94">
        <f t="shared" si="3"/>
        <v>0</v>
      </c>
      <c r="I31" s="95">
        <f t="shared" si="4"/>
        <v>1.25</v>
      </c>
      <c r="J31" s="94">
        <f t="shared" si="5"/>
        <v>0</v>
      </c>
      <c r="K31" s="94">
        <f t="shared" si="6"/>
        <v>0</v>
      </c>
      <c r="L31" s="94">
        <f t="shared" si="7"/>
        <v>0</v>
      </c>
      <c r="M31" s="94">
        <f t="shared" si="8"/>
        <v>0</v>
      </c>
      <c r="N31" s="94">
        <f t="shared" si="9"/>
        <v>1.25</v>
      </c>
    </row>
    <row r="32" spans="1:14" ht="12.75">
      <c r="A32" s="4" t="s">
        <v>28</v>
      </c>
      <c r="B32" s="106">
        <v>0.23335702638290756</v>
      </c>
      <c r="C32" s="72">
        <f>Poverty!$B$64</f>
        <v>0.3306078988898021</v>
      </c>
      <c r="D32" s="72">
        <f t="shared" si="0"/>
        <v>-0.09725087250689451</v>
      </c>
      <c r="E32" s="72">
        <f>Poverty!$B$65</f>
        <v>0.09835981385755727</v>
      </c>
      <c r="F32" s="107">
        <f t="shared" si="1"/>
        <v>-0.9887256664366131</v>
      </c>
      <c r="G32" s="94">
        <f t="shared" si="2"/>
        <v>0</v>
      </c>
      <c r="H32" s="94">
        <f t="shared" si="3"/>
        <v>0</v>
      </c>
      <c r="I32" s="95">
        <f t="shared" si="4"/>
        <v>0</v>
      </c>
      <c r="J32" s="94">
        <f t="shared" si="5"/>
        <v>0</v>
      </c>
      <c r="K32" s="94">
        <f t="shared" si="6"/>
        <v>0</v>
      </c>
      <c r="L32" s="94">
        <f t="shared" si="7"/>
        <v>0.75</v>
      </c>
      <c r="M32" s="94">
        <f t="shared" si="8"/>
        <v>0</v>
      </c>
      <c r="N32" s="94">
        <f t="shared" si="9"/>
        <v>0.75</v>
      </c>
    </row>
    <row r="33" spans="1:14" s="46" customFormat="1" ht="12.75">
      <c r="A33" s="39" t="s">
        <v>29</v>
      </c>
      <c r="B33" s="84">
        <v>0.2370383405556411</v>
      </c>
      <c r="C33" s="71">
        <f>Poverty!$B$64</f>
        <v>0.3306078988898021</v>
      </c>
      <c r="D33" s="71">
        <f t="shared" si="0"/>
        <v>-0.09356955833416097</v>
      </c>
      <c r="E33" s="71">
        <f>Poverty!$B$65</f>
        <v>0.09835981385755727</v>
      </c>
      <c r="F33" s="118">
        <f t="shared" si="1"/>
        <v>-0.9512986520050409</v>
      </c>
      <c r="G33" s="116">
        <f t="shared" si="2"/>
        <v>0</v>
      </c>
      <c r="H33" s="116">
        <f t="shared" si="3"/>
        <v>0</v>
      </c>
      <c r="I33" s="115">
        <f t="shared" si="4"/>
        <v>0</v>
      </c>
      <c r="J33" s="116">
        <f t="shared" si="5"/>
        <v>0</v>
      </c>
      <c r="K33" s="116">
        <f t="shared" si="6"/>
        <v>0</v>
      </c>
      <c r="L33" s="116">
        <f t="shared" si="7"/>
        <v>0.75</v>
      </c>
      <c r="M33" s="116">
        <f t="shared" si="8"/>
        <v>0</v>
      </c>
      <c r="N33" s="116">
        <f t="shared" si="9"/>
        <v>0.75</v>
      </c>
    </row>
    <row r="34" spans="1:14" ht="12.75">
      <c r="A34" s="4" t="s">
        <v>30</v>
      </c>
      <c r="B34" s="106">
        <v>0.2691946197886738</v>
      </c>
      <c r="C34" s="72">
        <f>Poverty!$B$64</f>
        <v>0.3306078988898021</v>
      </c>
      <c r="D34" s="72">
        <f t="shared" si="0"/>
        <v>-0.06141327910112826</v>
      </c>
      <c r="E34" s="72">
        <f>Poverty!$B$65</f>
        <v>0.09835981385755727</v>
      </c>
      <c r="F34" s="107">
        <f t="shared" si="1"/>
        <v>-0.6243736816141778</v>
      </c>
      <c r="G34" s="94">
        <f t="shared" si="2"/>
        <v>0</v>
      </c>
      <c r="H34" s="94">
        <f t="shared" si="3"/>
        <v>0</v>
      </c>
      <c r="I34" s="95">
        <f t="shared" si="4"/>
        <v>0</v>
      </c>
      <c r="J34" s="94">
        <f t="shared" si="5"/>
        <v>0</v>
      </c>
      <c r="K34" s="94">
        <f t="shared" si="6"/>
        <v>0.875</v>
      </c>
      <c r="L34" s="94">
        <f t="shared" si="7"/>
        <v>0</v>
      </c>
      <c r="M34" s="94">
        <f t="shared" si="8"/>
        <v>0</v>
      </c>
      <c r="N34" s="94">
        <f t="shared" si="9"/>
        <v>0.875</v>
      </c>
    </row>
    <row r="35" spans="1:14" ht="12.75">
      <c r="A35" s="4" t="s">
        <v>31</v>
      </c>
      <c r="B35" s="106">
        <v>0.16542657114946271</v>
      </c>
      <c r="C35" s="72">
        <f>Poverty!$B$64</f>
        <v>0.3306078988898021</v>
      </c>
      <c r="D35" s="72">
        <f t="shared" si="0"/>
        <v>-0.16518132774033936</v>
      </c>
      <c r="E35" s="72">
        <f>Poverty!$B$65</f>
        <v>0.09835981385755727</v>
      </c>
      <c r="F35" s="107">
        <f t="shared" si="1"/>
        <v>-1.679357872510329</v>
      </c>
      <c r="G35" s="94">
        <f t="shared" si="2"/>
        <v>0</v>
      </c>
      <c r="H35" s="94">
        <f t="shared" si="3"/>
        <v>0</v>
      </c>
      <c r="I35" s="95">
        <f t="shared" si="4"/>
        <v>0</v>
      </c>
      <c r="J35" s="94">
        <f t="shared" si="5"/>
        <v>0</v>
      </c>
      <c r="K35" s="94">
        <f t="shared" si="6"/>
        <v>0</v>
      </c>
      <c r="L35" s="94">
        <f t="shared" si="7"/>
        <v>0</v>
      </c>
      <c r="M35" s="94">
        <f t="shared" si="8"/>
        <v>0.5</v>
      </c>
      <c r="N35" s="94">
        <f t="shared" si="9"/>
        <v>0.5</v>
      </c>
    </row>
    <row r="36" spans="1:14" s="46" customFormat="1" ht="12.75">
      <c r="A36" s="39" t="s">
        <v>32</v>
      </c>
      <c r="B36" s="84">
        <v>0.31452044139808466</v>
      </c>
      <c r="C36" s="71">
        <f>Poverty!$B$64</f>
        <v>0.3306078988898021</v>
      </c>
      <c r="D36" s="71">
        <f t="shared" si="0"/>
        <v>-0.016087457491717416</v>
      </c>
      <c r="E36" s="71">
        <f>Poverty!$B$65</f>
        <v>0.09835981385755727</v>
      </c>
      <c r="F36" s="118">
        <f t="shared" si="1"/>
        <v>-0.163557217737469</v>
      </c>
      <c r="G36" s="116">
        <f t="shared" si="2"/>
        <v>0</v>
      </c>
      <c r="H36" s="116">
        <f t="shared" si="3"/>
        <v>0</v>
      </c>
      <c r="I36" s="115">
        <f t="shared" si="4"/>
        <v>0</v>
      </c>
      <c r="J36" s="116">
        <f t="shared" si="5"/>
        <v>1</v>
      </c>
      <c r="K36" s="116">
        <f t="shared" si="6"/>
        <v>0</v>
      </c>
      <c r="L36" s="116">
        <f t="shared" si="7"/>
        <v>0</v>
      </c>
      <c r="M36" s="116">
        <f t="shared" si="8"/>
        <v>0</v>
      </c>
      <c r="N36" s="116">
        <f t="shared" si="9"/>
        <v>1</v>
      </c>
    </row>
    <row r="37" spans="1:14" ht="12.75">
      <c r="A37" s="4" t="s">
        <v>33</v>
      </c>
      <c r="B37" s="106">
        <v>0.350159116912715</v>
      </c>
      <c r="C37" s="72">
        <f>Poverty!$B$64</f>
        <v>0.3306078988898021</v>
      </c>
      <c r="D37" s="72">
        <f t="shared" si="0"/>
        <v>0.01955121802291293</v>
      </c>
      <c r="E37" s="72">
        <f>Poverty!$B$65</f>
        <v>0.09835981385755727</v>
      </c>
      <c r="F37" s="107">
        <f t="shared" si="1"/>
        <v>0.19877241788223204</v>
      </c>
      <c r="G37" s="94">
        <f t="shared" si="2"/>
        <v>0</v>
      </c>
      <c r="H37" s="94">
        <f t="shared" si="3"/>
        <v>0</v>
      </c>
      <c r="I37" s="95">
        <f t="shared" si="4"/>
        <v>0</v>
      </c>
      <c r="J37" s="94">
        <f t="shared" si="5"/>
        <v>1</v>
      </c>
      <c r="K37" s="94">
        <f t="shared" si="6"/>
        <v>0</v>
      </c>
      <c r="L37" s="94">
        <f t="shared" si="7"/>
        <v>0</v>
      </c>
      <c r="M37" s="94">
        <f t="shared" si="8"/>
        <v>0</v>
      </c>
      <c r="N37" s="94">
        <f t="shared" si="9"/>
        <v>1</v>
      </c>
    </row>
    <row r="38" spans="1:14" ht="12.75">
      <c r="A38" s="4" t="s">
        <v>34</v>
      </c>
      <c r="B38" s="106">
        <v>0.3185702506911875</v>
      </c>
      <c r="C38" s="72">
        <f>Poverty!$B$64</f>
        <v>0.3306078988898021</v>
      </c>
      <c r="D38" s="72">
        <f t="shared" si="0"/>
        <v>-0.012037648198614581</v>
      </c>
      <c r="E38" s="72">
        <f>Poverty!$B$65</f>
        <v>0.09835981385755727</v>
      </c>
      <c r="F38" s="107">
        <f t="shared" si="1"/>
        <v>-0.1223838041829488</v>
      </c>
      <c r="G38" s="94">
        <f t="shared" si="2"/>
        <v>0</v>
      </c>
      <c r="H38" s="94">
        <f t="shared" si="3"/>
        <v>0</v>
      </c>
      <c r="I38" s="95">
        <f t="shared" si="4"/>
        <v>0</v>
      </c>
      <c r="J38" s="94">
        <f t="shared" si="5"/>
        <v>1</v>
      </c>
      <c r="K38" s="94">
        <f t="shared" si="6"/>
        <v>0</v>
      </c>
      <c r="L38" s="94">
        <f t="shared" si="7"/>
        <v>0</v>
      </c>
      <c r="M38" s="94">
        <f t="shared" si="8"/>
        <v>0</v>
      </c>
      <c r="N38" s="94">
        <f t="shared" si="9"/>
        <v>1</v>
      </c>
    </row>
    <row r="39" spans="1:14" s="46" customFormat="1" ht="12.75">
      <c r="A39" s="39" t="s">
        <v>35</v>
      </c>
      <c r="B39" s="84">
        <v>0.2775383096291514</v>
      </c>
      <c r="C39" s="71">
        <f>Poverty!$B$64</f>
        <v>0.3306078988898021</v>
      </c>
      <c r="D39" s="71">
        <f t="shared" si="0"/>
        <v>-0.053069589260650696</v>
      </c>
      <c r="E39" s="71">
        <f>Poverty!$B$65</f>
        <v>0.09835981385755727</v>
      </c>
      <c r="F39" s="118">
        <f t="shared" si="1"/>
        <v>-0.5395454421813468</v>
      </c>
      <c r="G39" s="116">
        <f t="shared" si="2"/>
        <v>0</v>
      </c>
      <c r="H39" s="116">
        <f t="shared" si="3"/>
        <v>0</v>
      </c>
      <c r="I39" s="115">
        <f t="shared" si="4"/>
        <v>0</v>
      </c>
      <c r="J39" s="116">
        <f t="shared" si="5"/>
        <v>0</v>
      </c>
      <c r="K39" s="116">
        <f t="shared" si="6"/>
        <v>0.875</v>
      </c>
      <c r="L39" s="116">
        <f t="shared" si="7"/>
        <v>0</v>
      </c>
      <c r="M39" s="116">
        <f t="shared" si="8"/>
        <v>0</v>
      </c>
      <c r="N39" s="116">
        <f t="shared" si="9"/>
        <v>0.875</v>
      </c>
    </row>
    <row r="40" spans="1:14" ht="12.75">
      <c r="A40" s="4" t="s">
        <v>36</v>
      </c>
      <c r="B40" s="106">
        <v>0.3736314496964725</v>
      </c>
      <c r="C40" s="72">
        <f>Poverty!$B$64</f>
        <v>0.3306078988898021</v>
      </c>
      <c r="D40" s="72">
        <f t="shared" si="0"/>
        <v>0.04302355080667042</v>
      </c>
      <c r="E40" s="72">
        <f>Poverty!$B$65</f>
        <v>0.09835981385755727</v>
      </c>
      <c r="F40" s="107">
        <f t="shared" si="1"/>
        <v>0.43740984370889796</v>
      </c>
      <c r="G40" s="94">
        <f t="shared" si="2"/>
        <v>0</v>
      </c>
      <c r="H40" s="94">
        <f t="shared" si="3"/>
        <v>0</v>
      </c>
      <c r="I40" s="95">
        <f t="shared" si="4"/>
        <v>1.25</v>
      </c>
      <c r="J40" s="94">
        <f t="shared" si="5"/>
        <v>0</v>
      </c>
      <c r="K40" s="94">
        <f t="shared" si="6"/>
        <v>0</v>
      </c>
      <c r="L40" s="94">
        <f t="shared" si="7"/>
        <v>0</v>
      </c>
      <c r="M40" s="94">
        <f t="shared" si="8"/>
        <v>0</v>
      </c>
      <c r="N40" s="94">
        <f t="shared" si="9"/>
        <v>1.25</v>
      </c>
    </row>
    <row r="41" spans="1:14" ht="12.75">
      <c r="A41" s="4" t="s">
        <v>37</v>
      </c>
      <c r="B41" s="106">
        <v>0.30550931381335933</v>
      </c>
      <c r="C41" s="72">
        <f>Poverty!$B$64</f>
        <v>0.3306078988898021</v>
      </c>
      <c r="D41" s="72">
        <f t="shared" si="0"/>
        <v>-0.025098585076442748</v>
      </c>
      <c r="E41" s="72">
        <f>Poverty!$B$65</f>
        <v>0.09835981385755727</v>
      </c>
      <c r="F41" s="107">
        <f t="shared" si="1"/>
        <v>-0.2551711323161919</v>
      </c>
      <c r="G41" s="94">
        <f t="shared" si="2"/>
        <v>0</v>
      </c>
      <c r="H41" s="94">
        <f t="shared" si="3"/>
        <v>0</v>
      </c>
      <c r="I41" s="95">
        <f t="shared" si="4"/>
        <v>0</v>
      </c>
      <c r="J41" s="94">
        <f t="shared" si="5"/>
        <v>0</v>
      </c>
      <c r="K41" s="94">
        <f t="shared" si="6"/>
        <v>0.875</v>
      </c>
      <c r="L41" s="94">
        <f t="shared" si="7"/>
        <v>0</v>
      </c>
      <c r="M41" s="94">
        <f t="shared" si="8"/>
        <v>0</v>
      </c>
      <c r="N41" s="94">
        <f t="shared" si="9"/>
        <v>0.875</v>
      </c>
    </row>
    <row r="42" spans="1:14" ht="12.75">
      <c r="A42" s="4" t="s">
        <v>38</v>
      </c>
      <c r="B42" s="106">
        <v>0.2595367384589655</v>
      </c>
      <c r="C42" s="72">
        <f>Poverty!$B$64</f>
        <v>0.3306078988898021</v>
      </c>
      <c r="D42" s="72">
        <f t="shared" si="0"/>
        <v>-0.07107116043083656</v>
      </c>
      <c r="E42" s="72">
        <f>Poverty!$B$65</f>
        <v>0.09835981385755727</v>
      </c>
      <c r="F42" s="107">
        <f t="shared" si="1"/>
        <v>-0.7225629822130448</v>
      </c>
      <c r="G42" s="94">
        <f t="shared" si="2"/>
        <v>0</v>
      </c>
      <c r="H42" s="94">
        <f t="shared" si="3"/>
        <v>0</v>
      </c>
      <c r="I42" s="95">
        <f t="shared" si="4"/>
        <v>0</v>
      </c>
      <c r="J42" s="94">
        <f t="shared" si="5"/>
        <v>0</v>
      </c>
      <c r="K42" s="94">
        <f t="shared" si="6"/>
        <v>0.875</v>
      </c>
      <c r="L42" s="94">
        <f t="shared" si="7"/>
        <v>0</v>
      </c>
      <c r="M42" s="94">
        <f t="shared" si="8"/>
        <v>0</v>
      </c>
      <c r="N42" s="94">
        <f t="shared" si="9"/>
        <v>0.875</v>
      </c>
    </row>
    <row r="43" spans="1:14" ht="12.75">
      <c r="A43" s="4" t="s">
        <v>39</v>
      </c>
      <c r="B43" s="106">
        <v>0.38067560999674765</v>
      </c>
      <c r="C43" s="72">
        <f>Poverty!$B$64</f>
        <v>0.3306078988898021</v>
      </c>
      <c r="D43" s="72">
        <f t="shared" si="0"/>
        <v>0.05006771110694558</v>
      </c>
      <c r="E43" s="72">
        <f>Poverty!$B$65</f>
        <v>0.09835981385755727</v>
      </c>
      <c r="F43" s="107">
        <f t="shared" si="1"/>
        <v>0.5090260864000072</v>
      </c>
      <c r="G43" s="94">
        <f t="shared" si="2"/>
        <v>0</v>
      </c>
      <c r="H43" s="94">
        <f t="shared" si="3"/>
        <v>0</v>
      </c>
      <c r="I43" s="95">
        <f t="shared" si="4"/>
        <v>1.25</v>
      </c>
      <c r="J43" s="94">
        <f t="shared" si="5"/>
        <v>0</v>
      </c>
      <c r="K43" s="94">
        <f t="shared" si="6"/>
        <v>0</v>
      </c>
      <c r="L43" s="94">
        <f t="shared" si="7"/>
        <v>0</v>
      </c>
      <c r="M43" s="94">
        <f t="shared" si="8"/>
        <v>0</v>
      </c>
      <c r="N43" s="94">
        <f t="shared" si="9"/>
        <v>1.25</v>
      </c>
    </row>
    <row r="44" spans="1:14" ht="12.75">
      <c r="A44" s="4" t="s">
        <v>40</v>
      </c>
      <c r="B44" s="106">
        <v>0.29755130194861185</v>
      </c>
      <c r="C44" s="72">
        <f>Poverty!$B$64</f>
        <v>0.3306078988898021</v>
      </c>
      <c r="D44" s="72">
        <f t="shared" si="0"/>
        <v>-0.03305659694119023</v>
      </c>
      <c r="E44" s="72">
        <f>Poverty!$B$65</f>
        <v>0.09835981385755727</v>
      </c>
      <c r="F44" s="107">
        <f t="shared" si="1"/>
        <v>-0.3360782787680154</v>
      </c>
      <c r="G44" s="94">
        <f t="shared" si="2"/>
        <v>0</v>
      </c>
      <c r="H44" s="94">
        <f t="shared" si="3"/>
        <v>0</v>
      </c>
      <c r="I44" s="95">
        <f t="shared" si="4"/>
        <v>0</v>
      </c>
      <c r="J44" s="94">
        <f t="shared" si="5"/>
        <v>0</v>
      </c>
      <c r="K44" s="94">
        <f t="shared" si="6"/>
        <v>0.875</v>
      </c>
      <c r="L44" s="94">
        <f t="shared" si="7"/>
        <v>0</v>
      </c>
      <c r="M44" s="94">
        <f t="shared" si="8"/>
        <v>0</v>
      </c>
      <c r="N44" s="94">
        <f t="shared" si="9"/>
        <v>0.875</v>
      </c>
    </row>
    <row r="45" spans="1:14" ht="12.75">
      <c r="A45" s="4" t="s">
        <v>41</v>
      </c>
      <c r="B45" s="106">
        <v>0.15840917137414373</v>
      </c>
      <c r="C45" s="72">
        <f>Poverty!$B$64</f>
        <v>0.3306078988898021</v>
      </c>
      <c r="D45" s="72">
        <f t="shared" si="0"/>
        <v>-0.17219872751565835</v>
      </c>
      <c r="E45" s="72">
        <f>Poverty!$B$65</f>
        <v>0.09835981385755727</v>
      </c>
      <c r="F45" s="107">
        <f t="shared" si="1"/>
        <v>-1.7507020475357256</v>
      </c>
      <c r="G45" s="94">
        <f t="shared" si="2"/>
        <v>0</v>
      </c>
      <c r="H45" s="94">
        <f t="shared" si="3"/>
        <v>0</v>
      </c>
      <c r="I45" s="95">
        <f t="shared" si="4"/>
        <v>0</v>
      </c>
      <c r="J45" s="94">
        <f t="shared" si="5"/>
        <v>0</v>
      </c>
      <c r="K45" s="94">
        <f t="shared" si="6"/>
        <v>0</v>
      </c>
      <c r="L45" s="94">
        <f t="shared" si="7"/>
        <v>0</v>
      </c>
      <c r="M45" s="94">
        <f t="shared" si="8"/>
        <v>0.5</v>
      </c>
      <c r="N45" s="94">
        <f t="shared" si="9"/>
        <v>0.5</v>
      </c>
    </row>
    <row r="46" spans="1:14" ht="12.75">
      <c r="A46" s="4" t="s">
        <v>42</v>
      </c>
      <c r="B46" s="106">
        <v>0.3380310627496671</v>
      </c>
      <c r="C46" s="72">
        <f>Poverty!$B$64</f>
        <v>0.3306078988898021</v>
      </c>
      <c r="D46" s="72">
        <f t="shared" si="0"/>
        <v>0.007423163859865023</v>
      </c>
      <c r="E46" s="72">
        <f>Poverty!$B$65</f>
        <v>0.09835981385755727</v>
      </c>
      <c r="F46" s="107">
        <f t="shared" si="1"/>
        <v>0.07546947852722762</v>
      </c>
      <c r="G46" s="94">
        <f t="shared" si="2"/>
        <v>0</v>
      </c>
      <c r="H46" s="94">
        <f t="shared" si="3"/>
        <v>0</v>
      </c>
      <c r="I46" s="95">
        <f t="shared" si="4"/>
        <v>0</v>
      </c>
      <c r="J46" s="94">
        <f t="shared" si="5"/>
        <v>1</v>
      </c>
      <c r="K46" s="94">
        <f t="shared" si="6"/>
        <v>0</v>
      </c>
      <c r="L46" s="94">
        <f t="shared" si="7"/>
        <v>0</v>
      </c>
      <c r="M46" s="94">
        <f t="shared" si="8"/>
        <v>0</v>
      </c>
      <c r="N46" s="94">
        <f t="shared" si="9"/>
        <v>1</v>
      </c>
    </row>
    <row r="47" spans="1:14" ht="12.75">
      <c r="A47" s="4" t="s">
        <v>43</v>
      </c>
      <c r="B47" s="106">
        <v>0.1794989026513564</v>
      </c>
      <c r="C47" s="72">
        <f>Poverty!$B$64</f>
        <v>0.3306078988898021</v>
      </c>
      <c r="D47" s="72">
        <f t="shared" si="0"/>
        <v>-0.15110899623844568</v>
      </c>
      <c r="E47" s="72">
        <f>Poverty!$B$65</f>
        <v>0.09835981385755727</v>
      </c>
      <c r="F47" s="107">
        <f t="shared" si="1"/>
        <v>-1.5362879443557989</v>
      </c>
      <c r="G47" s="94">
        <f t="shared" si="2"/>
        <v>0</v>
      </c>
      <c r="H47" s="94">
        <f t="shared" si="3"/>
        <v>0</v>
      </c>
      <c r="I47" s="95">
        <f t="shared" si="4"/>
        <v>0</v>
      </c>
      <c r="J47" s="94">
        <f t="shared" si="5"/>
        <v>0</v>
      </c>
      <c r="K47" s="94">
        <f t="shared" si="6"/>
        <v>0</v>
      </c>
      <c r="L47" s="94">
        <f t="shared" si="7"/>
        <v>0</v>
      </c>
      <c r="M47" s="94">
        <f t="shared" si="8"/>
        <v>0.5</v>
      </c>
      <c r="N47" s="94">
        <f t="shared" si="9"/>
        <v>0.5</v>
      </c>
    </row>
    <row r="48" spans="1:14" ht="12.75">
      <c r="A48" s="4" t="s">
        <v>44</v>
      </c>
      <c r="B48" s="106">
        <v>0.28449480871005534</v>
      </c>
      <c r="C48" s="72">
        <f>Poverty!$B$64</f>
        <v>0.3306078988898021</v>
      </c>
      <c r="D48" s="72">
        <f t="shared" si="0"/>
        <v>-0.04611309017974674</v>
      </c>
      <c r="E48" s="72">
        <f>Poverty!$B$65</f>
        <v>0.09835981385755727</v>
      </c>
      <c r="F48" s="107">
        <f t="shared" si="1"/>
        <v>-0.46882042951531816</v>
      </c>
      <c r="G48" s="94">
        <f t="shared" si="2"/>
        <v>0</v>
      </c>
      <c r="H48" s="94">
        <f t="shared" si="3"/>
        <v>0</v>
      </c>
      <c r="I48" s="95">
        <f t="shared" si="4"/>
        <v>0</v>
      </c>
      <c r="J48" s="94">
        <f t="shared" si="5"/>
        <v>0</v>
      </c>
      <c r="K48" s="94">
        <f t="shared" si="6"/>
        <v>0.875</v>
      </c>
      <c r="L48" s="94">
        <f t="shared" si="7"/>
        <v>0</v>
      </c>
      <c r="M48" s="94">
        <f t="shared" si="8"/>
        <v>0</v>
      </c>
      <c r="N48" s="94">
        <f t="shared" si="9"/>
        <v>0.875</v>
      </c>
    </row>
    <row r="49" spans="1:14" ht="12.75">
      <c r="A49" s="4" t="s">
        <v>45</v>
      </c>
      <c r="B49" s="106">
        <v>0.36528324068110335</v>
      </c>
      <c r="C49" s="72">
        <f>Poverty!$B$64</f>
        <v>0.3306078988898021</v>
      </c>
      <c r="D49" s="72">
        <f t="shared" si="0"/>
        <v>0.03467534179130127</v>
      </c>
      <c r="E49" s="72">
        <f>Poverty!$B$65</f>
        <v>0.09835981385755727</v>
      </c>
      <c r="F49" s="107">
        <f t="shared" si="1"/>
        <v>0.35253565893808436</v>
      </c>
      <c r="G49" s="94">
        <f t="shared" si="2"/>
        <v>0</v>
      </c>
      <c r="H49" s="94">
        <f t="shared" si="3"/>
        <v>0</v>
      </c>
      <c r="I49" s="95">
        <f t="shared" si="4"/>
        <v>1.25</v>
      </c>
      <c r="J49" s="94">
        <f t="shared" si="5"/>
        <v>0</v>
      </c>
      <c r="K49" s="94">
        <f t="shared" si="6"/>
        <v>0</v>
      </c>
      <c r="L49" s="94">
        <f t="shared" si="7"/>
        <v>0</v>
      </c>
      <c r="M49" s="94">
        <f t="shared" si="8"/>
        <v>0</v>
      </c>
      <c r="N49" s="94">
        <f t="shared" si="9"/>
        <v>1.25</v>
      </c>
    </row>
    <row r="50" spans="1:14" s="46" customFormat="1" ht="12.75">
      <c r="A50" s="39" t="s">
        <v>46</v>
      </c>
      <c r="B50" s="84">
        <v>0.310099573257468</v>
      </c>
      <c r="C50" s="71">
        <f>Poverty!$B$64</f>
        <v>0.3306078988898021</v>
      </c>
      <c r="D50" s="71">
        <f t="shared" si="0"/>
        <v>-0.020508325632334068</v>
      </c>
      <c r="E50" s="71">
        <f>Poverty!$B$65</f>
        <v>0.09835981385755727</v>
      </c>
      <c r="F50" s="118">
        <f t="shared" si="1"/>
        <v>-0.20850309519733148</v>
      </c>
      <c r="G50" s="116">
        <f t="shared" si="2"/>
        <v>0</v>
      </c>
      <c r="H50" s="116">
        <f t="shared" si="3"/>
        <v>0</v>
      </c>
      <c r="I50" s="115">
        <f t="shared" si="4"/>
        <v>0</v>
      </c>
      <c r="J50" s="116">
        <f t="shared" si="5"/>
        <v>1</v>
      </c>
      <c r="K50" s="116">
        <f t="shared" si="6"/>
        <v>0</v>
      </c>
      <c r="L50" s="116">
        <f t="shared" si="7"/>
        <v>0</v>
      </c>
      <c r="M50" s="116">
        <f t="shared" si="8"/>
        <v>0</v>
      </c>
      <c r="N50" s="116">
        <f t="shared" si="9"/>
        <v>1</v>
      </c>
    </row>
    <row r="51" spans="1:14" s="46" customFormat="1" ht="12.75">
      <c r="A51" s="39" t="s">
        <v>47</v>
      </c>
      <c r="B51" s="84">
        <v>0.42149705942927757</v>
      </c>
      <c r="C51" s="71">
        <f>Poverty!$B$64</f>
        <v>0.3306078988898021</v>
      </c>
      <c r="D51" s="71">
        <f t="shared" si="0"/>
        <v>0.09088916053947549</v>
      </c>
      <c r="E51" s="71">
        <f>Poverty!$B$65</f>
        <v>0.09835981385755727</v>
      </c>
      <c r="F51" s="118">
        <f t="shared" si="1"/>
        <v>0.9240477078484448</v>
      </c>
      <c r="G51" s="116">
        <f t="shared" si="2"/>
        <v>0</v>
      </c>
      <c r="H51" s="116">
        <f t="shared" si="3"/>
        <v>1.5</v>
      </c>
      <c r="I51" s="115">
        <f t="shared" si="4"/>
        <v>0</v>
      </c>
      <c r="J51" s="116">
        <f t="shared" si="5"/>
        <v>0</v>
      </c>
      <c r="K51" s="116">
        <f t="shared" si="6"/>
        <v>0</v>
      </c>
      <c r="L51" s="116">
        <f t="shared" si="7"/>
        <v>0</v>
      </c>
      <c r="M51" s="116">
        <f t="shared" si="8"/>
        <v>0</v>
      </c>
      <c r="N51" s="116">
        <f t="shared" si="9"/>
        <v>1.5</v>
      </c>
    </row>
    <row r="52" spans="1:14" ht="12.75">
      <c r="A52" s="4" t="s">
        <v>48</v>
      </c>
      <c r="B52" s="106">
        <v>0.22552592150220252</v>
      </c>
      <c r="C52" s="72">
        <f>Poverty!$B$64</f>
        <v>0.3306078988898021</v>
      </c>
      <c r="D52" s="72">
        <f t="shared" si="0"/>
        <v>-0.10508197738759956</v>
      </c>
      <c r="E52" s="72">
        <f>Poverty!$B$65</f>
        <v>0.09835981385755727</v>
      </c>
      <c r="F52" s="107">
        <f t="shared" si="1"/>
        <v>-1.0683425808407607</v>
      </c>
      <c r="G52" s="94">
        <f t="shared" si="2"/>
        <v>0</v>
      </c>
      <c r="H52" s="94">
        <f t="shared" si="3"/>
        <v>0</v>
      </c>
      <c r="I52" s="95">
        <f t="shared" si="4"/>
        <v>0</v>
      </c>
      <c r="J52" s="94">
        <f t="shared" si="5"/>
        <v>0</v>
      </c>
      <c r="K52" s="94">
        <f t="shared" si="6"/>
        <v>0</v>
      </c>
      <c r="L52" s="94">
        <f t="shared" si="7"/>
        <v>0.75</v>
      </c>
      <c r="M52" s="94">
        <f t="shared" si="8"/>
        <v>0</v>
      </c>
      <c r="N52" s="94">
        <f t="shared" si="9"/>
        <v>0.75</v>
      </c>
    </row>
    <row r="53" spans="1:14" ht="12.75">
      <c r="A53" s="4" t="s">
        <v>49</v>
      </c>
      <c r="B53" s="106">
        <v>0.22191534872380278</v>
      </c>
      <c r="C53" s="72">
        <f>Poverty!$B$64</f>
        <v>0.3306078988898021</v>
      </c>
      <c r="D53" s="72">
        <f t="shared" si="0"/>
        <v>-0.1086925501659993</v>
      </c>
      <c r="E53" s="72">
        <f>Poverty!$B$65</f>
        <v>0.09835981385755727</v>
      </c>
      <c r="F53" s="107">
        <f t="shared" si="1"/>
        <v>-1.105050384940802</v>
      </c>
      <c r="G53" s="94">
        <f t="shared" si="2"/>
        <v>0</v>
      </c>
      <c r="H53" s="94">
        <f t="shared" si="3"/>
        <v>0</v>
      </c>
      <c r="I53" s="95">
        <f t="shared" si="4"/>
        <v>0</v>
      </c>
      <c r="J53" s="94">
        <f t="shared" si="5"/>
        <v>0</v>
      </c>
      <c r="K53" s="94">
        <f t="shared" si="6"/>
        <v>0</v>
      </c>
      <c r="L53" s="94">
        <f t="shared" si="7"/>
        <v>0.75</v>
      </c>
      <c r="M53" s="94">
        <f t="shared" si="8"/>
        <v>0</v>
      </c>
      <c r="N53" s="94">
        <f t="shared" si="9"/>
        <v>0.75</v>
      </c>
    </row>
    <row r="54" spans="1:14" ht="12.75">
      <c r="A54" s="4" t="s">
        <v>50</v>
      </c>
      <c r="B54" s="106">
        <v>0.38496642101104767</v>
      </c>
      <c r="C54" s="72">
        <f>Poverty!$B$64</f>
        <v>0.3306078988898021</v>
      </c>
      <c r="D54" s="72">
        <f t="shared" si="0"/>
        <v>0.05435852212124559</v>
      </c>
      <c r="E54" s="72">
        <f>Poverty!$B$65</f>
        <v>0.09835981385755727</v>
      </c>
      <c r="F54" s="107">
        <f t="shared" si="1"/>
        <v>0.5526497050916193</v>
      </c>
      <c r="G54" s="94">
        <f t="shared" si="2"/>
        <v>0</v>
      </c>
      <c r="H54" s="94">
        <f t="shared" si="3"/>
        <v>0</v>
      </c>
      <c r="I54" s="95">
        <f t="shared" si="4"/>
        <v>1.25</v>
      </c>
      <c r="J54" s="94">
        <f t="shared" si="5"/>
        <v>0</v>
      </c>
      <c r="K54" s="94">
        <f t="shared" si="6"/>
        <v>0</v>
      </c>
      <c r="L54" s="94">
        <f t="shared" si="7"/>
        <v>0</v>
      </c>
      <c r="M54" s="94">
        <f t="shared" si="8"/>
        <v>0</v>
      </c>
      <c r="N54" s="94">
        <f t="shared" si="9"/>
        <v>1.25</v>
      </c>
    </row>
    <row r="55" spans="1:14" ht="12.75">
      <c r="A55" s="4" t="s">
        <v>51</v>
      </c>
      <c r="B55" s="106">
        <v>0.38176181865151126</v>
      </c>
      <c r="C55" s="72">
        <f>Poverty!$B$64</f>
        <v>0.3306078988898021</v>
      </c>
      <c r="D55" s="72">
        <f t="shared" si="0"/>
        <v>0.05115391976170919</v>
      </c>
      <c r="E55" s="72">
        <f>Poverty!$B$65</f>
        <v>0.09835981385755727</v>
      </c>
      <c r="F55" s="107">
        <f t="shared" si="1"/>
        <v>0.5200693022435898</v>
      </c>
      <c r="G55" s="94">
        <f t="shared" si="2"/>
        <v>0</v>
      </c>
      <c r="H55" s="94">
        <f t="shared" si="3"/>
        <v>0</v>
      </c>
      <c r="I55" s="95">
        <f t="shared" si="4"/>
        <v>1.25</v>
      </c>
      <c r="J55" s="94">
        <f t="shared" si="5"/>
        <v>0</v>
      </c>
      <c r="K55" s="94">
        <f t="shared" si="6"/>
        <v>0</v>
      </c>
      <c r="L55" s="94">
        <f t="shared" si="7"/>
        <v>0</v>
      </c>
      <c r="M55" s="94">
        <f t="shared" si="8"/>
        <v>0</v>
      </c>
      <c r="N55" s="94">
        <f t="shared" si="9"/>
        <v>1.25</v>
      </c>
    </row>
    <row r="56" spans="1:14" s="46" customFormat="1" ht="12.75">
      <c r="A56" s="39" t="s">
        <v>52</v>
      </c>
      <c r="B56" s="84">
        <v>0.41493610223642174</v>
      </c>
      <c r="C56" s="71">
        <f>Poverty!$B$64</f>
        <v>0.3306078988898021</v>
      </c>
      <c r="D56" s="71">
        <f t="shared" si="0"/>
        <v>0.08432820334661967</v>
      </c>
      <c r="E56" s="71">
        <f>Poverty!$B$65</f>
        <v>0.09835981385755727</v>
      </c>
      <c r="F56" s="118">
        <f t="shared" si="1"/>
        <v>0.8573440721303326</v>
      </c>
      <c r="G56" s="116">
        <f t="shared" si="2"/>
        <v>0</v>
      </c>
      <c r="H56" s="116">
        <f t="shared" si="3"/>
        <v>1.5</v>
      </c>
      <c r="I56" s="115">
        <f t="shared" si="4"/>
        <v>0</v>
      </c>
      <c r="J56" s="116">
        <f t="shared" si="5"/>
        <v>0</v>
      </c>
      <c r="K56" s="116">
        <f t="shared" si="6"/>
        <v>0</v>
      </c>
      <c r="L56" s="116">
        <f t="shared" si="7"/>
        <v>0</v>
      </c>
      <c r="M56" s="116">
        <f t="shared" si="8"/>
        <v>0</v>
      </c>
      <c r="N56" s="116">
        <f t="shared" si="9"/>
        <v>1.5</v>
      </c>
    </row>
    <row r="57" spans="1:14" s="46" customFormat="1" ht="12.75">
      <c r="A57" s="39" t="s">
        <v>53</v>
      </c>
      <c r="B57" s="84">
        <v>0.43291915696759986</v>
      </c>
      <c r="C57" s="71">
        <f>Poverty!$B$64</f>
        <v>0.3306078988898021</v>
      </c>
      <c r="D57" s="71">
        <f t="shared" si="0"/>
        <v>0.10231125807779778</v>
      </c>
      <c r="E57" s="71">
        <f>Poverty!$B$65</f>
        <v>0.09835981385755727</v>
      </c>
      <c r="F57" s="118">
        <f t="shared" si="1"/>
        <v>1.0401733600875143</v>
      </c>
      <c r="G57" s="116">
        <f t="shared" si="2"/>
        <v>0</v>
      </c>
      <c r="H57" s="116">
        <f t="shared" si="3"/>
        <v>1.5</v>
      </c>
      <c r="I57" s="115">
        <f t="shared" si="4"/>
        <v>0</v>
      </c>
      <c r="J57" s="116">
        <f t="shared" si="5"/>
        <v>0</v>
      </c>
      <c r="K57" s="116">
        <f t="shared" si="6"/>
        <v>0</v>
      </c>
      <c r="L57" s="116">
        <f t="shared" si="7"/>
        <v>0</v>
      </c>
      <c r="M57" s="116">
        <f t="shared" si="8"/>
        <v>0</v>
      </c>
      <c r="N57" s="116">
        <f t="shared" si="9"/>
        <v>1.5</v>
      </c>
    </row>
    <row r="58" spans="1:14" ht="12.75">
      <c r="A58" s="4" t="s">
        <v>54</v>
      </c>
      <c r="B58" s="106">
        <v>0.5096288196342871</v>
      </c>
      <c r="C58" s="72">
        <f>Poverty!$B$64</f>
        <v>0.3306078988898021</v>
      </c>
      <c r="D58" s="72">
        <f t="shared" si="0"/>
        <v>0.179020920744485</v>
      </c>
      <c r="E58" s="72">
        <f>Poverty!$B$65</f>
        <v>0.09835981385755727</v>
      </c>
      <c r="F58" s="107">
        <f t="shared" si="1"/>
        <v>1.8200616056852197</v>
      </c>
      <c r="G58" s="94">
        <f t="shared" si="2"/>
        <v>2</v>
      </c>
      <c r="H58" s="94">
        <f t="shared" si="3"/>
        <v>0</v>
      </c>
      <c r="I58" s="95">
        <f t="shared" si="4"/>
        <v>0</v>
      </c>
      <c r="J58" s="94">
        <f t="shared" si="5"/>
        <v>0</v>
      </c>
      <c r="K58" s="94">
        <f t="shared" si="6"/>
        <v>0</v>
      </c>
      <c r="L58" s="94">
        <f t="shared" si="7"/>
        <v>0</v>
      </c>
      <c r="M58" s="94">
        <f t="shared" si="8"/>
        <v>0</v>
      </c>
      <c r="N58" s="94">
        <f t="shared" si="9"/>
        <v>2</v>
      </c>
    </row>
    <row r="59" spans="1:14" s="46" customFormat="1" ht="12.75">
      <c r="A59" s="39" t="s">
        <v>55</v>
      </c>
      <c r="B59" s="84">
        <v>0.2951544506300621</v>
      </c>
      <c r="C59" s="71">
        <f>Poverty!$B$64</f>
        <v>0.3306078988898021</v>
      </c>
      <c r="D59" s="71">
        <f t="shared" si="0"/>
        <v>-0.03545344825973995</v>
      </c>
      <c r="E59" s="71">
        <f>Poverty!$B$65</f>
        <v>0.09835981385755727</v>
      </c>
      <c r="F59" s="118">
        <f t="shared" si="1"/>
        <v>-0.36044647574346705</v>
      </c>
      <c r="G59" s="116">
        <f t="shared" si="2"/>
        <v>0</v>
      </c>
      <c r="H59" s="116">
        <f t="shared" si="3"/>
        <v>0</v>
      </c>
      <c r="I59" s="115">
        <f t="shared" si="4"/>
        <v>0</v>
      </c>
      <c r="J59" s="116">
        <f t="shared" si="5"/>
        <v>0</v>
      </c>
      <c r="K59" s="116">
        <f t="shared" si="6"/>
        <v>0.875</v>
      </c>
      <c r="L59" s="116">
        <f t="shared" si="7"/>
        <v>0</v>
      </c>
      <c r="M59" s="116">
        <f t="shared" si="8"/>
        <v>0</v>
      </c>
      <c r="N59" s="116">
        <f t="shared" si="9"/>
        <v>0.875</v>
      </c>
    </row>
    <row r="60" spans="1:14" ht="12.75">
      <c r="A60" s="4" t="s">
        <v>56</v>
      </c>
      <c r="B60" s="106">
        <v>0.24524147966504758</v>
      </c>
      <c r="C60" s="72">
        <f>Poverty!$B$64</f>
        <v>0.3306078988898021</v>
      </c>
      <c r="D60" s="72">
        <f t="shared" si="0"/>
        <v>-0.08536641922475449</v>
      </c>
      <c r="E60" s="72">
        <f>Poverty!$B$65</f>
        <v>0.09835981385755727</v>
      </c>
      <c r="F60" s="107">
        <f t="shared" si="1"/>
        <v>-0.8678993572352673</v>
      </c>
      <c r="G60" s="94">
        <f t="shared" si="2"/>
        <v>0</v>
      </c>
      <c r="H60" s="94">
        <f t="shared" si="3"/>
        <v>0</v>
      </c>
      <c r="I60" s="95">
        <f t="shared" si="4"/>
        <v>0</v>
      </c>
      <c r="J60" s="94">
        <f t="shared" si="5"/>
        <v>0</v>
      </c>
      <c r="K60" s="94">
        <f t="shared" si="6"/>
        <v>0</v>
      </c>
      <c r="L60" s="94">
        <f t="shared" si="7"/>
        <v>0.75</v>
      </c>
      <c r="M60" s="94">
        <f t="shared" si="8"/>
        <v>0</v>
      </c>
      <c r="N60" s="94">
        <f t="shared" si="9"/>
        <v>0.75</v>
      </c>
    </row>
    <row r="61" spans="1:14" ht="12.75">
      <c r="A61" s="4" t="s">
        <v>57</v>
      </c>
      <c r="B61" s="106">
        <v>0.36968628007227833</v>
      </c>
      <c r="C61" s="72">
        <f>Poverty!$B$64</f>
        <v>0.3306078988898021</v>
      </c>
      <c r="D61" s="72">
        <f t="shared" si="0"/>
        <v>0.03907838118247625</v>
      </c>
      <c r="E61" s="72">
        <f>Poverty!$B$65</f>
        <v>0.09835981385755727</v>
      </c>
      <c r="F61" s="107">
        <f t="shared" si="1"/>
        <v>0.39730027589386036</v>
      </c>
      <c r="G61" s="94">
        <f t="shared" si="2"/>
        <v>0</v>
      </c>
      <c r="H61" s="94">
        <f t="shared" si="3"/>
        <v>0</v>
      </c>
      <c r="I61" s="95">
        <f t="shared" si="4"/>
        <v>1.25</v>
      </c>
      <c r="J61" s="94">
        <f t="shared" si="5"/>
        <v>0</v>
      </c>
      <c r="K61" s="94">
        <f t="shared" si="6"/>
        <v>0</v>
      </c>
      <c r="L61" s="94">
        <f t="shared" si="7"/>
        <v>0</v>
      </c>
      <c r="M61" s="94">
        <f t="shared" si="8"/>
        <v>0</v>
      </c>
      <c r="N61" s="94">
        <f t="shared" si="9"/>
        <v>1.25</v>
      </c>
    </row>
    <row r="62" spans="1:23" s="26" customFormat="1" ht="12.75">
      <c r="A62" s="22" t="s">
        <v>58</v>
      </c>
      <c r="B62" s="106">
        <v>0.4871541501976285</v>
      </c>
      <c r="C62" s="72">
        <f>Poverty!$B$64</f>
        <v>0.3306078988898021</v>
      </c>
      <c r="D62" s="72">
        <f t="shared" si="0"/>
        <v>0.1565462513078264</v>
      </c>
      <c r="E62" s="72">
        <f>Poverty!$B$65</f>
        <v>0.09835981385755727</v>
      </c>
      <c r="F62" s="107">
        <f t="shared" si="1"/>
        <v>1.5915671773691396</v>
      </c>
      <c r="G62" s="94">
        <f t="shared" si="2"/>
        <v>2</v>
      </c>
      <c r="H62" s="94">
        <f t="shared" si="3"/>
        <v>0</v>
      </c>
      <c r="I62" s="95">
        <f t="shared" si="4"/>
        <v>0</v>
      </c>
      <c r="J62" s="94">
        <f t="shared" si="5"/>
        <v>0</v>
      </c>
      <c r="K62" s="94">
        <f t="shared" si="6"/>
        <v>0</v>
      </c>
      <c r="L62" s="94">
        <f t="shared" si="7"/>
        <v>0</v>
      </c>
      <c r="M62" s="94">
        <f t="shared" si="8"/>
        <v>0</v>
      </c>
      <c r="N62" s="94">
        <f t="shared" si="9"/>
        <v>2</v>
      </c>
      <c r="O62" s="97"/>
      <c r="P62" s="97"/>
      <c r="Q62" s="97"/>
      <c r="R62" s="97"/>
      <c r="S62" s="97"/>
      <c r="T62" s="97"/>
      <c r="U62" s="97"/>
      <c r="V62" s="97"/>
      <c r="W62" s="97"/>
    </row>
    <row r="63" spans="1:23" s="5" customFormat="1" ht="12.75">
      <c r="A63" s="9"/>
      <c r="B63" s="108"/>
      <c r="C63" s="109"/>
      <c r="D63" s="109"/>
      <c r="E63" s="109"/>
      <c r="F63" s="110"/>
      <c r="G63" s="109"/>
      <c r="H63" s="109"/>
      <c r="I63" s="109"/>
      <c r="J63" s="109"/>
      <c r="K63" s="109"/>
      <c r="L63" s="109"/>
      <c r="M63" s="109"/>
      <c r="N63" s="109"/>
      <c r="O63" s="101"/>
      <c r="P63" s="101"/>
      <c r="Q63" s="101"/>
      <c r="R63" s="101"/>
      <c r="S63" s="101"/>
      <c r="T63" s="101"/>
      <c r="U63" s="101"/>
      <c r="V63" s="101"/>
      <c r="W63" s="101"/>
    </row>
    <row r="64" spans="1:23" s="6" customFormat="1" ht="12.75">
      <c r="A64" s="8" t="s">
        <v>69</v>
      </c>
      <c r="B64" s="111">
        <v>0.3306078988898021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91"/>
      <c r="P64" s="91"/>
      <c r="Q64" s="91"/>
      <c r="R64" s="91"/>
      <c r="S64" s="91"/>
      <c r="T64" s="91"/>
      <c r="U64" s="91"/>
      <c r="V64" s="91"/>
      <c r="W64" s="91"/>
    </row>
    <row r="65" spans="1:2" ht="12.75">
      <c r="A65" s="3" t="s">
        <v>86</v>
      </c>
      <c r="B65" s="112">
        <f>STDEV(B5:B62)</f>
        <v>0.09835981385755727</v>
      </c>
    </row>
  </sheetData>
  <sheetProtection/>
  <printOptions horizontalCentered="1"/>
  <pageMargins left="0.25" right="0.25" top="0.75" bottom="0.75" header="0.25" footer="0.5"/>
  <pageSetup fitToHeight="2" fitToWidth="1" horizontalDpi="600" verticalDpi="600" orientation="portrait" scale="69" r:id="rId1"/>
  <headerFooter alignWithMargins="0">
    <oddHeader>&amp;CCALIFORNIA TAX CREDIT ALLOCATION COMMITTEE&amp;"Arial,Bold Italic"&amp;12
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6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7109375" style="3" customWidth="1"/>
    <col min="2" max="4" width="10.7109375" style="2" customWidth="1"/>
    <col min="5" max="5" width="7.57421875" style="2" bestFit="1" customWidth="1"/>
    <col min="6" max="6" width="8.140625" style="2" bestFit="1" customWidth="1"/>
    <col min="7" max="7" width="7.7109375" style="2" customWidth="1"/>
    <col min="8" max="8" width="9.7109375" style="2" customWidth="1"/>
    <col min="9" max="9" width="8.421875" style="2" bestFit="1" customWidth="1"/>
    <col min="10" max="10" width="9.421875" style="2" bestFit="1" customWidth="1"/>
    <col min="11" max="17" width="8.28125" style="2" customWidth="1"/>
    <col min="18" max="18" width="11.28125" style="2" customWidth="1"/>
    <col min="19" max="16384" width="9.140625" style="2" customWidth="1"/>
  </cols>
  <sheetData>
    <row r="3" spans="1:18" s="78" customFormat="1" ht="38.25">
      <c r="A3" s="14" t="s">
        <v>68</v>
      </c>
      <c r="B3" s="16" t="s">
        <v>112</v>
      </c>
      <c r="C3" s="16" t="s">
        <v>113</v>
      </c>
      <c r="D3" s="74" t="s">
        <v>114</v>
      </c>
      <c r="E3" s="74" t="s">
        <v>83</v>
      </c>
      <c r="F3" s="74" t="s">
        <v>84</v>
      </c>
      <c r="G3" s="74" t="s">
        <v>87</v>
      </c>
      <c r="H3" s="74" t="s">
        <v>89</v>
      </c>
      <c r="I3" s="74" t="s">
        <v>86</v>
      </c>
      <c r="J3" s="74" t="s">
        <v>90</v>
      </c>
      <c r="K3" s="77" t="s">
        <v>100</v>
      </c>
      <c r="L3" s="77" t="s">
        <v>101</v>
      </c>
      <c r="M3" s="77" t="s">
        <v>102</v>
      </c>
      <c r="N3" s="77" t="s">
        <v>103</v>
      </c>
      <c r="O3" s="77" t="s">
        <v>104</v>
      </c>
      <c r="P3" s="77" t="s">
        <v>105</v>
      </c>
      <c r="Q3" s="77" t="s">
        <v>106</v>
      </c>
      <c r="R3" s="73" t="s">
        <v>115</v>
      </c>
    </row>
    <row r="4" spans="1:18" s="7" customFormat="1" ht="12.75">
      <c r="A4" s="8"/>
      <c r="K4" s="6"/>
      <c r="L4" s="6"/>
      <c r="M4" s="6"/>
      <c r="N4" s="6"/>
      <c r="O4" s="6"/>
      <c r="P4" s="6"/>
      <c r="Q4" s="6"/>
      <c r="R4" s="6"/>
    </row>
    <row r="5" spans="1:18" ht="12.75">
      <c r="A5" s="4" t="s">
        <v>1</v>
      </c>
      <c r="B5" s="43">
        <v>1443741</v>
      </c>
      <c r="C5" s="43">
        <v>8171</v>
      </c>
      <c r="D5" s="17">
        <f>B5-C5</f>
        <v>1435570</v>
      </c>
      <c r="E5" s="80">
        <f>(C5/B5)</f>
        <v>0.005659602380205314</v>
      </c>
      <c r="F5" s="76">
        <f aca="true" t="shared" si="0" ref="F5:F36">1-E5</f>
        <v>0.9943403976197946</v>
      </c>
      <c r="G5" s="76">
        <f>Urbanization!$F$64</f>
        <v>0.9445922147041679</v>
      </c>
      <c r="H5" s="76">
        <f>F5-G5</f>
        <v>0.04974818291562677</v>
      </c>
      <c r="I5" s="76">
        <f>Urbanization!$F$65</f>
        <v>0.2909652432210531</v>
      </c>
      <c r="J5" s="76">
        <f>H5/I5</f>
        <v>0.17097637630152243</v>
      </c>
      <c r="K5" s="75">
        <f>IF(J5&gt;=1.25,2,0)</f>
        <v>0</v>
      </c>
      <c r="L5" s="75">
        <f>IF(AND(J5&gt;=0.5,J5&lt;1.25),1.5,0)</f>
        <v>0</v>
      </c>
      <c r="M5" s="76">
        <f>IF(AND(J5&gt;0,J5&lt;0.5),1.25,0)</f>
        <v>1.25</v>
      </c>
      <c r="N5" s="75">
        <f>IF(J5=0,1,0)</f>
        <v>0</v>
      </c>
      <c r="O5" s="75">
        <f>IF(AND(J5&lt;0,J5&gt;-0.5),0.875,0)</f>
        <v>0</v>
      </c>
      <c r="P5" s="75">
        <f>IF(AND(J5&lt;=-0.5,J5&gt;-1.25),0.75,0)</f>
        <v>0</v>
      </c>
      <c r="Q5" s="75">
        <f>IF(J5&lt;=-1.25,0.5,0)</f>
        <v>0</v>
      </c>
      <c r="R5" s="75">
        <f>SUM(K5:Q5)</f>
        <v>1.25</v>
      </c>
    </row>
    <row r="6" spans="1:18" s="117" customFormat="1" ht="12.75">
      <c r="A6" s="39" t="s">
        <v>2</v>
      </c>
      <c r="B6" s="113">
        <v>1208</v>
      </c>
      <c r="C6" s="113">
        <v>1208</v>
      </c>
      <c r="D6" s="40">
        <f aca="true" t="shared" si="1" ref="D6:D62">B6-C6</f>
        <v>0</v>
      </c>
      <c r="E6" s="114">
        <f aca="true" t="shared" si="2" ref="E6:E62">(C6/B6)</f>
        <v>1</v>
      </c>
      <c r="F6" s="115">
        <f t="shared" si="0"/>
        <v>0</v>
      </c>
      <c r="G6" s="115">
        <f>Urbanization!$F$64</f>
        <v>0.9445922147041679</v>
      </c>
      <c r="H6" s="115">
        <f aca="true" t="shared" si="3" ref="H6:H62">F6-G6</f>
        <v>-0.9445922147041679</v>
      </c>
      <c r="I6" s="115">
        <f>Urbanization!$F$65</f>
        <v>0.2909652432210531</v>
      </c>
      <c r="J6" s="115">
        <f aca="true" t="shared" si="4" ref="J6:J62">H6/I6</f>
        <v>-3.2464091045628396</v>
      </c>
      <c r="K6" s="116">
        <f aca="true" t="shared" si="5" ref="K6:K62">IF(J6&gt;=1.25,2,0)</f>
        <v>0</v>
      </c>
      <c r="L6" s="116">
        <f aca="true" t="shared" si="6" ref="L6:L62">IF(AND(J6&gt;=0.5,J6&lt;1.25),1.5,0)</f>
        <v>0</v>
      </c>
      <c r="M6" s="115">
        <f aca="true" t="shared" si="7" ref="M6:M62">IF(AND(J6&gt;0,J6&lt;0.5),1.25,0)</f>
        <v>0</v>
      </c>
      <c r="N6" s="116">
        <f aca="true" t="shared" si="8" ref="N6:N62">IF(J6=0,1,0)</f>
        <v>0</v>
      </c>
      <c r="O6" s="116">
        <f aca="true" t="shared" si="9" ref="O6:O62">IF(AND(J6&lt;0,J6&gt;-0.5),0.875,0)</f>
        <v>0</v>
      </c>
      <c r="P6" s="116">
        <f aca="true" t="shared" si="10" ref="P6:P62">IF(AND(J6&lt;=-0.5,J6&gt;-1.25),0.75,0)</f>
        <v>0</v>
      </c>
      <c r="Q6" s="116">
        <f aca="true" t="shared" si="11" ref="Q6:Q62">IF(J6&lt;=-1.25,0.5,0)</f>
        <v>0.5</v>
      </c>
      <c r="R6" s="116">
        <f aca="true" t="shared" si="12" ref="R6:R62">SUM(K6:Q6)</f>
        <v>0.5</v>
      </c>
    </row>
    <row r="7" spans="1:18" s="117" customFormat="1" ht="12.75">
      <c r="A7" s="39" t="s">
        <v>3</v>
      </c>
      <c r="B7" s="113">
        <v>35100</v>
      </c>
      <c r="C7" s="113">
        <v>21275</v>
      </c>
      <c r="D7" s="40">
        <f t="shared" si="1"/>
        <v>13825</v>
      </c>
      <c r="E7" s="114">
        <f t="shared" si="2"/>
        <v>0.6061253561253561</v>
      </c>
      <c r="F7" s="115">
        <f t="shared" si="0"/>
        <v>0.3938746438746439</v>
      </c>
      <c r="G7" s="115">
        <f>Urbanization!$F$64</f>
        <v>0.9445922147041679</v>
      </c>
      <c r="H7" s="115">
        <f t="shared" si="3"/>
        <v>-0.550717570829524</v>
      </c>
      <c r="I7" s="115">
        <f>Urbanization!$F$65</f>
        <v>0.2909652432210531</v>
      </c>
      <c r="J7" s="115">
        <f t="shared" si="4"/>
        <v>-1.8927263089328197</v>
      </c>
      <c r="K7" s="116">
        <f t="shared" si="5"/>
        <v>0</v>
      </c>
      <c r="L7" s="116">
        <f t="shared" si="6"/>
        <v>0</v>
      </c>
      <c r="M7" s="115">
        <f t="shared" si="7"/>
        <v>0</v>
      </c>
      <c r="N7" s="116">
        <f t="shared" si="8"/>
        <v>0</v>
      </c>
      <c r="O7" s="116">
        <f t="shared" si="9"/>
        <v>0</v>
      </c>
      <c r="P7" s="116">
        <f t="shared" si="10"/>
        <v>0</v>
      </c>
      <c r="Q7" s="116">
        <f t="shared" si="11"/>
        <v>0.5</v>
      </c>
      <c r="R7" s="116">
        <f t="shared" si="12"/>
        <v>0.5</v>
      </c>
    </row>
    <row r="8" spans="1:18" ht="12.75">
      <c r="A8" s="4" t="s">
        <v>4</v>
      </c>
      <c r="B8" s="43">
        <v>203171</v>
      </c>
      <c r="C8" s="43">
        <v>36431</v>
      </c>
      <c r="D8" s="17">
        <f t="shared" si="1"/>
        <v>166740</v>
      </c>
      <c r="E8" s="80">
        <f t="shared" si="2"/>
        <v>0.17931200811139386</v>
      </c>
      <c r="F8" s="76">
        <f t="shared" si="0"/>
        <v>0.8206879918886061</v>
      </c>
      <c r="G8" s="76">
        <f>Urbanization!$F$64</f>
        <v>0.9445922147041679</v>
      </c>
      <c r="H8" s="76">
        <f t="shared" si="3"/>
        <v>-0.1239042228155618</v>
      </c>
      <c r="I8" s="76">
        <f>Urbanization!$F$65</f>
        <v>0.2909652432210531</v>
      </c>
      <c r="J8" s="76">
        <f t="shared" si="4"/>
        <v>-0.42583856904664336</v>
      </c>
      <c r="K8" s="75">
        <f t="shared" si="5"/>
        <v>0</v>
      </c>
      <c r="L8" s="75">
        <f t="shared" si="6"/>
        <v>0</v>
      </c>
      <c r="M8" s="76">
        <f t="shared" si="7"/>
        <v>0</v>
      </c>
      <c r="N8" s="75">
        <f t="shared" si="8"/>
        <v>0</v>
      </c>
      <c r="O8" s="75">
        <f t="shared" si="9"/>
        <v>0.875</v>
      </c>
      <c r="P8" s="75">
        <f t="shared" si="10"/>
        <v>0</v>
      </c>
      <c r="Q8" s="75">
        <f t="shared" si="11"/>
        <v>0</v>
      </c>
      <c r="R8" s="75">
        <f t="shared" si="12"/>
        <v>0.875</v>
      </c>
    </row>
    <row r="9" spans="1:18" s="117" customFormat="1" ht="12.75">
      <c r="A9" s="39" t="s">
        <v>5</v>
      </c>
      <c r="B9" s="113">
        <v>40554</v>
      </c>
      <c r="C9" s="113">
        <v>33217</v>
      </c>
      <c r="D9" s="40">
        <f t="shared" si="1"/>
        <v>7337</v>
      </c>
      <c r="E9" s="114">
        <f t="shared" si="2"/>
        <v>0.8190807318636879</v>
      </c>
      <c r="F9" s="115">
        <f t="shared" si="0"/>
        <v>0.1809192681363121</v>
      </c>
      <c r="G9" s="115">
        <f>Urbanization!$F$64</f>
        <v>0.9445922147041679</v>
      </c>
      <c r="H9" s="115">
        <f t="shared" si="3"/>
        <v>-0.7636729465678558</v>
      </c>
      <c r="I9" s="115">
        <f>Urbanization!$F$65</f>
        <v>0.2909652432210531</v>
      </c>
      <c r="J9" s="115">
        <f t="shared" si="4"/>
        <v>-2.624619140464401</v>
      </c>
      <c r="K9" s="116">
        <f t="shared" si="5"/>
        <v>0</v>
      </c>
      <c r="L9" s="116">
        <f t="shared" si="6"/>
        <v>0</v>
      </c>
      <c r="M9" s="115">
        <f t="shared" si="7"/>
        <v>0</v>
      </c>
      <c r="N9" s="116">
        <f t="shared" si="8"/>
        <v>0</v>
      </c>
      <c r="O9" s="116">
        <f t="shared" si="9"/>
        <v>0</v>
      </c>
      <c r="P9" s="116">
        <f t="shared" si="10"/>
        <v>0</v>
      </c>
      <c r="Q9" s="116">
        <f t="shared" si="11"/>
        <v>0.5</v>
      </c>
      <c r="R9" s="116">
        <f t="shared" si="12"/>
        <v>0.5</v>
      </c>
    </row>
    <row r="10" spans="1:18" s="117" customFormat="1" ht="12.75">
      <c r="A10" s="39" t="s">
        <v>6</v>
      </c>
      <c r="B10" s="113">
        <v>18804</v>
      </c>
      <c r="C10" s="113">
        <v>9209</v>
      </c>
      <c r="D10" s="40">
        <f t="shared" si="1"/>
        <v>9595</v>
      </c>
      <c r="E10" s="114">
        <f t="shared" si="2"/>
        <v>0.4897362263348224</v>
      </c>
      <c r="F10" s="115">
        <f t="shared" si="0"/>
        <v>0.5102637736651776</v>
      </c>
      <c r="G10" s="115">
        <f>Urbanization!$F$64</f>
        <v>0.9445922147041679</v>
      </c>
      <c r="H10" s="115">
        <f t="shared" si="3"/>
        <v>-0.43432844103899026</v>
      </c>
      <c r="I10" s="115">
        <f>Urbanization!$F$65</f>
        <v>0.2909652432210531</v>
      </c>
      <c r="J10" s="115">
        <f t="shared" si="4"/>
        <v>-1.492715886718541</v>
      </c>
      <c r="K10" s="116">
        <f t="shared" si="5"/>
        <v>0</v>
      </c>
      <c r="L10" s="116">
        <f t="shared" si="6"/>
        <v>0</v>
      </c>
      <c r="M10" s="115">
        <f t="shared" si="7"/>
        <v>0</v>
      </c>
      <c r="N10" s="116">
        <f t="shared" si="8"/>
        <v>0</v>
      </c>
      <c r="O10" s="116">
        <f t="shared" si="9"/>
        <v>0</v>
      </c>
      <c r="P10" s="116">
        <f t="shared" si="10"/>
        <v>0</v>
      </c>
      <c r="Q10" s="116">
        <f t="shared" si="11"/>
        <v>0.5</v>
      </c>
      <c r="R10" s="116">
        <f t="shared" si="12"/>
        <v>0.5</v>
      </c>
    </row>
    <row r="11" spans="1:18" ht="12.75">
      <c r="A11" s="4" t="s">
        <v>7</v>
      </c>
      <c r="B11" s="43">
        <v>948816</v>
      </c>
      <c r="C11" s="43">
        <v>20034</v>
      </c>
      <c r="D11" s="17">
        <f t="shared" si="1"/>
        <v>928782</v>
      </c>
      <c r="E11" s="80">
        <f t="shared" si="2"/>
        <v>0.02111473668234937</v>
      </c>
      <c r="F11" s="76">
        <f t="shared" si="0"/>
        <v>0.9788852633176506</v>
      </c>
      <c r="G11" s="76">
        <f>Urbanization!$F$64</f>
        <v>0.9445922147041679</v>
      </c>
      <c r="H11" s="76">
        <f t="shared" si="3"/>
        <v>0.0342930486134827</v>
      </c>
      <c r="I11" s="76">
        <f>Urbanization!$F$65</f>
        <v>0.2909652432210531</v>
      </c>
      <c r="J11" s="76">
        <f t="shared" si="4"/>
        <v>0.11785960492686567</v>
      </c>
      <c r="K11" s="75">
        <f t="shared" si="5"/>
        <v>0</v>
      </c>
      <c r="L11" s="75">
        <f t="shared" si="6"/>
        <v>0</v>
      </c>
      <c r="M11" s="76">
        <f t="shared" si="7"/>
        <v>1.25</v>
      </c>
      <c r="N11" s="75">
        <f t="shared" si="8"/>
        <v>0</v>
      </c>
      <c r="O11" s="75">
        <f t="shared" si="9"/>
        <v>0</v>
      </c>
      <c r="P11" s="75">
        <f t="shared" si="10"/>
        <v>0</v>
      </c>
      <c r="Q11" s="75">
        <f t="shared" si="11"/>
        <v>0</v>
      </c>
      <c r="R11" s="75">
        <f t="shared" si="12"/>
        <v>1.25</v>
      </c>
    </row>
    <row r="12" spans="1:18" s="117" customFormat="1" ht="12.75">
      <c r="A12" s="39" t="s">
        <v>8</v>
      </c>
      <c r="B12" s="113">
        <v>27507</v>
      </c>
      <c r="C12" s="113">
        <v>8840</v>
      </c>
      <c r="D12" s="40">
        <f t="shared" si="1"/>
        <v>18667</v>
      </c>
      <c r="E12" s="114">
        <f t="shared" si="2"/>
        <v>0.32137274148398587</v>
      </c>
      <c r="F12" s="115">
        <f t="shared" si="0"/>
        <v>0.6786272585160141</v>
      </c>
      <c r="G12" s="115">
        <f>Urbanization!$F$64</f>
        <v>0.9445922147041679</v>
      </c>
      <c r="H12" s="115">
        <f t="shared" si="3"/>
        <v>-0.26596495618815374</v>
      </c>
      <c r="I12" s="115">
        <f>Urbanization!$F$65</f>
        <v>0.2909652432210531</v>
      </c>
      <c r="J12" s="115">
        <f t="shared" si="4"/>
        <v>-0.9140780982768238</v>
      </c>
      <c r="K12" s="116">
        <f t="shared" si="5"/>
        <v>0</v>
      </c>
      <c r="L12" s="116">
        <f t="shared" si="6"/>
        <v>0</v>
      </c>
      <c r="M12" s="115">
        <f t="shared" si="7"/>
        <v>0</v>
      </c>
      <c r="N12" s="116">
        <f t="shared" si="8"/>
        <v>0</v>
      </c>
      <c r="O12" s="116">
        <f t="shared" si="9"/>
        <v>0</v>
      </c>
      <c r="P12" s="116">
        <f t="shared" si="10"/>
        <v>0.75</v>
      </c>
      <c r="Q12" s="116">
        <f t="shared" si="11"/>
        <v>0</v>
      </c>
      <c r="R12" s="116">
        <f t="shared" si="12"/>
        <v>0.75</v>
      </c>
    </row>
    <row r="13" spans="1:18" s="56" customFormat="1" ht="12.75">
      <c r="A13" s="47" t="s">
        <v>9</v>
      </c>
      <c r="B13" s="43">
        <v>156299</v>
      </c>
      <c r="C13" s="43">
        <v>57763</v>
      </c>
      <c r="D13" s="17">
        <f t="shared" si="1"/>
        <v>98536</v>
      </c>
      <c r="E13" s="80">
        <f t="shared" si="2"/>
        <v>0.3695673036935617</v>
      </c>
      <c r="F13" s="76">
        <f t="shared" si="0"/>
        <v>0.6304326963064383</v>
      </c>
      <c r="G13" s="76">
        <f>Urbanization!$F$64</f>
        <v>0.9445922147041679</v>
      </c>
      <c r="H13" s="76">
        <f t="shared" si="3"/>
        <v>-0.3141595183977296</v>
      </c>
      <c r="I13" s="76">
        <f>Urbanization!$F$65</f>
        <v>0.2909652432210531</v>
      </c>
      <c r="J13" s="76">
        <f t="shared" si="4"/>
        <v>-1.0797149340584822</v>
      </c>
      <c r="K13" s="75">
        <f t="shared" si="5"/>
        <v>0</v>
      </c>
      <c r="L13" s="75">
        <f t="shared" si="6"/>
        <v>0</v>
      </c>
      <c r="M13" s="76">
        <f t="shared" si="7"/>
        <v>0</v>
      </c>
      <c r="N13" s="75">
        <f t="shared" si="8"/>
        <v>0</v>
      </c>
      <c r="O13" s="75">
        <f t="shared" si="9"/>
        <v>0</v>
      </c>
      <c r="P13" s="75">
        <f t="shared" si="10"/>
        <v>0.75</v>
      </c>
      <c r="Q13" s="75">
        <f t="shared" si="11"/>
        <v>0</v>
      </c>
      <c r="R13" s="75">
        <f t="shared" si="12"/>
        <v>0.75</v>
      </c>
    </row>
    <row r="14" spans="1:18" ht="12.75">
      <c r="A14" s="4" t="s">
        <v>10</v>
      </c>
      <c r="B14" s="43">
        <v>799407</v>
      </c>
      <c r="C14" s="43">
        <v>101030</v>
      </c>
      <c r="D14" s="17">
        <f t="shared" si="1"/>
        <v>698377</v>
      </c>
      <c r="E14" s="80">
        <f t="shared" si="2"/>
        <v>0.12638118004971186</v>
      </c>
      <c r="F14" s="76">
        <f t="shared" si="0"/>
        <v>0.8736188199502881</v>
      </c>
      <c r="G14" s="76">
        <f>Urbanization!$F$64</f>
        <v>0.9445922147041679</v>
      </c>
      <c r="H14" s="76">
        <f t="shared" si="3"/>
        <v>-0.07097339475387976</v>
      </c>
      <c r="I14" s="76">
        <f>Urbanization!$F$65</f>
        <v>0.2909652432210531</v>
      </c>
      <c r="J14" s="76">
        <f t="shared" si="4"/>
        <v>-0.24392396139204714</v>
      </c>
      <c r="K14" s="75">
        <f t="shared" si="5"/>
        <v>0</v>
      </c>
      <c r="L14" s="75">
        <f t="shared" si="6"/>
        <v>0</v>
      </c>
      <c r="M14" s="76">
        <f t="shared" si="7"/>
        <v>0</v>
      </c>
      <c r="N14" s="75">
        <f t="shared" si="8"/>
        <v>0</v>
      </c>
      <c r="O14" s="75">
        <f t="shared" si="9"/>
        <v>0.875</v>
      </c>
      <c r="P14" s="75">
        <f t="shared" si="10"/>
        <v>0</v>
      </c>
      <c r="Q14" s="75">
        <f t="shared" si="11"/>
        <v>0</v>
      </c>
      <c r="R14" s="75">
        <f t="shared" si="12"/>
        <v>0.875</v>
      </c>
    </row>
    <row r="15" spans="1:18" s="117" customFormat="1" ht="12.75">
      <c r="A15" s="39" t="s">
        <v>11</v>
      </c>
      <c r="B15" s="113">
        <v>26453</v>
      </c>
      <c r="C15" s="113">
        <v>11482</v>
      </c>
      <c r="D15" s="40">
        <f t="shared" si="1"/>
        <v>14971</v>
      </c>
      <c r="E15" s="114">
        <f t="shared" si="2"/>
        <v>0.43405284844819114</v>
      </c>
      <c r="F15" s="115">
        <f t="shared" si="0"/>
        <v>0.5659471515518089</v>
      </c>
      <c r="G15" s="115">
        <f>Urbanization!$F$64</f>
        <v>0.9445922147041679</v>
      </c>
      <c r="H15" s="115">
        <f t="shared" si="3"/>
        <v>-0.378645063152359</v>
      </c>
      <c r="I15" s="115">
        <f>Urbanization!$F$65</f>
        <v>0.2909652432210531</v>
      </c>
      <c r="J15" s="115">
        <f t="shared" si="4"/>
        <v>-1.3013412150560317</v>
      </c>
      <c r="K15" s="116">
        <f t="shared" si="5"/>
        <v>0</v>
      </c>
      <c r="L15" s="116">
        <f t="shared" si="6"/>
        <v>0</v>
      </c>
      <c r="M15" s="115">
        <f t="shared" si="7"/>
        <v>0</v>
      </c>
      <c r="N15" s="116">
        <f t="shared" si="8"/>
        <v>0</v>
      </c>
      <c r="O15" s="116">
        <f t="shared" si="9"/>
        <v>0</v>
      </c>
      <c r="P15" s="116">
        <f t="shared" si="10"/>
        <v>0</v>
      </c>
      <c r="Q15" s="116">
        <f t="shared" si="11"/>
        <v>0.5</v>
      </c>
      <c r="R15" s="116">
        <f t="shared" si="12"/>
        <v>0.5</v>
      </c>
    </row>
    <row r="16" spans="1:18" s="117" customFormat="1" ht="12.75">
      <c r="A16" s="39" t="s">
        <v>12</v>
      </c>
      <c r="B16" s="113">
        <v>126518</v>
      </c>
      <c r="C16" s="113">
        <v>38582</v>
      </c>
      <c r="D16" s="40">
        <f t="shared" si="1"/>
        <v>87936</v>
      </c>
      <c r="E16" s="114">
        <f t="shared" si="2"/>
        <v>0.30495265495818774</v>
      </c>
      <c r="F16" s="115">
        <f t="shared" si="0"/>
        <v>0.6950473450418122</v>
      </c>
      <c r="G16" s="115">
        <f>Urbanization!$F$64</f>
        <v>0.9445922147041679</v>
      </c>
      <c r="H16" s="115">
        <f t="shared" si="3"/>
        <v>-0.24954486966235567</v>
      </c>
      <c r="I16" s="115">
        <f>Urbanization!$F$65</f>
        <v>0.2909652432210531</v>
      </c>
      <c r="J16" s="115">
        <f t="shared" si="4"/>
        <v>-0.8576449437734753</v>
      </c>
      <c r="K16" s="116">
        <f t="shared" si="5"/>
        <v>0</v>
      </c>
      <c r="L16" s="116">
        <f t="shared" si="6"/>
        <v>0</v>
      </c>
      <c r="M16" s="115">
        <f t="shared" si="7"/>
        <v>0</v>
      </c>
      <c r="N16" s="116">
        <f t="shared" si="8"/>
        <v>0</v>
      </c>
      <c r="O16" s="116">
        <f t="shared" si="9"/>
        <v>0</v>
      </c>
      <c r="P16" s="116">
        <f t="shared" si="10"/>
        <v>0.75</v>
      </c>
      <c r="Q16" s="116">
        <f t="shared" si="11"/>
        <v>0</v>
      </c>
      <c r="R16" s="116">
        <f t="shared" si="12"/>
        <v>0.75</v>
      </c>
    </row>
    <row r="17" spans="1:18" s="117" customFormat="1" ht="12.75">
      <c r="A17" s="39" t="s">
        <v>13</v>
      </c>
      <c r="B17" s="113">
        <v>142361</v>
      </c>
      <c r="C17" s="113">
        <v>21058</v>
      </c>
      <c r="D17" s="40">
        <f t="shared" si="1"/>
        <v>121303</v>
      </c>
      <c r="E17" s="114">
        <f t="shared" si="2"/>
        <v>0.14791972520563917</v>
      </c>
      <c r="F17" s="115">
        <f t="shared" si="0"/>
        <v>0.8520802747943608</v>
      </c>
      <c r="G17" s="115">
        <f>Urbanization!$F$64</f>
        <v>0.9445922147041679</v>
      </c>
      <c r="H17" s="115">
        <f t="shared" si="3"/>
        <v>-0.0925119399098071</v>
      </c>
      <c r="I17" s="115">
        <f>Urbanization!$F$65</f>
        <v>0.2909652432210531</v>
      </c>
      <c r="J17" s="115">
        <f t="shared" si="4"/>
        <v>-0.31794842189973743</v>
      </c>
      <c r="K17" s="116">
        <f t="shared" si="5"/>
        <v>0</v>
      </c>
      <c r="L17" s="116">
        <f t="shared" si="6"/>
        <v>0</v>
      </c>
      <c r="M17" s="115">
        <f t="shared" si="7"/>
        <v>0</v>
      </c>
      <c r="N17" s="116">
        <f t="shared" si="8"/>
        <v>0</v>
      </c>
      <c r="O17" s="116">
        <f t="shared" si="9"/>
        <v>0.875</v>
      </c>
      <c r="P17" s="116">
        <f t="shared" si="10"/>
        <v>0</v>
      </c>
      <c r="Q17" s="116">
        <f t="shared" si="11"/>
        <v>0</v>
      </c>
      <c r="R17" s="116">
        <f t="shared" si="12"/>
        <v>0.875</v>
      </c>
    </row>
    <row r="18" spans="1:18" s="117" customFormat="1" ht="12.75">
      <c r="A18" s="39" t="s">
        <v>14</v>
      </c>
      <c r="B18" s="113">
        <v>17945</v>
      </c>
      <c r="C18" s="113">
        <v>7542</v>
      </c>
      <c r="D18" s="40">
        <f t="shared" si="1"/>
        <v>10403</v>
      </c>
      <c r="E18" s="114">
        <f t="shared" si="2"/>
        <v>0.4202842017275007</v>
      </c>
      <c r="F18" s="115">
        <f t="shared" si="0"/>
        <v>0.5797157982724993</v>
      </c>
      <c r="G18" s="115">
        <f>Urbanization!$F$64</f>
        <v>0.9445922147041679</v>
      </c>
      <c r="H18" s="115">
        <f t="shared" si="3"/>
        <v>-0.36487641643166857</v>
      </c>
      <c r="I18" s="115">
        <f>Urbanization!$F$65</f>
        <v>0.2909652432210531</v>
      </c>
      <c r="J18" s="115">
        <f t="shared" si="4"/>
        <v>-1.2540206259428155</v>
      </c>
      <c r="K18" s="116">
        <f t="shared" si="5"/>
        <v>0</v>
      </c>
      <c r="L18" s="116">
        <f t="shared" si="6"/>
        <v>0</v>
      </c>
      <c r="M18" s="115">
        <f t="shared" si="7"/>
        <v>0</v>
      </c>
      <c r="N18" s="116">
        <f t="shared" si="8"/>
        <v>0</v>
      </c>
      <c r="O18" s="116">
        <f t="shared" si="9"/>
        <v>0</v>
      </c>
      <c r="P18" s="116">
        <f t="shared" si="10"/>
        <v>0</v>
      </c>
      <c r="Q18" s="116">
        <f t="shared" si="11"/>
        <v>0.5</v>
      </c>
      <c r="R18" s="116">
        <f t="shared" si="12"/>
        <v>0.5</v>
      </c>
    </row>
    <row r="19" spans="1:18" ht="12.75">
      <c r="A19" s="4" t="s">
        <v>15</v>
      </c>
      <c r="B19" s="43">
        <v>661645</v>
      </c>
      <c r="C19" s="43">
        <v>77280</v>
      </c>
      <c r="D19" s="17">
        <f t="shared" si="1"/>
        <v>584365</v>
      </c>
      <c r="E19" s="80">
        <f t="shared" si="2"/>
        <v>0.11679979445170749</v>
      </c>
      <c r="F19" s="76">
        <f t="shared" si="0"/>
        <v>0.8832002055482925</v>
      </c>
      <c r="G19" s="76">
        <f>Urbanization!$F$64</f>
        <v>0.9445922147041679</v>
      </c>
      <c r="H19" s="76">
        <f t="shared" si="3"/>
        <v>-0.06139200915587539</v>
      </c>
      <c r="I19" s="76">
        <f>Urbanization!$F$65</f>
        <v>0.2909652432210531</v>
      </c>
      <c r="J19" s="76">
        <f t="shared" si="4"/>
        <v>-0.21099430459889826</v>
      </c>
      <c r="K19" s="75">
        <f t="shared" si="5"/>
        <v>0</v>
      </c>
      <c r="L19" s="75">
        <f t="shared" si="6"/>
        <v>0</v>
      </c>
      <c r="M19" s="76">
        <f t="shared" si="7"/>
        <v>0</v>
      </c>
      <c r="N19" s="75">
        <f t="shared" si="8"/>
        <v>0</v>
      </c>
      <c r="O19" s="75">
        <f t="shared" si="9"/>
        <v>0.875</v>
      </c>
      <c r="P19" s="75">
        <f t="shared" si="10"/>
        <v>0</v>
      </c>
      <c r="Q19" s="75">
        <f t="shared" si="11"/>
        <v>0</v>
      </c>
      <c r="R19" s="75">
        <f t="shared" si="12"/>
        <v>0.875</v>
      </c>
    </row>
    <row r="20" spans="1:18" ht="12.75">
      <c r="A20" s="4" t="s">
        <v>16</v>
      </c>
      <c r="B20" s="43">
        <v>129461</v>
      </c>
      <c r="C20" s="43">
        <v>16961</v>
      </c>
      <c r="D20" s="17">
        <f t="shared" si="1"/>
        <v>112500</v>
      </c>
      <c r="E20" s="80">
        <f t="shared" si="2"/>
        <v>0.13101242845335662</v>
      </c>
      <c r="F20" s="76">
        <f t="shared" si="0"/>
        <v>0.8689875715466434</v>
      </c>
      <c r="G20" s="76">
        <f>Urbanization!$F$64</f>
        <v>0.9445922147041679</v>
      </c>
      <c r="H20" s="76">
        <f t="shared" si="3"/>
        <v>-0.07560464315752446</v>
      </c>
      <c r="I20" s="76">
        <f>Urbanization!$F$65</f>
        <v>0.2909652432210531</v>
      </c>
      <c r="J20" s="76">
        <f t="shared" si="4"/>
        <v>-0.2598408054534742</v>
      </c>
      <c r="K20" s="75">
        <f t="shared" si="5"/>
        <v>0</v>
      </c>
      <c r="L20" s="75">
        <f t="shared" si="6"/>
        <v>0</v>
      </c>
      <c r="M20" s="76">
        <f t="shared" si="7"/>
        <v>0</v>
      </c>
      <c r="N20" s="75">
        <f t="shared" si="8"/>
        <v>0</v>
      </c>
      <c r="O20" s="75">
        <f t="shared" si="9"/>
        <v>0.875</v>
      </c>
      <c r="P20" s="75">
        <f t="shared" si="10"/>
        <v>0</v>
      </c>
      <c r="Q20" s="75">
        <f t="shared" si="11"/>
        <v>0</v>
      </c>
      <c r="R20" s="75">
        <f t="shared" si="12"/>
        <v>0.875</v>
      </c>
    </row>
    <row r="21" spans="1:18" s="117" customFormat="1" ht="12.75">
      <c r="A21" s="39" t="s">
        <v>17</v>
      </c>
      <c r="B21" s="113">
        <v>58309</v>
      </c>
      <c r="C21" s="113">
        <v>25916</v>
      </c>
      <c r="D21" s="40">
        <f t="shared" si="1"/>
        <v>32393</v>
      </c>
      <c r="E21" s="114">
        <f t="shared" si="2"/>
        <v>0.4444596888987978</v>
      </c>
      <c r="F21" s="115">
        <f t="shared" si="0"/>
        <v>0.5555403111012023</v>
      </c>
      <c r="G21" s="115">
        <f>Urbanization!$F$64</f>
        <v>0.9445922147041679</v>
      </c>
      <c r="H21" s="115">
        <f t="shared" si="3"/>
        <v>-0.3890519036029656</v>
      </c>
      <c r="I21" s="115">
        <f>Urbanization!$F$65</f>
        <v>0.2909652432210531</v>
      </c>
      <c r="J21" s="115">
        <f t="shared" si="4"/>
        <v>-1.3371078253061097</v>
      </c>
      <c r="K21" s="116">
        <f t="shared" si="5"/>
        <v>0</v>
      </c>
      <c r="L21" s="116">
        <f t="shared" si="6"/>
        <v>0</v>
      </c>
      <c r="M21" s="115">
        <f t="shared" si="7"/>
        <v>0</v>
      </c>
      <c r="N21" s="116">
        <f t="shared" si="8"/>
        <v>0</v>
      </c>
      <c r="O21" s="116">
        <f t="shared" si="9"/>
        <v>0</v>
      </c>
      <c r="P21" s="116">
        <f t="shared" si="10"/>
        <v>0</v>
      </c>
      <c r="Q21" s="116">
        <f t="shared" si="11"/>
        <v>0.5</v>
      </c>
      <c r="R21" s="116">
        <f t="shared" si="12"/>
        <v>0.5</v>
      </c>
    </row>
    <row r="22" spans="1:18" s="117" customFormat="1" ht="12.75">
      <c r="A22" s="39" t="s">
        <v>18</v>
      </c>
      <c r="B22" s="113">
        <v>33828</v>
      </c>
      <c r="C22" s="113">
        <v>19892</v>
      </c>
      <c r="D22" s="40">
        <f t="shared" si="1"/>
        <v>13936</v>
      </c>
      <c r="E22" s="114">
        <f t="shared" si="2"/>
        <v>0.5880335816483386</v>
      </c>
      <c r="F22" s="115">
        <f t="shared" si="0"/>
        <v>0.41196641835166137</v>
      </c>
      <c r="G22" s="115">
        <f>Urbanization!$F$64</f>
        <v>0.9445922147041679</v>
      </c>
      <c r="H22" s="115">
        <f t="shared" si="3"/>
        <v>-0.5326257963525065</v>
      </c>
      <c r="I22" s="115">
        <f>Urbanization!$F$65</f>
        <v>0.2909652432210531</v>
      </c>
      <c r="J22" s="115">
        <f t="shared" si="4"/>
        <v>-1.8305478360790268</v>
      </c>
      <c r="K22" s="116">
        <f t="shared" si="5"/>
        <v>0</v>
      </c>
      <c r="L22" s="116">
        <f t="shared" si="6"/>
        <v>0</v>
      </c>
      <c r="M22" s="115">
        <f t="shared" si="7"/>
        <v>0</v>
      </c>
      <c r="N22" s="116">
        <f t="shared" si="8"/>
        <v>0</v>
      </c>
      <c r="O22" s="116">
        <f t="shared" si="9"/>
        <v>0</v>
      </c>
      <c r="P22" s="116">
        <f t="shared" si="10"/>
        <v>0</v>
      </c>
      <c r="Q22" s="116">
        <f t="shared" si="11"/>
        <v>0.5</v>
      </c>
      <c r="R22" s="116">
        <f t="shared" si="12"/>
        <v>0.5</v>
      </c>
    </row>
    <row r="23" spans="1:18" ht="12.75">
      <c r="A23" s="4" t="s">
        <v>19</v>
      </c>
      <c r="B23" s="43">
        <v>9519338</v>
      </c>
      <c r="C23" s="43">
        <v>67389</v>
      </c>
      <c r="D23" s="17">
        <f t="shared" si="1"/>
        <v>9451949</v>
      </c>
      <c r="E23" s="80">
        <f t="shared" si="2"/>
        <v>0.007079168740515359</v>
      </c>
      <c r="F23" s="76">
        <f t="shared" si="0"/>
        <v>0.9929208312594846</v>
      </c>
      <c r="G23" s="76">
        <f>Urbanization!$F$64</f>
        <v>0.9445922147041679</v>
      </c>
      <c r="H23" s="76">
        <f t="shared" si="3"/>
        <v>0.04832861655531673</v>
      </c>
      <c r="I23" s="76">
        <f>Urbanization!$F$65</f>
        <v>0.2909652432210531</v>
      </c>
      <c r="J23" s="76">
        <f t="shared" si="4"/>
        <v>0.16609755866476583</v>
      </c>
      <c r="K23" s="75">
        <f t="shared" si="5"/>
        <v>0</v>
      </c>
      <c r="L23" s="75">
        <f t="shared" si="6"/>
        <v>0</v>
      </c>
      <c r="M23" s="76">
        <f t="shared" si="7"/>
        <v>1.25</v>
      </c>
      <c r="N23" s="75">
        <f t="shared" si="8"/>
        <v>0</v>
      </c>
      <c r="O23" s="75">
        <f t="shared" si="9"/>
        <v>0</v>
      </c>
      <c r="P23" s="75">
        <f t="shared" si="10"/>
        <v>0</v>
      </c>
      <c r="Q23" s="75">
        <f t="shared" si="11"/>
        <v>0</v>
      </c>
      <c r="R23" s="75">
        <f t="shared" si="12"/>
        <v>1.25</v>
      </c>
    </row>
    <row r="24" spans="1:18" ht="12.75">
      <c r="A24" s="4" t="s">
        <v>20</v>
      </c>
      <c r="B24" s="43">
        <v>123109</v>
      </c>
      <c r="C24" s="43">
        <v>41916</v>
      </c>
      <c r="D24" s="17">
        <f t="shared" si="1"/>
        <v>81193</v>
      </c>
      <c r="E24" s="80">
        <f t="shared" si="2"/>
        <v>0.34047876272246547</v>
      </c>
      <c r="F24" s="76">
        <f t="shared" si="0"/>
        <v>0.6595212372775345</v>
      </c>
      <c r="G24" s="76">
        <f>Urbanization!$F$64</f>
        <v>0.9445922147041679</v>
      </c>
      <c r="H24" s="76">
        <f t="shared" si="3"/>
        <v>-0.28507097742663334</v>
      </c>
      <c r="I24" s="76">
        <f>Urbanization!$F$65</f>
        <v>0.2909652432210531</v>
      </c>
      <c r="J24" s="76">
        <f t="shared" si="4"/>
        <v>-0.9797423715314968</v>
      </c>
      <c r="K24" s="75">
        <f t="shared" si="5"/>
        <v>0</v>
      </c>
      <c r="L24" s="75">
        <f t="shared" si="6"/>
        <v>0</v>
      </c>
      <c r="M24" s="76">
        <f t="shared" si="7"/>
        <v>0</v>
      </c>
      <c r="N24" s="75">
        <f t="shared" si="8"/>
        <v>0</v>
      </c>
      <c r="O24" s="75">
        <f t="shared" si="9"/>
        <v>0</v>
      </c>
      <c r="P24" s="75">
        <f t="shared" si="10"/>
        <v>0.75</v>
      </c>
      <c r="Q24" s="75">
        <f t="shared" si="11"/>
        <v>0</v>
      </c>
      <c r="R24" s="75">
        <f t="shared" si="12"/>
        <v>0.75</v>
      </c>
    </row>
    <row r="25" spans="1:18" ht="12.75">
      <c r="A25" s="4" t="s">
        <v>21</v>
      </c>
      <c r="B25" s="43">
        <v>247289</v>
      </c>
      <c r="C25" s="43">
        <v>14387</v>
      </c>
      <c r="D25" s="17">
        <f t="shared" si="1"/>
        <v>232902</v>
      </c>
      <c r="E25" s="80">
        <f t="shared" si="2"/>
        <v>0.05817889190380486</v>
      </c>
      <c r="F25" s="76">
        <f t="shared" si="0"/>
        <v>0.9418211080961951</v>
      </c>
      <c r="G25" s="76">
        <f>Urbanization!$F$64</f>
        <v>0.9445922147041679</v>
      </c>
      <c r="H25" s="76">
        <f t="shared" si="3"/>
        <v>-0.002771106607972751</v>
      </c>
      <c r="I25" s="76">
        <f>Urbanization!$F$65</f>
        <v>0.2909652432210531</v>
      </c>
      <c r="J25" s="76">
        <f t="shared" si="4"/>
        <v>-0.009523840639163476</v>
      </c>
      <c r="K25" s="75">
        <f t="shared" si="5"/>
        <v>0</v>
      </c>
      <c r="L25" s="75">
        <f t="shared" si="6"/>
        <v>0</v>
      </c>
      <c r="M25" s="76">
        <f t="shared" si="7"/>
        <v>0</v>
      </c>
      <c r="N25" s="75">
        <f t="shared" si="8"/>
        <v>0</v>
      </c>
      <c r="O25" s="75">
        <f t="shared" si="9"/>
        <v>0.875</v>
      </c>
      <c r="P25" s="75">
        <f t="shared" si="10"/>
        <v>0</v>
      </c>
      <c r="Q25" s="75">
        <f t="shared" si="11"/>
        <v>0</v>
      </c>
      <c r="R25" s="75">
        <f t="shared" si="12"/>
        <v>0.875</v>
      </c>
    </row>
    <row r="26" spans="1:18" s="117" customFormat="1" ht="12.75">
      <c r="A26" s="39" t="s">
        <v>22</v>
      </c>
      <c r="B26" s="113">
        <v>17130</v>
      </c>
      <c r="C26" s="113">
        <v>17130</v>
      </c>
      <c r="D26" s="40">
        <f t="shared" si="1"/>
        <v>0</v>
      </c>
      <c r="E26" s="114">
        <f t="shared" si="2"/>
        <v>1</v>
      </c>
      <c r="F26" s="115">
        <f t="shared" si="0"/>
        <v>0</v>
      </c>
      <c r="G26" s="115">
        <f>Urbanization!$F$64</f>
        <v>0.9445922147041679</v>
      </c>
      <c r="H26" s="115">
        <f t="shared" si="3"/>
        <v>-0.9445922147041679</v>
      </c>
      <c r="I26" s="115">
        <f>Urbanization!$F$65</f>
        <v>0.2909652432210531</v>
      </c>
      <c r="J26" s="115">
        <f t="shared" si="4"/>
        <v>-3.2464091045628396</v>
      </c>
      <c r="K26" s="116">
        <f t="shared" si="5"/>
        <v>0</v>
      </c>
      <c r="L26" s="116">
        <f t="shared" si="6"/>
        <v>0</v>
      </c>
      <c r="M26" s="115">
        <f t="shared" si="7"/>
        <v>0</v>
      </c>
      <c r="N26" s="116">
        <f t="shared" si="8"/>
        <v>0</v>
      </c>
      <c r="O26" s="116">
        <f t="shared" si="9"/>
        <v>0</v>
      </c>
      <c r="P26" s="116">
        <f t="shared" si="10"/>
        <v>0</v>
      </c>
      <c r="Q26" s="116">
        <f t="shared" si="11"/>
        <v>0.5</v>
      </c>
      <c r="R26" s="116">
        <f t="shared" si="12"/>
        <v>0.5</v>
      </c>
    </row>
    <row r="27" spans="1:18" s="117" customFormat="1" ht="12.75">
      <c r="A27" s="39" t="s">
        <v>23</v>
      </c>
      <c r="B27" s="113">
        <v>86265</v>
      </c>
      <c r="C27" s="113">
        <v>39649</v>
      </c>
      <c r="D27" s="40">
        <f t="shared" si="1"/>
        <v>46616</v>
      </c>
      <c r="E27" s="114">
        <f t="shared" si="2"/>
        <v>0.4596186170521069</v>
      </c>
      <c r="F27" s="115">
        <f t="shared" si="0"/>
        <v>0.5403813829478932</v>
      </c>
      <c r="G27" s="115">
        <f>Urbanization!$F$64</f>
        <v>0.9445922147041679</v>
      </c>
      <c r="H27" s="115">
        <f t="shared" si="3"/>
        <v>-0.4042108317562747</v>
      </c>
      <c r="I27" s="115">
        <f>Urbanization!$F$65</f>
        <v>0.2909652432210531</v>
      </c>
      <c r="J27" s="115">
        <f t="shared" si="4"/>
        <v>-1.3892065845444854</v>
      </c>
      <c r="K27" s="116">
        <f t="shared" si="5"/>
        <v>0</v>
      </c>
      <c r="L27" s="116">
        <f t="shared" si="6"/>
        <v>0</v>
      </c>
      <c r="M27" s="115">
        <f t="shared" si="7"/>
        <v>0</v>
      </c>
      <c r="N27" s="116">
        <f t="shared" si="8"/>
        <v>0</v>
      </c>
      <c r="O27" s="116">
        <f t="shared" si="9"/>
        <v>0</v>
      </c>
      <c r="P27" s="116">
        <f t="shared" si="10"/>
        <v>0</v>
      </c>
      <c r="Q27" s="116">
        <f t="shared" si="11"/>
        <v>0.5</v>
      </c>
      <c r="R27" s="116">
        <f t="shared" si="12"/>
        <v>0.5</v>
      </c>
    </row>
    <row r="28" spans="1:18" ht="12.75">
      <c r="A28" s="4" t="s">
        <v>24</v>
      </c>
      <c r="B28" s="43">
        <v>210554</v>
      </c>
      <c r="C28" s="43">
        <v>35639</v>
      </c>
      <c r="D28" s="17">
        <f t="shared" si="1"/>
        <v>174915</v>
      </c>
      <c r="E28" s="80">
        <f t="shared" si="2"/>
        <v>0.16926299191656297</v>
      </c>
      <c r="F28" s="76">
        <f t="shared" si="0"/>
        <v>0.8307370080834371</v>
      </c>
      <c r="G28" s="76">
        <f>Urbanization!$F$64</f>
        <v>0.9445922147041679</v>
      </c>
      <c r="H28" s="76">
        <f t="shared" si="3"/>
        <v>-0.11385520662073079</v>
      </c>
      <c r="I28" s="76">
        <f>Urbanization!$F$65</f>
        <v>0.2909652432210531</v>
      </c>
      <c r="J28" s="76">
        <f t="shared" si="4"/>
        <v>-0.391301742298589</v>
      </c>
      <c r="K28" s="75">
        <f t="shared" si="5"/>
        <v>0</v>
      </c>
      <c r="L28" s="75">
        <f t="shared" si="6"/>
        <v>0</v>
      </c>
      <c r="M28" s="76">
        <f t="shared" si="7"/>
        <v>0</v>
      </c>
      <c r="N28" s="75">
        <f t="shared" si="8"/>
        <v>0</v>
      </c>
      <c r="O28" s="75">
        <f t="shared" si="9"/>
        <v>0.875</v>
      </c>
      <c r="P28" s="75">
        <f t="shared" si="10"/>
        <v>0</v>
      </c>
      <c r="Q28" s="75">
        <f t="shared" si="11"/>
        <v>0</v>
      </c>
      <c r="R28" s="75">
        <f t="shared" si="12"/>
        <v>0.875</v>
      </c>
    </row>
    <row r="29" spans="1:18" s="117" customFormat="1" ht="12.75">
      <c r="A29" s="39" t="s">
        <v>25</v>
      </c>
      <c r="B29" s="113">
        <v>9449</v>
      </c>
      <c r="C29" s="113">
        <v>6559</v>
      </c>
      <c r="D29" s="40">
        <f t="shared" si="1"/>
        <v>2890</v>
      </c>
      <c r="E29" s="114">
        <f t="shared" si="2"/>
        <v>0.6941475288390306</v>
      </c>
      <c r="F29" s="115">
        <f t="shared" si="0"/>
        <v>0.30585247116096936</v>
      </c>
      <c r="G29" s="115">
        <f>Urbanization!$F$64</f>
        <v>0.9445922147041679</v>
      </c>
      <c r="H29" s="115">
        <f t="shared" si="3"/>
        <v>-0.6387397435431985</v>
      </c>
      <c r="I29" s="115">
        <f>Urbanization!$F$65</f>
        <v>0.2909652432210531</v>
      </c>
      <c r="J29" s="115">
        <f t="shared" si="4"/>
        <v>-2.1952441345646667</v>
      </c>
      <c r="K29" s="116">
        <f t="shared" si="5"/>
        <v>0</v>
      </c>
      <c r="L29" s="116">
        <f t="shared" si="6"/>
        <v>0</v>
      </c>
      <c r="M29" s="115">
        <f t="shared" si="7"/>
        <v>0</v>
      </c>
      <c r="N29" s="116">
        <f t="shared" si="8"/>
        <v>0</v>
      </c>
      <c r="O29" s="116">
        <f t="shared" si="9"/>
        <v>0</v>
      </c>
      <c r="P29" s="116">
        <f t="shared" si="10"/>
        <v>0</v>
      </c>
      <c r="Q29" s="116">
        <f t="shared" si="11"/>
        <v>0.5</v>
      </c>
      <c r="R29" s="116">
        <f t="shared" si="12"/>
        <v>0.5</v>
      </c>
    </row>
    <row r="30" spans="1:18" s="117" customFormat="1" ht="12.75">
      <c r="A30" s="39" t="s">
        <v>26</v>
      </c>
      <c r="B30" s="113">
        <v>12853</v>
      </c>
      <c r="C30" s="113">
        <v>7022</v>
      </c>
      <c r="D30" s="40">
        <f t="shared" si="1"/>
        <v>5831</v>
      </c>
      <c r="E30" s="114">
        <f t="shared" si="2"/>
        <v>0.546331595736404</v>
      </c>
      <c r="F30" s="115">
        <f t="shared" si="0"/>
        <v>0.453668404263596</v>
      </c>
      <c r="G30" s="115">
        <f>Urbanization!$F$64</f>
        <v>0.9445922147041679</v>
      </c>
      <c r="H30" s="115">
        <f t="shared" si="3"/>
        <v>-0.4909238104405719</v>
      </c>
      <c r="I30" s="115">
        <f>Urbanization!$F$65</f>
        <v>0.2909652432210531</v>
      </c>
      <c r="J30" s="115">
        <f t="shared" si="4"/>
        <v>-1.6872249242072035</v>
      </c>
      <c r="K30" s="116">
        <f t="shared" si="5"/>
        <v>0</v>
      </c>
      <c r="L30" s="116">
        <f t="shared" si="6"/>
        <v>0</v>
      </c>
      <c r="M30" s="115">
        <f t="shared" si="7"/>
        <v>0</v>
      </c>
      <c r="N30" s="116">
        <f t="shared" si="8"/>
        <v>0</v>
      </c>
      <c r="O30" s="116">
        <f t="shared" si="9"/>
        <v>0</v>
      </c>
      <c r="P30" s="116">
        <f t="shared" si="10"/>
        <v>0</v>
      </c>
      <c r="Q30" s="116">
        <f t="shared" si="11"/>
        <v>0.5</v>
      </c>
      <c r="R30" s="116">
        <f t="shared" si="12"/>
        <v>0.5</v>
      </c>
    </row>
    <row r="31" spans="1:18" ht="12.75">
      <c r="A31" s="4" t="s">
        <v>27</v>
      </c>
      <c r="B31" s="43">
        <v>401762</v>
      </c>
      <c r="C31" s="43">
        <v>43571</v>
      </c>
      <c r="D31" s="17">
        <f t="shared" si="1"/>
        <v>358191</v>
      </c>
      <c r="E31" s="80">
        <f t="shared" si="2"/>
        <v>0.10844977872471762</v>
      </c>
      <c r="F31" s="76">
        <f t="shared" si="0"/>
        <v>0.8915502212752824</v>
      </c>
      <c r="G31" s="76">
        <f>Urbanization!$F$64</f>
        <v>0.9445922147041679</v>
      </c>
      <c r="H31" s="76">
        <f t="shared" si="3"/>
        <v>-0.05304199342888549</v>
      </c>
      <c r="I31" s="76">
        <f>Urbanization!$F$65</f>
        <v>0.2909652432210531</v>
      </c>
      <c r="J31" s="76">
        <f t="shared" si="4"/>
        <v>-0.18229666485831178</v>
      </c>
      <c r="K31" s="75">
        <f t="shared" si="5"/>
        <v>0</v>
      </c>
      <c r="L31" s="75">
        <f t="shared" si="6"/>
        <v>0</v>
      </c>
      <c r="M31" s="76">
        <f t="shared" si="7"/>
        <v>0</v>
      </c>
      <c r="N31" s="75">
        <f t="shared" si="8"/>
        <v>0</v>
      </c>
      <c r="O31" s="75">
        <f t="shared" si="9"/>
        <v>0.875</v>
      </c>
      <c r="P31" s="75">
        <f t="shared" si="10"/>
        <v>0</v>
      </c>
      <c r="Q31" s="75">
        <f t="shared" si="11"/>
        <v>0</v>
      </c>
      <c r="R31" s="75">
        <f t="shared" si="12"/>
        <v>0.875</v>
      </c>
    </row>
    <row r="32" spans="1:18" ht="12.75">
      <c r="A32" s="4" t="s">
        <v>28</v>
      </c>
      <c r="B32" s="43">
        <v>124279</v>
      </c>
      <c r="C32" s="43">
        <v>19725</v>
      </c>
      <c r="D32" s="17">
        <f t="shared" si="1"/>
        <v>104554</v>
      </c>
      <c r="E32" s="80">
        <f t="shared" si="2"/>
        <v>0.15871547083578078</v>
      </c>
      <c r="F32" s="76">
        <f t="shared" si="0"/>
        <v>0.8412845291642193</v>
      </c>
      <c r="G32" s="76">
        <f>Urbanization!$F$64</f>
        <v>0.9445922147041679</v>
      </c>
      <c r="H32" s="76">
        <f t="shared" si="3"/>
        <v>-0.10330768553994862</v>
      </c>
      <c r="I32" s="76">
        <f>Urbanization!$F$65</f>
        <v>0.2909652432210531</v>
      </c>
      <c r="J32" s="76">
        <f t="shared" si="4"/>
        <v>-0.3550516357084731</v>
      </c>
      <c r="K32" s="75">
        <f t="shared" si="5"/>
        <v>0</v>
      </c>
      <c r="L32" s="75">
        <f t="shared" si="6"/>
        <v>0</v>
      </c>
      <c r="M32" s="76">
        <f t="shared" si="7"/>
        <v>0</v>
      </c>
      <c r="N32" s="75">
        <f t="shared" si="8"/>
        <v>0</v>
      </c>
      <c r="O32" s="75">
        <f t="shared" si="9"/>
        <v>0.875</v>
      </c>
      <c r="P32" s="75">
        <f t="shared" si="10"/>
        <v>0</v>
      </c>
      <c r="Q32" s="75">
        <f t="shared" si="11"/>
        <v>0</v>
      </c>
      <c r="R32" s="75">
        <f t="shared" si="12"/>
        <v>0.875</v>
      </c>
    </row>
    <row r="33" spans="1:18" s="117" customFormat="1" ht="12.75">
      <c r="A33" s="39" t="s">
        <v>29</v>
      </c>
      <c r="B33" s="113">
        <v>92033</v>
      </c>
      <c r="C33" s="113">
        <v>39822</v>
      </c>
      <c r="D33" s="40">
        <f t="shared" si="1"/>
        <v>52211</v>
      </c>
      <c r="E33" s="114">
        <f t="shared" si="2"/>
        <v>0.43269262112503126</v>
      </c>
      <c r="F33" s="115">
        <f t="shared" si="0"/>
        <v>0.5673073788749687</v>
      </c>
      <c r="G33" s="115">
        <f>Urbanization!$F$64</f>
        <v>0.9445922147041679</v>
      </c>
      <c r="H33" s="115">
        <f t="shared" si="3"/>
        <v>-0.37728483582919914</v>
      </c>
      <c r="I33" s="115">
        <f>Urbanization!$F$65</f>
        <v>0.2909652432210531</v>
      </c>
      <c r="J33" s="115">
        <f t="shared" si="4"/>
        <v>-1.2966663359945263</v>
      </c>
      <c r="K33" s="116">
        <f t="shared" si="5"/>
        <v>0</v>
      </c>
      <c r="L33" s="116">
        <f t="shared" si="6"/>
        <v>0</v>
      </c>
      <c r="M33" s="115">
        <f t="shared" si="7"/>
        <v>0</v>
      </c>
      <c r="N33" s="116">
        <f t="shared" si="8"/>
        <v>0</v>
      </c>
      <c r="O33" s="116">
        <f t="shared" si="9"/>
        <v>0</v>
      </c>
      <c r="P33" s="116">
        <f t="shared" si="10"/>
        <v>0</v>
      </c>
      <c r="Q33" s="116">
        <f t="shared" si="11"/>
        <v>0.5</v>
      </c>
      <c r="R33" s="116">
        <f t="shared" si="12"/>
        <v>0.5</v>
      </c>
    </row>
    <row r="34" spans="1:18" ht="12.75">
      <c r="A34" s="4" t="s">
        <v>30</v>
      </c>
      <c r="B34" s="43">
        <v>2846289</v>
      </c>
      <c r="C34" s="43">
        <v>5453</v>
      </c>
      <c r="D34" s="17">
        <f t="shared" si="1"/>
        <v>2840836</v>
      </c>
      <c r="E34" s="80">
        <f t="shared" si="2"/>
        <v>0.0019158279429811942</v>
      </c>
      <c r="F34" s="76">
        <f t="shared" si="0"/>
        <v>0.9980841720570188</v>
      </c>
      <c r="G34" s="76">
        <f>Urbanization!$F$64</f>
        <v>0.9445922147041679</v>
      </c>
      <c r="H34" s="76">
        <f t="shared" si="3"/>
        <v>0.05349195735285095</v>
      </c>
      <c r="I34" s="76">
        <f>Urbanization!$F$65</f>
        <v>0.2909652432210531</v>
      </c>
      <c r="J34" s="76">
        <f t="shared" si="4"/>
        <v>0.18384311734515954</v>
      </c>
      <c r="K34" s="75">
        <f t="shared" si="5"/>
        <v>0</v>
      </c>
      <c r="L34" s="75">
        <f t="shared" si="6"/>
        <v>0</v>
      </c>
      <c r="M34" s="76">
        <f t="shared" si="7"/>
        <v>1.25</v>
      </c>
      <c r="N34" s="75">
        <f t="shared" si="8"/>
        <v>0</v>
      </c>
      <c r="O34" s="75">
        <f t="shared" si="9"/>
        <v>0</v>
      </c>
      <c r="P34" s="75">
        <f t="shared" si="10"/>
        <v>0</v>
      </c>
      <c r="Q34" s="75">
        <f t="shared" si="11"/>
        <v>0</v>
      </c>
      <c r="R34" s="75">
        <f t="shared" si="12"/>
        <v>1.25</v>
      </c>
    </row>
    <row r="35" spans="1:18" ht="12.75">
      <c r="A35" s="4" t="s">
        <v>31</v>
      </c>
      <c r="B35" s="43">
        <v>248399</v>
      </c>
      <c r="C35" s="43">
        <v>52585</v>
      </c>
      <c r="D35" s="17">
        <f t="shared" si="1"/>
        <v>195814</v>
      </c>
      <c r="E35" s="80">
        <f t="shared" si="2"/>
        <v>0.21169569925804854</v>
      </c>
      <c r="F35" s="76">
        <f t="shared" si="0"/>
        <v>0.7883043007419515</v>
      </c>
      <c r="G35" s="76">
        <f>Urbanization!$F$64</f>
        <v>0.9445922147041679</v>
      </c>
      <c r="H35" s="76">
        <f t="shared" si="3"/>
        <v>-0.15628791396221642</v>
      </c>
      <c r="I35" s="76">
        <f>Urbanization!$F$65</f>
        <v>0.2909652432210531</v>
      </c>
      <c r="J35" s="76">
        <f t="shared" si="4"/>
        <v>-0.537136024330854</v>
      </c>
      <c r="K35" s="75">
        <f t="shared" si="5"/>
        <v>0</v>
      </c>
      <c r="L35" s="75">
        <f t="shared" si="6"/>
        <v>0</v>
      </c>
      <c r="M35" s="76">
        <f t="shared" si="7"/>
        <v>0</v>
      </c>
      <c r="N35" s="75">
        <f t="shared" si="8"/>
        <v>0</v>
      </c>
      <c r="O35" s="75">
        <f t="shared" si="9"/>
        <v>0</v>
      </c>
      <c r="P35" s="75">
        <f t="shared" si="10"/>
        <v>0.75</v>
      </c>
      <c r="Q35" s="75">
        <f t="shared" si="11"/>
        <v>0</v>
      </c>
      <c r="R35" s="75">
        <f t="shared" si="12"/>
        <v>0.75</v>
      </c>
    </row>
    <row r="36" spans="1:18" s="117" customFormat="1" ht="12.75">
      <c r="A36" s="39" t="s">
        <v>32</v>
      </c>
      <c r="B36" s="113">
        <v>20824</v>
      </c>
      <c r="C36" s="113">
        <v>18156</v>
      </c>
      <c r="D36" s="40">
        <f t="shared" si="1"/>
        <v>2668</v>
      </c>
      <c r="E36" s="114">
        <f t="shared" si="2"/>
        <v>0.8718786016135228</v>
      </c>
      <c r="F36" s="115">
        <f t="shared" si="0"/>
        <v>0.12812139838647718</v>
      </c>
      <c r="G36" s="115">
        <f>Urbanization!$F$64</f>
        <v>0.9445922147041679</v>
      </c>
      <c r="H36" s="115">
        <f t="shared" si="3"/>
        <v>-0.8164708163176907</v>
      </c>
      <c r="I36" s="115">
        <f>Urbanization!$F$65</f>
        <v>0.2909652432210531</v>
      </c>
      <c r="J36" s="115">
        <f t="shared" si="4"/>
        <v>-2.806076792125301</v>
      </c>
      <c r="K36" s="116">
        <f t="shared" si="5"/>
        <v>0</v>
      </c>
      <c r="L36" s="116">
        <f t="shared" si="6"/>
        <v>0</v>
      </c>
      <c r="M36" s="115">
        <f t="shared" si="7"/>
        <v>0</v>
      </c>
      <c r="N36" s="116">
        <f t="shared" si="8"/>
        <v>0</v>
      </c>
      <c r="O36" s="116">
        <f t="shared" si="9"/>
        <v>0</v>
      </c>
      <c r="P36" s="116">
        <f t="shared" si="10"/>
        <v>0</v>
      </c>
      <c r="Q36" s="116">
        <f t="shared" si="11"/>
        <v>0.5</v>
      </c>
      <c r="R36" s="116">
        <f t="shared" si="12"/>
        <v>0.5</v>
      </c>
    </row>
    <row r="37" spans="1:18" ht="12.75">
      <c r="A37" s="4" t="s">
        <v>33</v>
      </c>
      <c r="B37" s="43">
        <v>1545387</v>
      </c>
      <c r="C37" s="43">
        <v>105841</v>
      </c>
      <c r="D37" s="17">
        <f t="shared" si="1"/>
        <v>1439546</v>
      </c>
      <c r="E37" s="80">
        <f t="shared" si="2"/>
        <v>0.06848834628478175</v>
      </c>
      <c r="F37" s="76">
        <f aca="true" t="shared" si="13" ref="F37:F62">1-E37</f>
        <v>0.9315116537152183</v>
      </c>
      <c r="G37" s="76">
        <f>Urbanization!$F$64</f>
        <v>0.9445922147041679</v>
      </c>
      <c r="H37" s="76">
        <f t="shared" si="3"/>
        <v>-0.013080560988949608</v>
      </c>
      <c r="I37" s="76">
        <f>Urbanization!$F$65</f>
        <v>0.2909652432210531</v>
      </c>
      <c r="J37" s="76">
        <f t="shared" si="4"/>
        <v>-0.044955750879880865</v>
      </c>
      <c r="K37" s="75">
        <f t="shared" si="5"/>
        <v>0</v>
      </c>
      <c r="L37" s="75">
        <f t="shared" si="6"/>
        <v>0</v>
      </c>
      <c r="M37" s="76">
        <f t="shared" si="7"/>
        <v>0</v>
      </c>
      <c r="N37" s="75">
        <f t="shared" si="8"/>
        <v>0</v>
      </c>
      <c r="O37" s="75">
        <f t="shared" si="9"/>
        <v>0.875</v>
      </c>
      <c r="P37" s="75">
        <f t="shared" si="10"/>
        <v>0</v>
      </c>
      <c r="Q37" s="75">
        <f t="shared" si="11"/>
        <v>0</v>
      </c>
      <c r="R37" s="75">
        <f t="shared" si="12"/>
        <v>0.875</v>
      </c>
    </row>
    <row r="38" spans="1:18" ht="12.75">
      <c r="A38" s="4" t="s">
        <v>34</v>
      </c>
      <c r="B38" s="43">
        <v>1223499</v>
      </c>
      <c r="C38" s="43">
        <v>29074</v>
      </c>
      <c r="D38" s="17">
        <f t="shared" si="1"/>
        <v>1194425</v>
      </c>
      <c r="E38" s="80">
        <f t="shared" si="2"/>
        <v>0.02376299449366121</v>
      </c>
      <c r="F38" s="76">
        <f t="shared" si="13"/>
        <v>0.9762370055063387</v>
      </c>
      <c r="G38" s="76">
        <f>Urbanization!$F$64</f>
        <v>0.9445922147041679</v>
      </c>
      <c r="H38" s="76">
        <f t="shared" si="3"/>
        <v>0.031644790802170863</v>
      </c>
      <c r="I38" s="76">
        <f>Urbanization!$F$65</f>
        <v>0.2909652432210531</v>
      </c>
      <c r="J38" s="76">
        <f t="shared" si="4"/>
        <v>0.10875797552950191</v>
      </c>
      <c r="K38" s="75">
        <f t="shared" si="5"/>
        <v>0</v>
      </c>
      <c r="L38" s="75">
        <f t="shared" si="6"/>
        <v>0</v>
      </c>
      <c r="M38" s="76">
        <f t="shared" si="7"/>
        <v>1.25</v>
      </c>
      <c r="N38" s="75">
        <f t="shared" si="8"/>
        <v>0</v>
      </c>
      <c r="O38" s="75">
        <f t="shared" si="9"/>
        <v>0</v>
      </c>
      <c r="P38" s="75">
        <f t="shared" si="10"/>
        <v>0</v>
      </c>
      <c r="Q38" s="75">
        <f t="shared" si="11"/>
        <v>0</v>
      </c>
      <c r="R38" s="75">
        <f t="shared" si="12"/>
        <v>1.25</v>
      </c>
    </row>
    <row r="39" spans="1:18" s="117" customFormat="1" ht="12.75">
      <c r="A39" s="39" t="s">
        <v>35</v>
      </c>
      <c r="B39" s="113">
        <v>53234</v>
      </c>
      <c r="C39" s="113">
        <v>11951</v>
      </c>
      <c r="D39" s="40">
        <f t="shared" si="1"/>
        <v>41283</v>
      </c>
      <c r="E39" s="114">
        <f t="shared" si="2"/>
        <v>0.22449938009542775</v>
      </c>
      <c r="F39" s="115">
        <f t="shared" si="13"/>
        <v>0.7755006199045722</v>
      </c>
      <c r="G39" s="115">
        <f>Urbanization!$F$64</f>
        <v>0.9445922147041679</v>
      </c>
      <c r="H39" s="115">
        <f t="shared" si="3"/>
        <v>-0.16909159479959568</v>
      </c>
      <c r="I39" s="115">
        <f>Urbanization!$F$65</f>
        <v>0.2909652432210531</v>
      </c>
      <c r="J39" s="115">
        <f t="shared" si="4"/>
        <v>-0.5811401833693685</v>
      </c>
      <c r="K39" s="116">
        <f t="shared" si="5"/>
        <v>0</v>
      </c>
      <c r="L39" s="116">
        <f t="shared" si="6"/>
        <v>0</v>
      </c>
      <c r="M39" s="115">
        <f t="shared" si="7"/>
        <v>0</v>
      </c>
      <c r="N39" s="116">
        <f t="shared" si="8"/>
        <v>0</v>
      </c>
      <c r="O39" s="116">
        <f t="shared" si="9"/>
        <v>0</v>
      </c>
      <c r="P39" s="116">
        <f t="shared" si="10"/>
        <v>0.75</v>
      </c>
      <c r="Q39" s="116">
        <f t="shared" si="11"/>
        <v>0</v>
      </c>
      <c r="R39" s="116">
        <f t="shared" si="12"/>
        <v>0.75</v>
      </c>
    </row>
    <row r="40" spans="1:18" ht="12.75">
      <c r="A40" s="4" t="s">
        <v>36</v>
      </c>
      <c r="B40" s="43">
        <v>1709434</v>
      </c>
      <c r="C40" s="43">
        <v>96453</v>
      </c>
      <c r="D40" s="17">
        <f t="shared" si="1"/>
        <v>1612981</v>
      </c>
      <c r="E40" s="80">
        <f t="shared" si="2"/>
        <v>0.05642393915178942</v>
      </c>
      <c r="F40" s="76">
        <f t="shared" si="13"/>
        <v>0.9435760608482106</v>
      </c>
      <c r="G40" s="76">
        <f>Urbanization!$F$64</f>
        <v>0.9445922147041679</v>
      </c>
      <c r="H40" s="76">
        <f t="shared" si="3"/>
        <v>-0.0010161538559573247</v>
      </c>
      <c r="I40" s="76">
        <f>Urbanization!$F$65</f>
        <v>0.2909652432210531</v>
      </c>
      <c r="J40" s="76">
        <f t="shared" si="4"/>
        <v>-0.003492354773059024</v>
      </c>
      <c r="K40" s="75">
        <f t="shared" si="5"/>
        <v>0</v>
      </c>
      <c r="L40" s="75">
        <f t="shared" si="6"/>
        <v>0</v>
      </c>
      <c r="M40" s="76">
        <f t="shared" si="7"/>
        <v>0</v>
      </c>
      <c r="N40" s="75">
        <f t="shared" si="8"/>
        <v>0</v>
      </c>
      <c r="O40" s="75">
        <f t="shared" si="9"/>
        <v>0.875</v>
      </c>
      <c r="P40" s="75">
        <f t="shared" si="10"/>
        <v>0</v>
      </c>
      <c r="Q40" s="75">
        <f t="shared" si="11"/>
        <v>0</v>
      </c>
      <c r="R40" s="75">
        <f t="shared" si="12"/>
        <v>0.875</v>
      </c>
    </row>
    <row r="41" spans="1:18" ht="12.75">
      <c r="A41" s="4" t="s">
        <v>37</v>
      </c>
      <c r="B41" s="43">
        <v>2813833</v>
      </c>
      <c r="C41" s="43">
        <v>108758</v>
      </c>
      <c r="D41" s="17">
        <f t="shared" si="1"/>
        <v>2705075</v>
      </c>
      <c r="E41" s="80">
        <f t="shared" si="2"/>
        <v>0.03865119216385621</v>
      </c>
      <c r="F41" s="76">
        <f t="shared" si="13"/>
        <v>0.9613488078361438</v>
      </c>
      <c r="G41" s="76">
        <f>Urbanization!$F$64</f>
        <v>0.9445922147041679</v>
      </c>
      <c r="H41" s="76">
        <f t="shared" si="3"/>
        <v>0.016756593131975972</v>
      </c>
      <c r="I41" s="76">
        <f>Urbanization!$F$65</f>
        <v>0.2909652432210531</v>
      </c>
      <c r="J41" s="76">
        <f t="shared" si="4"/>
        <v>0.057589672726806054</v>
      </c>
      <c r="K41" s="75">
        <f t="shared" si="5"/>
        <v>0</v>
      </c>
      <c r="L41" s="75">
        <f t="shared" si="6"/>
        <v>0</v>
      </c>
      <c r="M41" s="76">
        <f t="shared" si="7"/>
        <v>1.25</v>
      </c>
      <c r="N41" s="75">
        <f t="shared" si="8"/>
        <v>0</v>
      </c>
      <c r="O41" s="75">
        <f t="shared" si="9"/>
        <v>0</v>
      </c>
      <c r="P41" s="75">
        <f t="shared" si="10"/>
        <v>0</v>
      </c>
      <c r="Q41" s="75">
        <f t="shared" si="11"/>
        <v>0</v>
      </c>
      <c r="R41" s="75">
        <f t="shared" si="12"/>
        <v>1.25</v>
      </c>
    </row>
    <row r="42" spans="1:18" ht="12.75">
      <c r="A42" s="4" t="s">
        <v>38</v>
      </c>
      <c r="B42" s="43">
        <v>776733</v>
      </c>
      <c r="C42" s="60">
        <v>0</v>
      </c>
      <c r="D42" s="17">
        <f t="shared" si="1"/>
        <v>776733</v>
      </c>
      <c r="E42" s="80">
        <f t="shared" si="2"/>
        <v>0</v>
      </c>
      <c r="F42" s="76">
        <f t="shared" si="13"/>
        <v>1</v>
      </c>
      <c r="G42" s="76">
        <f>Urbanization!$F$64</f>
        <v>0.9445922147041679</v>
      </c>
      <c r="H42" s="76">
        <f t="shared" si="3"/>
        <v>0.055407785295832124</v>
      </c>
      <c r="I42" s="76">
        <f>Urbanization!$F$65</f>
        <v>0.2909652432210531</v>
      </c>
      <c r="J42" s="76">
        <f t="shared" si="4"/>
        <v>0.1904275049571386</v>
      </c>
      <c r="K42" s="75">
        <f t="shared" si="5"/>
        <v>0</v>
      </c>
      <c r="L42" s="75">
        <f t="shared" si="6"/>
        <v>0</v>
      </c>
      <c r="M42" s="76">
        <f t="shared" si="7"/>
        <v>1.25</v>
      </c>
      <c r="N42" s="75">
        <f t="shared" si="8"/>
        <v>0</v>
      </c>
      <c r="O42" s="75">
        <f t="shared" si="9"/>
        <v>0</v>
      </c>
      <c r="P42" s="75">
        <f t="shared" si="10"/>
        <v>0</v>
      </c>
      <c r="Q42" s="75">
        <f t="shared" si="11"/>
        <v>0</v>
      </c>
      <c r="R42" s="75">
        <f t="shared" si="12"/>
        <v>1.25</v>
      </c>
    </row>
    <row r="43" spans="1:18" ht="12.75">
      <c r="A43" s="4" t="s">
        <v>39</v>
      </c>
      <c r="B43" s="43">
        <v>563598</v>
      </c>
      <c r="C43" s="43">
        <v>55889</v>
      </c>
      <c r="D43" s="17">
        <f t="shared" si="1"/>
        <v>507709</v>
      </c>
      <c r="E43" s="80">
        <f t="shared" si="2"/>
        <v>0.09916465281991774</v>
      </c>
      <c r="F43" s="76">
        <f t="shared" si="13"/>
        <v>0.9008353471800823</v>
      </c>
      <c r="G43" s="76">
        <f>Urbanization!$F$64</f>
        <v>0.9445922147041679</v>
      </c>
      <c r="H43" s="76">
        <f t="shared" si="3"/>
        <v>-0.043756867524085585</v>
      </c>
      <c r="I43" s="76">
        <f>Urbanization!$F$65</f>
        <v>0.2909652432210531</v>
      </c>
      <c r="J43" s="76">
        <f t="shared" si="4"/>
        <v>-0.15038520422469315</v>
      </c>
      <c r="K43" s="75">
        <f t="shared" si="5"/>
        <v>0</v>
      </c>
      <c r="L43" s="75">
        <f t="shared" si="6"/>
        <v>0</v>
      </c>
      <c r="M43" s="76">
        <f t="shared" si="7"/>
        <v>0</v>
      </c>
      <c r="N43" s="75">
        <f t="shared" si="8"/>
        <v>0</v>
      </c>
      <c r="O43" s="75">
        <f t="shared" si="9"/>
        <v>0.875</v>
      </c>
      <c r="P43" s="75">
        <f t="shared" si="10"/>
        <v>0</v>
      </c>
      <c r="Q43" s="75">
        <f t="shared" si="11"/>
        <v>0</v>
      </c>
      <c r="R43" s="75">
        <f t="shared" si="12"/>
        <v>0.875</v>
      </c>
    </row>
    <row r="44" spans="1:18" ht="12.75">
      <c r="A44" s="4" t="s">
        <v>40</v>
      </c>
      <c r="B44" s="43">
        <v>246681</v>
      </c>
      <c r="C44" s="43">
        <v>46435</v>
      </c>
      <c r="D44" s="17">
        <f t="shared" si="1"/>
        <v>200246</v>
      </c>
      <c r="E44" s="80">
        <f t="shared" si="2"/>
        <v>0.18823906178424768</v>
      </c>
      <c r="F44" s="76">
        <f t="shared" si="13"/>
        <v>0.8117609382157523</v>
      </c>
      <c r="G44" s="76">
        <f>Urbanization!$F$64</f>
        <v>0.9445922147041679</v>
      </c>
      <c r="H44" s="76">
        <f t="shared" si="3"/>
        <v>-0.13283127648841553</v>
      </c>
      <c r="I44" s="76">
        <f>Urbanization!$F$65</f>
        <v>0.2909652432210531</v>
      </c>
      <c r="J44" s="76">
        <f t="shared" si="4"/>
        <v>-0.45651939392465685</v>
      </c>
      <c r="K44" s="75">
        <f t="shared" si="5"/>
        <v>0</v>
      </c>
      <c r="L44" s="75">
        <f t="shared" si="6"/>
        <v>0</v>
      </c>
      <c r="M44" s="76">
        <f t="shared" si="7"/>
        <v>0</v>
      </c>
      <c r="N44" s="75">
        <f t="shared" si="8"/>
        <v>0</v>
      </c>
      <c r="O44" s="75">
        <f t="shared" si="9"/>
        <v>0.875</v>
      </c>
      <c r="P44" s="75">
        <f t="shared" si="10"/>
        <v>0</v>
      </c>
      <c r="Q44" s="75">
        <f t="shared" si="11"/>
        <v>0</v>
      </c>
      <c r="R44" s="75">
        <f t="shared" si="12"/>
        <v>0.875</v>
      </c>
    </row>
    <row r="45" spans="1:18" ht="12.75">
      <c r="A45" s="4" t="s">
        <v>41</v>
      </c>
      <c r="B45" s="43">
        <v>707161</v>
      </c>
      <c r="C45" s="43">
        <v>9690</v>
      </c>
      <c r="D45" s="17">
        <f t="shared" si="1"/>
        <v>697471</v>
      </c>
      <c r="E45" s="80">
        <f t="shared" si="2"/>
        <v>0.013702678739353555</v>
      </c>
      <c r="F45" s="76">
        <f t="shared" si="13"/>
        <v>0.9862973212606464</v>
      </c>
      <c r="G45" s="76">
        <f>Urbanization!$F$64</f>
        <v>0.9445922147041679</v>
      </c>
      <c r="H45" s="76">
        <f t="shared" si="3"/>
        <v>0.04170510655647852</v>
      </c>
      <c r="I45" s="76">
        <f>Urbanization!$F$65</f>
        <v>0.2909652432210531</v>
      </c>
      <c r="J45" s="76">
        <f t="shared" si="4"/>
        <v>0.14333363701723706</v>
      </c>
      <c r="K45" s="75">
        <f t="shared" si="5"/>
        <v>0</v>
      </c>
      <c r="L45" s="75">
        <f t="shared" si="6"/>
        <v>0</v>
      </c>
      <c r="M45" s="76">
        <f t="shared" si="7"/>
        <v>1.25</v>
      </c>
      <c r="N45" s="75">
        <f t="shared" si="8"/>
        <v>0</v>
      </c>
      <c r="O45" s="75">
        <f t="shared" si="9"/>
        <v>0</v>
      </c>
      <c r="P45" s="75">
        <f t="shared" si="10"/>
        <v>0</v>
      </c>
      <c r="Q45" s="75">
        <f t="shared" si="11"/>
        <v>0</v>
      </c>
      <c r="R45" s="75">
        <f t="shared" si="12"/>
        <v>1.25</v>
      </c>
    </row>
    <row r="46" spans="1:18" ht="12.75">
      <c r="A46" s="4" t="s">
        <v>42</v>
      </c>
      <c r="B46" s="43">
        <v>399347</v>
      </c>
      <c r="C46" s="43">
        <v>19316</v>
      </c>
      <c r="D46" s="17">
        <f t="shared" si="1"/>
        <v>380031</v>
      </c>
      <c r="E46" s="80">
        <f t="shared" si="2"/>
        <v>0.04836896233100536</v>
      </c>
      <c r="F46" s="76">
        <f t="shared" si="13"/>
        <v>0.9516310376689946</v>
      </c>
      <c r="G46" s="76">
        <f>Urbanization!$F$64</f>
        <v>0.9445922147041679</v>
      </c>
      <c r="H46" s="76">
        <f t="shared" si="3"/>
        <v>0.007038822964826719</v>
      </c>
      <c r="I46" s="76">
        <f>Urbanization!$F$65</f>
        <v>0.2909652432210531</v>
      </c>
      <c r="J46" s="76">
        <f t="shared" si="4"/>
        <v>0.02419128445344642</v>
      </c>
      <c r="K46" s="75">
        <f t="shared" si="5"/>
        <v>0</v>
      </c>
      <c r="L46" s="75">
        <f t="shared" si="6"/>
        <v>0</v>
      </c>
      <c r="M46" s="76">
        <f t="shared" si="7"/>
        <v>1.25</v>
      </c>
      <c r="N46" s="75">
        <f t="shared" si="8"/>
        <v>0</v>
      </c>
      <c r="O46" s="75">
        <f t="shared" si="9"/>
        <v>0</v>
      </c>
      <c r="P46" s="75">
        <f t="shared" si="10"/>
        <v>0</v>
      </c>
      <c r="Q46" s="75">
        <f t="shared" si="11"/>
        <v>0</v>
      </c>
      <c r="R46" s="75">
        <f t="shared" si="12"/>
        <v>1.25</v>
      </c>
    </row>
    <row r="47" spans="1:18" ht="12.75">
      <c r="A47" s="4" t="s">
        <v>43</v>
      </c>
      <c r="B47" s="43">
        <v>1682585</v>
      </c>
      <c r="C47" s="43">
        <v>21004</v>
      </c>
      <c r="D47" s="17">
        <f t="shared" si="1"/>
        <v>1661581</v>
      </c>
      <c r="E47" s="80">
        <f t="shared" si="2"/>
        <v>0.012483173212646017</v>
      </c>
      <c r="F47" s="76">
        <f t="shared" si="13"/>
        <v>0.987516826787354</v>
      </c>
      <c r="G47" s="76">
        <f>Urbanization!$F$64</f>
        <v>0.9445922147041679</v>
      </c>
      <c r="H47" s="76">
        <f t="shared" si="3"/>
        <v>0.0429246120831861</v>
      </c>
      <c r="I47" s="76">
        <f>Urbanization!$F$65</f>
        <v>0.2909652432210531</v>
      </c>
      <c r="J47" s="76">
        <f t="shared" si="4"/>
        <v>0.1475248782569376</v>
      </c>
      <c r="K47" s="75">
        <f t="shared" si="5"/>
        <v>0</v>
      </c>
      <c r="L47" s="75">
        <f t="shared" si="6"/>
        <v>0</v>
      </c>
      <c r="M47" s="76">
        <f t="shared" si="7"/>
        <v>1.25</v>
      </c>
      <c r="N47" s="75">
        <f t="shared" si="8"/>
        <v>0</v>
      </c>
      <c r="O47" s="75">
        <f t="shared" si="9"/>
        <v>0</v>
      </c>
      <c r="P47" s="75">
        <f t="shared" si="10"/>
        <v>0</v>
      </c>
      <c r="Q47" s="75">
        <f t="shared" si="11"/>
        <v>0</v>
      </c>
      <c r="R47" s="75">
        <f t="shared" si="12"/>
        <v>1.25</v>
      </c>
    </row>
    <row r="48" spans="1:18" ht="12.75">
      <c r="A48" s="4" t="s">
        <v>44</v>
      </c>
      <c r="B48" s="43">
        <v>255602</v>
      </c>
      <c r="C48" s="43">
        <v>37480</v>
      </c>
      <c r="D48" s="17">
        <f t="shared" si="1"/>
        <v>218122</v>
      </c>
      <c r="E48" s="80">
        <f t="shared" si="2"/>
        <v>0.14663422038951182</v>
      </c>
      <c r="F48" s="76">
        <f t="shared" si="13"/>
        <v>0.8533657796104882</v>
      </c>
      <c r="G48" s="76">
        <f>Urbanization!$F$64</f>
        <v>0.9445922147041679</v>
      </c>
      <c r="H48" s="76">
        <f t="shared" si="3"/>
        <v>-0.09122643509367967</v>
      </c>
      <c r="I48" s="76">
        <f>Urbanization!$F$65</f>
        <v>0.2909652432210531</v>
      </c>
      <c r="J48" s="76">
        <f t="shared" si="4"/>
        <v>-0.3135303518859564</v>
      </c>
      <c r="K48" s="75">
        <f t="shared" si="5"/>
        <v>0</v>
      </c>
      <c r="L48" s="75">
        <f t="shared" si="6"/>
        <v>0</v>
      </c>
      <c r="M48" s="76">
        <f t="shared" si="7"/>
        <v>0</v>
      </c>
      <c r="N48" s="75">
        <f t="shared" si="8"/>
        <v>0</v>
      </c>
      <c r="O48" s="75">
        <f t="shared" si="9"/>
        <v>0.875</v>
      </c>
      <c r="P48" s="75">
        <f t="shared" si="10"/>
        <v>0</v>
      </c>
      <c r="Q48" s="75">
        <f t="shared" si="11"/>
        <v>0</v>
      </c>
      <c r="R48" s="75">
        <f t="shared" si="12"/>
        <v>0.875</v>
      </c>
    </row>
    <row r="49" spans="1:18" ht="12.75">
      <c r="A49" s="4" t="s">
        <v>45</v>
      </c>
      <c r="B49" s="43">
        <v>163256</v>
      </c>
      <c r="C49" s="43">
        <v>50691</v>
      </c>
      <c r="D49" s="17">
        <f t="shared" si="1"/>
        <v>112565</v>
      </c>
      <c r="E49" s="80">
        <f t="shared" si="2"/>
        <v>0.31050007350418973</v>
      </c>
      <c r="F49" s="76">
        <f t="shared" si="13"/>
        <v>0.6894999264958103</v>
      </c>
      <c r="G49" s="76">
        <f>Urbanization!$F$64</f>
        <v>0.9445922147041679</v>
      </c>
      <c r="H49" s="76">
        <f t="shared" si="3"/>
        <v>-0.2550922882083576</v>
      </c>
      <c r="I49" s="76">
        <f>Urbanization!$F$65</f>
        <v>0.2909652432210531</v>
      </c>
      <c r="J49" s="76">
        <f t="shared" si="4"/>
        <v>-0.876710514920705</v>
      </c>
      <c r="K49" s="75">
        <f t="shared" si="5"/>
        <v>0</v>
      </c>
      <c r="L49" s="75">
        <f t="shared" si="6"/>
        <v>0</v>
      </c>
      <c r="M49" s="76">
        <f t="shared" si="7"/>
        <v>0</v>
      </c>
      <c r="N49" s="75">
        <f t="shared" si="8"/>
        <v>0</v>
      </c>
      <c r="O49" s="75">
        <f t="shared" si="9"/>
        <v>0</v>
      </c>
      <c r="P49" s="75">
        <f t="shared" si="10"/>
        <v>0.75</v>
      </c>
      <c r="Q49" s="75">
        <f t="shared" si="11"/>
        <v>0</v>
      </c>
      <c r="R49" s="75">
        <f t="shared" si="12"/>
        <v>0.75</v>
      </c>
    </row>
    <row r="50" spans="1:18" s="117" customFormat="1" ht="12.75">
      <c r="A50" s="39" t="s">
        <v>46</v>
      </c>
      <c r="B50" s="113">
        <v>3555</v>
      </c>
      <c r="C50" s="113">
        <v>3555</v>
      </c>
      <c r="D50" s="40">
        <f t="shared" si="1"/>
        <v>0</v>
      </c>
      <c r="E50" s="114">
        <f t="shared" si="2"/>
        <v>1</v>
      </c>
      <c r="F50" s="115">
        <f t="shared" si="13"/>
        <v>0</v>
      </c>
      <c r="G50" s="115">
        <f>Urbanization!$F$64</f>
        <v>0.9445922147041679</v>
      </c>
      <c r="H50" s="115">
        <f t="shared" si="3"/>
        <v>-0.9445922147041679</v>
      </c>
      <c r="I50" s="115">
        <f>Urbanization!$F$65</f>
        <v>0.2909652432210531</v>
      </c>
      <c r="J50" s="115">
        <f t="shared" si="4"/>
        <v>-3.2464091045628396</v>
      </c>
      <c r="K50" s="116">
        <f t="shared" si="5"/>
        <v>0</v>
      </c>
      <c r="L50" s="116">
        <f t="shared" si="6"/>
        <v>0</v>
      </c>
      <c r="M50" s="115">
        <f t="shared" si="7"/>
        <v>0</v>
      </c>
      <c r="N50" s="116">
        <f t="shared" si="8"/>
        <v>0</v>
      </c>
      <c r="O50" s="116">
        <f t="shared" si="9"/>
        <v>0</v>
      </c>
      <c r="P50" s="116">
        <f t="shared" si="10"/>
        <v>0</v>
      </c>
      <c r="Q50" s="116">
        <f t="shared" si="11"/>
        <v>0.5</v>
      </c>
      <c r="R50" s="116">
        <f t="shared" si="12"/>
        <v>0.5</v>
      </c>
    </row>
    <row r="51" spans="1:18" s="117" customFormat="1" ht="12.75">
      <c r="A51" s="39" t="s">
        <v>47</v>
      </c>
      <c r="B51" s="113">
        <v>44301</v>
      </c>
      <c r="C51" s="113">
        <v>28635</v>
      </c>
      <c r="D51" s="40">
        <f t="shared" si="1"/>
        <v>15666</v>
      </c>
      <c r="E51" s="114">
        <f t="shared" si="2"/>
        <v>0.6463736710232275</v>
      </c>
      <c r="F51" s="115">
        <f t="shared" si="13"/>
        <v>0.3536263289767725</v>
      </c>
      <c r="G51" s="115">
        <f>Urbanization!$F$64</f>
        <v>0.9445922147041679</v>
      </c>
      <c r="H51" s="115">
        <f t="shared" si="3"/>
        <v>-0.5909658857273954</v>
      </c>
      <c r="I51" s="115">
        <f>Urbanization!$F$65</f>
        <v>0.2909652432210531</v>
      </c>
      <c r="J51" s="115">
        <f t="shared" si="4"/>
        <v>-2.0310531910453125</v>
      </c>
      <c r="K51" s="116">
        <f t="shared" si="5"/>
        <v>0</v>
      </c>
      <c r="L51" s="116">
        <f t="shared" si="6"/>
        <v>0</v>
      </c>
      <c r="M51" s="115">
        <f t="shared" si="7"/>
        <v>0</v>
      </c>
      <c r="N51" s="116">
        <f t="shared" si="8"/>
        <v>0</v>
      </c>
      <c r="O51" s="116">
        <f t="shared" si="9"/>
        <v>0</v>
      </c>
      <c r="P51" s="116">
        <f t="shared" si="10"/>
        <v>0</v>
      </c>
      <c r="Q51" s="116">
        <f t="shared" si="11"/>
        <v>0.5</v>
      </c>
      <c r="R51" s="116">
        <f t="shared" si="12"/>
        <v>0.5</v>
      </c>
    </row>
    <row r="52" spans="1:18" ht="12.75">
      <c r="A52" s="4" t="s">
        <v>48</v>
      </c>
      <c r="B52" s="43">
        <v>394542</v>
      </c>
      <c r="C52" s="43">
        <v>16233</v>
      </c>
      <c r="D52" s="17">
        <f t="shared" si="1"/>
        <v>378309</v>
      </c>
      <c r="E52" s="80">
        <f t="shared" si="2"/>
        <v>0.0411439086333014</v>
      </c>
      <c r="F52" s="76">
        <f t="shared" si="13"/>
        <v>0.9588560913666986</v>
      </c>
      <c r="G52" s="76">
        <f>Urbanization!$F$64</f>
        <v>0.9445922147041679</v>
      </c>
      <c r="H52" s="76">
        <f t="shared" si="3"/>
        <v>0.014263876662530706</v>
      </c>
      <c r="I52" s="76">
        <f>Urbanization!$F$65</f>
        <v>0.2909652432210531</v>
      </c>
      <c r="J52" s="76">
        <f t="shared" si="4"/>
        <v>0.049022613507463175</v>
      </c>
      <c r="K52" s="75">
        <f t="shared" si="5"/>
        <v>0</v>
      </c>
      <c r="L52" s="75">
        <f t="shared" si="6"/>
        <v>0</v>
      </c>
      <c r="M52" s="76">
        <f t="shared" si="7"/>
        <v>1.25</v>
      </c>
      <c r="N52" s="75">
        <f t="shared" si="8"/>
        <v>0</v>
      </c>
      <c r="O52" s="75">
        <f t="shared" si="9"/>
        <v>0</v>
      </c>
      <c r="P52" s="75">
        <f t="shared" si="10"/>
        <v>0</v>
      </c>
      <c r="Q52" s="75">
        <f t="shared" si="11"/>
        <v>0</v>
      </c>
      <c r="R52" s="75">
        <f t="shared" si="12"/>
        <v>1.25</v>
      </c>
    </row>
    <row r="53" spans="1:18" ht="12.75">
      <c r="A53" s="4" t="s">
        <v>49</v>
      </c>
      <c r="B53" s="43">
        <v>458614</v>
      </c>
      <c r="C53" s="43">
        <v>65521</v>
      </c>
      <c r="D53" s="17">
        <f t="shared" si="1"/>
        <v>393093</v>
      </c>
      <c r="E53" s="80">
        <f t="shared" si="2"/>
        <v>0.14286742227668583</v>
      </c>
      <c r="F53" s="76">
        <f t="shared" si="13"/>
        <v>0.8571325777233142</v>
      </c>
      <c r="G53" s="76">
        <f>Urbanization!$F$64</f>
        <v>0.9445922147041679</v>
      </c>
      <c r="H53" s="76">
        <f t="shared" si="3"/>
        <v>-0.08745963698085368</v>
      </c>
      <c r="I53" s="76">
        <f>Urbanization!$F$65</f>
        <v>0.2909652432210531</v>
      </c>
      <c r="J53" s="76">
        <f t="shared" si="4"/>
        <v>-0.30058448223112527</v>
      </c>
      <c r="K53" s="75">
        <f t="shared" si="5"/>
        <v>0</v>
      </c>
      <c r="L53" s="75">
        <f t="shared" si="6"/>
        <v>0</v>
      </c>
      <c r="M53" s="76">
        <f t="shared" si="7"/>
        <v>0</v>
      </c>
      <c r="N53" s="75">
        <f t="shared" si="8"/>
        <v>0</v>
      </c>
      <c r="O53" s="75">
        <f t="shared" si="9"/>
        <v>0.875</v>
      </c>
      <c r="P53" s="75">
        <f t="shared" si="10"/>
        <v>0</v>
      </c>
      <c r="Q53" s="75">
        <f t="shared" si="11"/>
        <v>0</v>
      </c>
      <c r="R53" s="75">
        <f t="shared" si="12"/>
        <v>0.875</v>
      </c>
    </row>
    <row r="54" spans="1:18" ht="12.75">
      <c r="A54" s="4" t="s">
        <v>50</v>
      </c>
      <c r="B54" s="43">
        <v>446997</v>
      </c>
      <c r="C54" s="43">
        <v>40419</v>
      </c>
      <c r="D54" s="17">
        <f t="shared" si="1"/>
        <v>406578</v>
      </c>
      <c r="E54" s="80">
        <f t="shared" si="2"/>
        <v>0.0904234256605749</v>
      </c>
      <c r="F54" s="76">
        <f t="shared" si="13"/>
        <v>0.9095765743394251</v>
      </c>
      <c r="G54" s="76">
        <f>Urbanization!$F$64</f>
        <v>0.9445922147041679</v>
      </c>
      <c r="H54" s="76">
        <f t="shared" si="3"/>
        <v>-0.035015640364742806</v>
      </c>
      <c r="I54" s="76">
        <f>Urbanization!$F$65</f>
        <v>0.2909652432210531</v>
      </c>
      <c r="J54" s="76">
        <f t="shared" si="4"/>
        <v>-0.12034303471133356</v>
      </c>
      <c r="K54" s="75">
        <f t="shared" si="5"/>
        <v>0</v>
      </c>
      <c r="L54" s="75">
        <f t="shared" si="6"/>
        <v>0</v>
      </c>
      <c r="M54" s="76">
        <f t="shared" si="7"/>
        <v>0</v>
      </c>
      <c r="N54" s="75">
        <f t="shared" si="8"/>
        <v>0</v>
      </c>
      <c r="O54" s="75">
        <f t="shared" si="9"/>
        <v>0.875</v>
      </c>
      <c r="P54" s="75">
        <f t="shared" si="10"/>
        <v>0</v>
      </c>
      <c r="Q54" s="75">
        <f t="shared" si="11"/>
        <v>0</v>
      </c>
      <c r="R54" s="75">
        <f t="shared" si="12"/>
        <v>0.875</v>
      </c>
    </row>
    <row r="55" spans="1:18" ht="12.75">
      <c r="A55" s="4" t="s">
        <v>51</v>
      </c>
      <c r="B55" s="43">
        <v>78930</v>
      </c>
      <c r="C55" s="43">
        <v>11460</v>
      </c>
      <c r="D55" s="17">
        <f t="shared" si="1"/>
        <v>67470</v>
      </c>
      <c r="E55" s="80">
        <f t="shared" si="2"/>
        <v>0.14519194222729</v>
      </c>
      <c r="F55" s="76">
        <f t="shared" si="13"/>
        <v>0.85480805777271</v>
      </c>
      <c r="G55" s="76">
        <f>Urbanization!$F$64</f>
        <v>0.9445922147041679</v>
      </c>
      <c r="H55" s="76">
        <f t="shared" si="3"/>
        <v>-0.08978415693145791</v>
      </c>
      <c r="I55" s="76">
        <f>Urbanization!$F$65</f>
        <v>0.2909652432210531</v>
      </c>
      <c r="J55" s="76">
        <f t="shared" si="4"/>
        <v>-0.3085734774969215</v>
      </c>
      <c r="K55" s="75">
        <f t="shared" si="5"/>
        <v>0</v>
      </c>
      <c r="L55" s="75">
        <f t="shared" si="6"/>
        <v>0</v>
      </c>
      <c r="M55" s="76">
        <f t="shared" si="7"/>
        <v>0</v>
      </c>
      <c r="N55" s="75">
        <f t="shared" si="8"/>
        <v>0</v>
      </c>
      <c r="O55" s="75">
        <f t="shared" si="9"/>
        <v>0.875</v>
      </c>
      <c r="P55" s="75">
        <f t="shared" si="10"/>
        <v>0</v>
      </c>
      <c r="Q55" s="75">
        <f t="shared" si="11"/>
        <v>0</v>
      </c>
      <c r="R55" s="75">
        <f t="shared" si="12"/>
        <v>0.875</v>
      </c>
    </row>
    <row r="56" spans="1:18" s="117" customFormat="1" ht="12.75">
      <c r="A56" s="39" t="s">
        <v>52</v>
      </c>
      <c r="B56" s="113">
        <v>56039</v>
      </c>
      <c r="C56" s="113">
        <v>27524</v>
      </c>
      <c r="D56" s="40">
        <f t="shared" si="1"/>
        <v>28515</v>
      </c>
      <c r="E56" s="114">
        <f t="shared" si="2"/>
        <v>0.49115794357501025</v>
      </c>
      <c r="F56" s="115">
        <f t="shared" si="13"/>
        <v>0.5088420564249898</v>
      </c>
      <c r="G56" s="115">
        <f>Urbanization!$F$64</f>
        <v>0.9445922147041679</v>
      </c>
      <c r="H56" s="115">
        <f t="shared" si="3"/>
        <v>-0.43575015827917807</v>
      </c>
      <c r="I56" s="115">
        <f>Urbanization!$F$65</f>
        <v>0.2909652432210531</v>
      </c>
      <c r="J56" s="115">
        <f t="shared" si="4"/>
        <v>-1.4976020965780044</v>
      </c>
      <c r="K56" s="116">
        <f t="shared" si="5"/>
        <v>0</v>
      </c>
      <c r="L56" s="116">
        <f t="shared" si="6"/>
        <v>0</v>
      </c>
      <c r="M56" s="115">
        <f t="shared" si="7"/>
        <v>0</v>
      </c>
      <c r="N56" s="116">
        <f t="shared" si="8"/>
        <v>0</v>
      </c>
      <c r="O56" s="116">
        <f t="shared" si="9"/>
        <v>0</v>
      </c>
      <c r="P56" s="116">
        <f t="shared" si="10"/>
        <v>0</v>
      </c>
      <c r="Q56" s="116">
        <f t="shared" si="11"/>
        <v>0.5</v>
      </c>
      <c r="R56" s="116">
        <f t="shared" si="12"/>
        <v>0.5</v>
      </c>
    </row>
    <row r="57" spans="1:18" s="117" customFormat="1" ht="12.75">
      <c r="A57" s="39" t="s">
        <v>53</v>
      </c>
      <c r="B57" s="113">
        <v>13022</v>
      </c>
      <c r="C57" s="113">
        <v>13022</v>
      </c>
      <c r="D57" s="40">
        <f t="shared" si="1"/>
        <v>0</v>
      </c>
      <c r="E57" s="114">
        <f t="shared" si="2"/>
        <v>1</v>
      </c>
      <c r="F57" s="115">
        <f t="shared" si="13"/>
        <v>0</v>
      </c>
      <c r="G57" s="115">
        <f>Urbanization!$F$64</f>
        <v>0.9445922147041679</v>
      </c>
      <c r="H57" s="115">
        <f t="shared" si="3"/>
        <v>-0.9445922147041679</v>
      </c>
      <c r="I57" s="115">
        <f>Urbanization!$F$65</f>
        <v>0.2909652432210531</v>
      </c>
      <c r="J57" s="115">
        <f t="shared" si="4"/>
        <v>-3.2464091045628396</v>
      </c>
      <c r="K57" s="116">
        <f t="shared" si="5"/>
        <v>0</v>
      </c>
      <c r="L57" s="116">
        <f t="shared" si="6"/>
        <v>0</v>
      </c>
      <c r="M57" s="115">
        <f t="shared" si="7"/>
        <v>0</v>
      </c>
      <c r="N57" s="116">
        <f t="shared" si="8"/>
        <v>0</v>
      </c>
      <c r="O57" s="116">
        <f t="shared" si="9"/>
        <v>0</v>
      </c>
      <c r="P57" s="116">
        <f t="shared" si="10"/>
        <v>0</v>
      </c>
      <c r="Q57" s="116">
        <f t="shared" si="11"/>
        <v>0.5</v>
      </c>
      <c r="R57" s="116">
        <f t="shared" si="12"/>
        <v>0.5</v>
      </c>
    </row>
    <row r="58" spans="1:18" ht="12.75">
      <c r="A58" s="4" t="s">
        <v>54</v>
      </c>
      <c r="B58" s="43">
        <v>368021</v>
      </c>
      <c r="C58" s="43">
        <v>69701</v>
      </c>
      <c r="D58" s="17">
        <f t="shared" si="1"/>
        <v>298320</v>
      </c>
      <c r="E58" s="80">
        <f t="shared" si="2"/>
        <v>0.18939408348980086</v>
      </c>
      <c r="F58" s="76">
        <f t="shared" si="13"/>
        <v>0.8106059165101991</v>
      </c>
      <c r="G58" s="76">
        <f>Urbanization!$F$64</f>
        <v>0.9445922147041679</v>
      </c>
      <c r="H58" s="76">
        <f t="shared" si="3"/>
        <v>-0.1339862981939688</v>
      </c>
      <c r="I58" s="76">
        <f>Urbanization!$F$65</f>
        <v>0.2909652432210531</v>
      </c>
      <c r="J58" s="76">
        <f t="shared" si="4"/>
        <v>-0.4604890148070925</v>
      </c>
      <c r="K58" s="75">
        <f t="shared" si="5"/>
        <v>0</v>
      </c>
      <c r="L58" s="75">
        <f t="shared" si="6"/>
        <v>0</v>
      </c>
      <c r="M58" s="76">
        <f t="shared" si="7"/>
        <v>0</v>
      </c>
      <c r="N58" s="75">
        <f t="shared" si="8"/>
        <v>0</v>
      </c>
      <c r="O58" s="75">
        <f t="shared" si="9"/>
        <v>0.875</v>
      </c>
      <c r="P58" s="75">
        <f t="shared" si="10"/>
        <v>0</v>
      </c>
      <c r="Q58" s="75">
        <f t="shared" si="11"/>
        <v>0</v>
      </c>
      <c r="R58" s="75">
        <f t="shared" si="12"/>
        <v>0.875</v>
      </c>
    </row>
    <row r="59" spans="1:18" s="117" customFormat="1" ht="12.75">
      <c r="A59" s="39" t="s">
        <v>55</v>
      </c>
      <c r="B59" s="113">
        <v>54501</v>
      </c>
      <c r="C59" s="113">
        <v>25379</v>
      </c>
      <c r="D59" s="40">
        <f t="shared" si="1"/>
        <v>29122</v>
      </c>
      <c r="E59" s="114">
        <f t="shared" si="2"/>
        <v>0.4656611805287976</v>
      </c>
      <c r="F59" s="115">
        <f t="shared" si="13"/>
        <v>0.5343388194712024</v>
      </c>
      <c r="G59" s="115">
        <f>Urbanization!$F$64</f>
        <v>0.9445922147041679</v>
      </c>
      <c r="H59" s="115">
        <f t="shared" si="3"/>
        <v>-0.41025339523296545</v>
      </c>
      <c r="I59" s="115">
        <f>Urbanization!$F$65</f>
        <v>0.2909652432210531</v>
      </c>
      <c r="J59" s="115">
        <f t="shared" si="4"/>
        <v>-1.4099738879165247</v>
      </c>
      <c r="K59" s="116">
        <f t="shared" si="5"/>
        <v>0</v>
      </c>
      <c r="L59" s="116">
        <f t="shared" si="6"/>
        <v>0</v>
      </c>
      <c r="M59" s="115">
        <f t="shared" si="7"/>
        <v>0</v>
      </c>
      <c r="N59" s="116">
        <f t="shared" si="8"/>
        <v>0</v>
      </c>
      <c r="O59" s="116">
        <f t="shared" si="9"/>
        <v>0</v>
      </c>
      <c r="P59" s="116">
        <f t="shared" si="10"/>
        <v>0</v>
      </c>
      <c r="Q59" s="116">
        <f t="shared" si="11"/>
        <v>0.5</v>
      </c>
      <c r="R59" s="116">
        <f t="shared" si="12"/>
        <v>0.5</v>
      </c>
    </row>
    <row r="60" spans="1:18" ht="12.75">
      <c r="A60" s="4" t="s">
        <v>56</v>
      </c>
      <c r="B60" s="43">
        <v>753197</v>
      </c>
      <c r="C60" s="43">
        <v>24004</v>
      </c>
      <c r="D60" s="17">
        <f t="shared" si="1"/>
        <v>729193</v>
      </c>
      <c r="E60" s="80">
        <f t="shared" si="2"/>
        <v>0.03186948434473318</v>
      </c>
      <c r="F60" s="76">
        <f t="shared" si="13"/>
        <v>0.9681305156552669</v>
      </c>
      <c r="G60" s="76">
        <f>Urbanization!$F$64</f>
        <v>0.9445922147041679</v>
      </c>
      <c r="H60" s="76">
        <f t="shared" si="3"/>
        <v>0.02353830095109899</v>
      </c>
      <c r="I60" s="76">
        <f>Urbanization!$F$65</f>
        <v>0.2909652432210531</v>
      </c>
      <c r="J60" s="76">
        <f t="shared" si="4"/>
        <v>0.08089729443463593</v>
      </c>
      <c r="K60" s="75">
        <f t="shared" si="5"/>
        <v>0</v>
      </c>
      <c r="L60" s="75">
        <f t="shared" si="6"/>
        <v>0</v>
      </c>
      <c r="M60" s="76">
        <f t="shared" si="7"/>
        <v>1.25</v>
      </c>
      <c r="N60" s="75">
        <f t="shared" si="8"/>
        <v>0</v>
      </c>
      <c r="O60" s="75">
        <f t="shared" si="9"/>
        <v>0</v>
      </c>
      <c r="P60" s="75">
        <f t="shared" si="10"/>
        <v>0</v>
      </c>
      <c r="Q60" s="75">
        <f t="shared" si="11"/>
        <v>0</v>
      </c>
      <c r="R60" s="75">
        <f t="shared" si="12"/>
        <v>1.25</v>
      </c>
    </row>
    <row r="61" spans="1:18" ht="12.75">
      <c r="A61" s="4" t="s">
        <v>57</v>
      </c>
      <c r="B61" s="43">
        <v>168660</v>
      </c>
      <c r="C61" s="43">
        <v>15704</v>
      </c>
      <c r="D61" s="17">
        <f t="shared" si="1"/>
        <v>152956</v>
      </c>
      <c r="E61" s="80">
        <f t="shared" si="2"/>
        <v>0.09311039962053837</v>
      </c>
      <c r="F61" s="76">
        <f t="shared" si="13"/>
        <v>0.9068896003794616</v>
      </c>
      <c r="G61" s="76">
        <f>Urbanization!$F$64</f>
        <v>0.9445922147041679</v>
      </c>
      <c r="H61" s="76">
        <f t="shared" si="3"/>
        <v>-0.03770261432470623</v>
      </c>
      <c r="I61" s="76">
        <f>Urbanization!$F$65</f>
        <v>0.2909652432210531</v>
      </c>
      <c r="J61" s="76">
        <f t="shared" si="4"/>
        <v>-0.12957772518576272</v>
      </c>
      <c r="K61" s="75">
        <f t="shared" si="5"/>
        <v>0</v>
      </c>
      <c r="L61" s="75">
        <f t="shared" si="6"/>
        <v>0</v>
      </c>
      <c r="M61" s="76">
        <f t="shared" si="7"/>
        <v>0</v>
      </c>
      <c r="N61" s="75">
        <f t="shared" si="8"/>
        <v>0</v>
      </c>
      <c r="O61" s="75">
        <f t="shared" si="9"/>
        <v>0.875</v>
      </c>
      <c r="P61" s="75">
        <f t="shared" si="10"/>
        <v>0</v>
      </c>
      <c r="Q61" s="75">
        <f t="shared" si="11"/>
        <v>0</v>
      </c>
      <c r="R61" s="75">
        <f t="shared" si="12"/>
        <v>0.875</v>
      </c>
    </row>
    <row r="62" spans="1:18" s="23" customFormat="1" ht="12.75">
      <c r="A62" s="22" t="s">
        <v>58</v>
      </c>
      <c r="B62" s="35">
        <v>60219</v>
      </c>
      <c r="C62" s="35">
        <v>18120</v>
      </c>
      <c r="D62" s="17">
        <f t="shared" si="1"/>
        <v>42099</v>
      </c>
      <c r="E62" s="80">
        <f t="shared" si="2"/>
        <v>0.300901708763015</v>
      </c>
      <c r="F62" s="76">
        <f t="shared" si="13"/>
        <v>0.699098291236985</v>
      </c>
      <c r="G62" s="76">
        <f>Urbanization!$F$64</f>
        <v>0.9445922147041679</v>
      </c>
      <c r="H62" s="76">
        <f t="shared" si="3"/>
        <v>-0.2454939234671829</v>
      </c>
      <c r="I62" s="76">
        <f>Urbanization!$F$65</f>
        <v>0.2909652432210531</v>
      </c>
      <c r="J62" s="76">
        <f t="shared" si="4"/>
        <v>-0.84372250358671</v>
      </c>
      <c r="K62" s="75">
        <f t="shared" si="5"/>
        <v>0</v>
      </c>
      <c r="L62" s="75">
        <f t="shared" si="6"/>
        <v>0</v>
      </c>
      <c r="M62" s="76">
        <f t="shared" si="7"/>
        <v>0</v>
      </c>
      <c r="N62" s="75">
        <f t="shared" si="8"/>
        <v>0</v>
      </c>
      <c r="O62" s="75">
        <f t="shared" si="9"/>
        <v>0</v>
      </c>
      <c r="P62" s="75">
        <f t="shared" si="10"/>
        <v>0.75</v>
      </c>
      <c r="Q62" s="75">
        <f t="shared" si="11"/>
        <v>0</v>
      </c>
      <c r="R62" s="75">
        <f t="shared" si="12"/>
        <v>0.75</v>
      </c>
    </row>
    <row r="63" spans="1:18" s="1" customFormat="1" ht="12.75">
      <c r="A63" s="9"/>
      <c r="B63" s="81"/>
      <c r="C63" s="81"/>
      <c r="D63" s="81"/>
      <c r="E63" s="28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2"/>
    </row>
    <row r="64" spans="1:18" s="7" customFormat="1" ht="12.75">
      <c r="A64" s="8" t="s">
        <v>67</v>
      </c>
      <c r="B64" s="19">
        <f>SUM(B5:B62)</f>
        <v>33871648</v>
      </c>
      <c r="C64" s="19">
        <f>SUM(C5:C62)</f>
        <v>1876753</v>
      </c>
      <c r="D64" s="19">
        <f>SUM(D5:D62)</f>
        <v>31994895</v>
      </c>
      <c r="E64" s="83">
        <f>C64/B64</f>
        <v>0.055407785295832075</v>
      </c>
      <c r="F64" s="83">
        <f>D64/B64</f>
        <v>0.9445922147041679</v>
      </c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79"/>
    </row>
    <row r="65" spans="1:6" ht="12.75">
      <c r="A65" s="3" t="s">
        <v>86</v>
      </c>
      <c r="F65" s="76">
        <f>STDEV(F2:F62)</f>
        <v>0.2909652432210531</v>
      </c>
    </row>
  </sheetData>
  <sheetProtection/>
  <printOptions horizontalCentered="1"/>
  <pageMargins left="0.25" right="0.25" top="0.75" bottom="0.75" header="0.25" footer="0.5"/>
  <pageSetup fitToHeight="2" fitToWidth="1" horizontalDpi="600" verticalDpi="600" orientation="portrait" scale="54" r:id="rId1"/>
  <headerFooter alignWithMargins="0">
    <oddHeader>&amp;CCALIFORNIA TAX CREDIT ALLOCATION COMMITTEE&amp;"Arial,Bold Italic"&amp;12
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State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TCA-A50</dc:creator>
  <cp:keywords/>
  <dc:description/>
  <cp:lastModifiedBy>wcraig</cp:lastModifiedBy>
  <cp:lastPrinted>2011-08-29T23:50:07Z</cp:lastPrinted>
  <dcterms:created xsi:type="dcterms:W3CDTF">2003-03-10T18:32:27Z</dcterms:created>
  <dcterms:modified xsi:type="dcterms:W3CDTF">2011-08-30T17:31:53Z</dcterms:modified>
  <cp:category/>
  <cp:version/>
  <cp:contentType/>
  <cp:contentStatus/>
</cp:coreProperties>
</file>