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Z:\2. ACTIVE PROJECTS\PACIFIC HOUSING - Beech Hill\CTCAC Folder\1. Beech Hill - 9% E-App\"/>
    </mc:Choice>
  </mc:AlternateContent>
  <xr:revisionPtr revIDLastSave="0" documentId="13_ncr:1_{B00BB09B-814A-4236-AABD-4C395308A12A}" xr6:coauthVersionLast="47" xr6:coauthVersionMax="47" xr10:uidLastSave="{00000000-0000-0000-0000-000000000000}"/>
  <bookViews>
    <workbookView xWindow="-108" yWindow="-108" windowWidth="23256" windowHeight="14016" tabRatio="821" firstSheet="1"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2" i="9" l="1"/>
  <c r="AE62" i="9"/>
  <c r="AC62" i="9"/>
  <c r="AA62" i="9"/>
  <c r="Y62" i="9"/>
  <c r="W62" i="9"/>
  <c r="U62" i="9"/>
  <c r="S62" i="9"/>
  <c r="Q62" i="9"/>
  <c r="O62" i="9"/>
  <c r="M62" i="9"/>
  <c r="K62" i="9"/>
  <c r="I62" i="9"/>
  <c r="G62" i="9"/>
  <c r="E62" i="9"/>
  <c r="AG54" i="9"/>
  <c r="AE54" i="9"/>
  <c r="AC54" i="9"/>
  <c r="AA54" i="9"/>
  <c r="Y54" i="9"/>
  <c r="W54" i="9"/>
  <c r="U54" i="9"/>
  <c r="S54" i="9"/>
  <c r="Q54" i="9"/>
  <c r="O54" i="9"/>
  <c r="M54" i="9"/>
  <c r="K54" i="9"/>
  <c r="I54" i="9"/>
  <c r="G54" i="9"/>
  <c r="U64" i="25"/>
  <c r="U65" i="25"/>
  <c r="BG226" i="3" l="1"/>
  <c r="BG227" i="3"/>
  <c r="AZ260" i="3" s="1"/>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c r="BE591" i="3"/>
  <c r="BG591" i="3" s="1"/>
  <c r="BE592" i="3"/>
  <c r="BG592" i="3" s="1"/>
  <c r="BE593" i="3"/>
  <c r="BG593" i="3" s="1"/>
  <c r="BE594" i="3"/>
  <c r="BG594" i="3" s="1"/>
  <c r="BE595" i="3"/>
  <c r="BG595" i="3" s="1"/>
  <c r="BE596" i="3"/>
  <c r="BG596" i="3" s="1"/>
  <c r="BE597" i="3"/>
  <c r="BG597" i="3"/>
  <c r="BE598" i="3"/>
  <c r="BG598" i="3" s="1"/>
  <c r="BE599" i="3"/>
  <c r="BG599" i="3" s="1"/>
  <c r="BE600" i="3"/>
  <c r="BG600" i="3" s="1"/>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BH712" i="3" s="1"/>
  <c r="BG701" i="3"/>
  <c r="Y22" i="5"/>
  <c r="AD22" i="5"/>
  <c r="AI22" i="5"/>
  <c r="T22" i="5"/>
  <c r="BH708" i="3" l="1"/>
  <c r="BH730" i="3"/>
  <c r="BH719" i="3"/>
  <c r="BH718" i="3"/>
  <c r="BH717" i="3"/>
  <c r="BH722" i="3"/>
  <c r="BH715" i="3"/>
  <c r="BH725" i="3"/>
  <c r="BH710" i="3"/>
  <c r="BH711" i="3"/>
  <c r="BH721" i="3"/>
  <c r="BH709" i="3"/>
  <c r="BH713" i="3"/>
  <c r="BH726" i="3"/>
  <c r="BH728" i="3"/>
  <c r="BH731" i="3"/>
  <c r="BH714" i="3"/>
  <c r="BH720" i="3"/>
  <c r="BH727" i="3"/>
  <c r="BH729" i="3"/>
  <c r="BH716" i="3"/>
  <c r="BH707" i="3"/>
  <c r="BH723" i="3"/>
  <c r="BH724"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8" i="4" s="1"/>
  <c r="R10" i="4"/>
  <c r="S10" i="4"/>
  <c r="R30" i="28"/>
  <c r="AC692" i="3"/>
  <c r="AM692" i="3" s="1"/>
  <c r="AC693" i="3"/>
  <c r="AC694" i="3"/>
  <c r="AC695" i="3"/>
  <c r="AC696" i="3"/>
  <c r="AM696" i="3" s="1"/>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C88" i="15"/>
  <c r="D88" i="15"/>
  <c r="B89" i="15"/>
  <c r="C89" i="15"/>
  <c r="D89" i="15"/>
  <c r="B90" i="15"/>
  <c r="C90" i="15"/>
  <c r="E90" i="15" s="1"/>
  <c r="D90" i="15"/>
  <c r="B91" i="15"/>
  <c r="C91" i="15"/>
  <c r="D91" i="15"/>
  <c r="B92" i="15"/>
  <c r="C92" i="15"/>
  <c r="D92" i="15"/>
  <c r="B93" i="15"/>
  <c r="C93" i="15"/>
  <c r="E93" i="15" s="1"/>
  <c r="D93" i="15"/>
  <c r="B94" i="15"/>
  <c r="C94" i="15"/>
  <c r="E94" i="15"/>
  <c r="D94" i="15"/>
  <c r="B95" i="15"/>
  <c r="C95" i="15"/>
  <c r="E95" i="15"/>
  <c r="D95" i="15"/>
  <c r="E86" i="15"/>
  <c r="D83" i="15"/>
  <c r="C83" i="15"/>
  <c r="B8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E67" i="15" s="1"/>
  <c r="D67" i="15"/>
  <c r="B68" i="15"/>
  <c r="C68" i="15"/>
  <c r="E68" i="15"/>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E31" i="15" s="1"/>
  <c r="D31" i="15"/>
  <c r="B32" i="15"/>
  <c r="C32" i="15"/>
  <c r="E32" i="15" s="1"/>
  <c r="D32" i="15"/>
  <c r="B33" i="15"/>
  <c r="C33" i="15"/>
  <c r="D33" i="15"/>
  <c r="B34" i="15"/>
  <c r="C34" i="15"/>
  <c r="D34" i="15"/>
  <c r="B35" i="15"/>
  <c r="E35" i="15" s="1"/>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C9" i="15" s="1"/>
  <c r="B6" i="15"/>
  <c r="C6" i="15"/>
  <c r="B7" i="15"/>
  <c r="C7" i="15"/>
  <c r="B8" i="15"/>
  <c r="C8" i="15"/>
  <c r="B10" i="15"/>
  <c r="C10" i="15"/>
  <c r="B11" i="15"/>
  <c r="C11" i="15"/>
  <c r="E11" i="15" s="1"/>
  <c r="B14" i="15"/>
  <c r="C14" i="15"/>
  <c r="B15" i="15"/>
  <c r="C15" i="15"/>
  <c r="B16" i="15"/>
  <c r="C16" i="15"/>
  <c r="B18" i="15"/>
  <c r="C18" i="15"/>
  <c r="E18" i="15"/>
  <c r="C2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91" i="15"/>
  <c r="E87" i="15"/>
  <c r="E79" i="15"/>
  <c r="E58" i="15"/>
  <c r="E89" i="15"/>
  <c r="E16" i="15"/>
  <c r="E7" i="15"/>
  <c r="E51" i="15"/>
  <c r="E61" i="15"/>
  <c r="E57" i="15"/>
  <c r="E92" i="15"/>
  <c r="E84" i="15"/>
  <c r="E14" i="15"/>
  <c r="E44" i="15"/>
  <c r="E21" i="15"/>
  <c r="E28" i="15"/>
  <c r="E8" i="15"/>
  <c r="E52" i="15"/>
  <c r="E48" i="15"/>
  <c r="E19" i="15"/>
  <c r="E42" i="15"/>
  <c r="E72" i="15"/>
  <c r="B12" i="15"/>
  <c r="E6" i="15"/>
  <c r="E23" i="15"/>
  <c r="E46" i="15"/>
  <c r="E36" i="15"/>
  <c r="E15" i="15"/>
  <c r="E10"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4" s="1"/>
  <c r="B12" i="4" s="1"/>
  <c r="C11" i="4"/>
  <c r="C26" i="4"/>
  <c r="C38" i="4"/>
  <c r="D39" i="15" s="1"/>
  <c r="C42" i="4"/>
  <c r="C53" i="4"/>
  <c r="C61" i="4"/>
  <c r="C69" i="4"/>
  <c r="C76" i="4"/>
  <c r="C80" i="4"/>
  <c r="B79" i="18" s="1"/>
  <c r="C95" i="4"/>
  <c r="B94" i="18" s="1"/>
  <c r="C103" i="4"/>
  <c r="C104" i="15" s="1"/>
  <c r="C66" i="25"/>
  <c r="Y20" i="5"/>
  <c r="AI20" i="5"/>
  <c r="S26" i="4"/>
  <c r="S38" i="4"/>
  <c r="E37" i="18" s="1"/>
  <c r="S42" i="4"/>
  <c r="S53" i="4"/>
  <c r="E52" i="18" s="1"/>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6" i="4" s="1"/>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B41" i="18"/>
  <c r="B61" i="4"/>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E12" i="4" s="1"/>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G104" i="4" s="1"/>
  <c r="H103" i="4"/>
  <c r="I103" i="4"/>
  <c r="J103" i="4"/>
  <c r="K103" i="4"/>
  <c r="L103" i="4"/>
  <c r="N103" i="4"/>
  <c r="P103" i="4"/>
  <c r="B131" i="4"/>
  <c r="I184" i="3"/>
  <c r="W411" i="3"/>
  <c r="AF411" i="3" s="1"/>
  <c r="G560" i="3"/>
  <c r="Z560" i="3"/>
  <c r="G568" i="3"/>
  <c r="Z568" i="3"/>
  <c r="G576" i="3"/>
  <c r="Z576" i="3"/>
  <c r="G584" i="3"/>
  <c r="Z584" i="3"/>
  <c r="BK590"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B60" i="18"/>
  <c r="H41" i="18"/>
  <c r="B52" i="18"/>
  <c r="N12" i="4"/>
  <c r="E25" i="18"/>
  <c r="B26" i="4"/>
  <c r="D12" i="4"/>
  <c r="B43" i="15"/>
  <c r="C43" i="15"/>
  <c r="D43" i="15"/>
  <c r="G12" i="4"/>
  <c r="B27" i="15"/>
  <c r="D27" i="15"/>
  <c r="C27" i="15"/>
  <c r="B81" i="15"/>
  <c r="D81" i="15"/>
  <c r="B11" i="4"/>
  <c r="B76" i="4"/>
  <c r="B77" i="15"/>
  <c r="E77" i="15" s="1"/>
  <c r="C77" i="15"/>
  <c r="D77" i="15"/>
  <c r="T62" i="4"/>
  <c r="B68" i="18"/>
  <c r="B70" i="15"/>
  <c r="C70" i="15"/>
  <c r="D70" i="15"/>
  <c r="C62" i="15"/>
  <c r="D62" i="15"/>
  <c r="B62" i="15"/>
  <c r="B54" i="15"/>
  <c r="C54" i="15"/>
  <c r="D54" i="15"/>
  <c r="B11" i="18"/>
  <c r="G52" i="25"/>
  <c r="AM695" i="3"/>
  <c r="AM704" i="3"/>
  <c r="AM703" i="3"/>
  <c r="AM702" i="3"/>
  <c r="AM701" i="3"/>
  <c r="AM700" i="3"/>
  <c r="AM699" i="3"/>
  <c r="AM694" i="3"/>
  <c r="AM698" i="3"/>
  <c r="AM697" i="3"/>
  <c r="AB47" i="26"/>
  <c r="I61" i="18"/>
  <c r="I95" i="18"/>
  <c r="I103" i="18"/>
  <c r="I105" i="18"/>
  <c r="J61" i="18"/>
  <c r="J95" i="18"/>
  <c r="J103" i="18"/>
  <c r="J105" i="18"/>
  <c r="K12" i="4"/>
  <c r="B42" i="4"/>
  <c r="J12" i="4"/>
  <c r="R11" i="4"/>
  <c r="D12" i="15"/>
  <c r="R69" i="4"/>
  <c r="G62" i="4"/>
  <c r="G96" i="4"/>
  <c r="D9" i="15"/>
  <c r="C61" i="18"/>
  <c r="C95" i="18"/>
  <c r="C103" i="18"/>
  <c r="C12" i="18"/>
  <c r="M62" i="4"/>
  <c r="M96" i="4"/>
  <c r="M104" i="4"/>
  <c r="J62" i="4"/>
  <c r="J96" i="4"/>
  <c r="J104" i="4"/>
  <c r="O62" i="4"/>
  <c r="O96" i="4"/>
  <c r="O104" i="4"/>
  <c r="N62" i="4"/>
  <c r="N96" i="4"/>
  <c r="N104" i="4"/>
  <c r="D62" i="4"/>
  <c r="B75" i="18"/>
  <c r="B8" i="18"/>
  <c r="L62" i="4"/>
  <c r="L96" i="4"/>
  <c r="L104" i="4"/>
  <c r="H12" i="4"/>
  <c r="H11" i="18"/>
  <c r="Q62" i="4"/>
  <c r="Q96" i="4"/>
  <c r="Q104" i="4"/>
  <c r="K62" i="4"/>
  <c r="K96" i="4"/>
  <c r="K104" i="4"/>
  <c r="I62" i="4"/>
  <c r="I96" i="4" s="1"/>
  <c r="T96" i="4"/>
  <c r="H61" i="18"/>
  <c r="H62" i="4"/>
  <c r="H96" i="4"/>
  <c r="H104" i="4"/>
  <c r="M12" i="4"/>
  <c r="D12" i="18"/>
  <c r="P62" i="4"/>
  <c r="P96" i="4"/>
  <c r="P104" i="4"/>
  <c r="B69" i="4"/>
  <c r="G61" i="18"/>
  <c r="G95" i="18"/>
  <c r="G103" i="18"/>
  <c r="G105" i="18"/>
  <c r="F61" i="18"/>
  <c r="F95" i="18"/>
  <c r="F103" i="18"/>
  <c r="F105" i="18"/>
  <c r="D61" i="18"/>
  <c r="D95" i="18"/>
  <c r="D103" i="18"/>
  <c r="S28" i="9"/>
  <c r="AC28" i="9"/>
  <c r="G19" i="9"/>
  <c r="I19" i="9" s="1"/>
  <c r="K19" i="9" s="1"/>
  <c r="M19" i="9" s="1"/>
  <c r="O19" i="9" s="1"/>
  <c r="Q19" i="9" s="1"/>
  <c r="S19" i="9" s="1"/>
  <c r="U19" i="9" s="1"/>
  <c r="W19" i="9" s="1"/>
  <c r="Y19" i="9" s="1"/>
  <c r="AA19" i="9" s="1"/>
  <c r="AC19" i="9" s="1"/>
  <c r="AE19" i="9" s="1"/>
  <c r="AG19" i="9" s="1"/>
  <c r="AD67" i="5"/>
  <c r="T7" i="5"/>
  <c r="E62" i="15"/>
  <c r="D13" i="15"/>
  <c r="H95" i="18"/>
  <c r="T104" i="4"/>
  <c r="H103" i="18"/>
  <c r="T106" i="4"/>
  <c r="H105" i="18"/>
  <c r="AD11" i="5"/>
  <c r="AD23" i="5" s="1"/>
  <c r="AD26" i="5" s="1"/>
  <c r="AI11" i="27"/>
  <c r="AI11" i="26"/>
  <c r="AD11" i="27"/>
  <c r="AD11" i="26"/>
  <c r="T24" i="27"/>
  <c r="T24" i="26"/>
  <c r="Q580" i="6"/>
  <c r="W580" i="6" s="1"/>
  <c r="E30" i="15" l="1"/>
  <c r="C12" i="15"/>
  <c r="E12" i="15" s="1"/>
  <c r="B13" i="15"/>
  <c r="E83" i="15"/>
  <c r="C12" i="4"/>
  <c r="B12" i="18" s="1"/>
  <c r="E5" i="15"/>
  <c r="I104" i="4"/>
  <c r="G58" i="9"/>
  <c r="I58" i="9"/>
  <c r="B38" i="4"/>
  <c r="B37" i="18"/>
  <c r="C62" i="4"/>
  <c r="B63" i="15" s="1"/>
  <c r="B39" i="15"/>
  <c r="C39" i="15"/>
  <c r="E39" i="15" s="1"/>
  <c r="E99" i="15"/>
  <c r="E88" i="15"/>
  <c r="E70" i="15"/>
  <c r="E34" i="15"/>
  <c r="S62" i="4"/>
  <c r="S96" i="4" s="1"/>
  <c r="E95" i="18" s="1"/>
  <c r="R53" i="4"/>
  <c r="E50" i="15"/>
  <c r="E54" i="15"/>
  <c r="E41" i="15"/>
  <c r="E43" i="15"/>
  <c r="E33" i="15"/>
  <c r="E62" i="4"/>
  <c r="E96" i="4" s="1"/>
  <c r="E104" i="4" s="1"/>
  <c r="AO632" i="3"/>
  <c r="R80" i="4"/>
  <c r="D96" i="4"/>
  <c r="D104" i="4" s="1"/>
  <c r="R95" i="4"/>
  <c r="D96" i="15"/>
  <c r="C96" i="15"/>
  <c r="B96" i="15"/>
  <c r="B95" i="4"/>
  <c r="C81" i="15"/>
  <c r="E81" i="15" s="1"/>
  <c r="B80" i="4"/>
  <c r="R38" i="4"/>
  <c r="F62" i="4"/>
  <c r="F96" i="4" s="1"/>
  <c r="F104" i="4" s="1"/>
  <c r="E9" i="15"/>
  <c r="R12" i="4"/>
  <c r="CM620" i="3"/>
  <c r="U69" i="25"/>
  <c r="AI22" i="26"/>
  <c r="AI23" i="26" s="1"/>
  <c r="AI26" i="26" s="1"/>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L29" i="28"/>
  <c r="V29" i="28" s="1"/>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G8" i="9"/>
  <c r="E9" i="9"/>
  <c r="C13" i="15" l="1"/>
  <c r="E13" i="15" s="1"/>
  <c r="AS354" i="6"/>
  <c r="AK471" i="6" s="1"/>
  <c r="T700" i="6" s="1"/>
  <c r="B62" i="4"/>
  <c r="D63" i="15"/>
  <c r="C63" i="15"/>
  <c r="E63" i="15" s="1"/>
  <c r="B61" i="18"/>
  <c r="K58" i="9"/>
  <c r="C96" i="4"/>
  <c r="D97" i="15" s="1"/>
  <c r="S104" i="4"/>
  <c r="S106" i="4" s="1"/>
  <c r="E61" i="18"/>
  <c r="R62" i="4"/>
  <c r="R96" i="4" s="1"/>
  <c r="R104" i="4" s="1"/>
  <c r="E96" i="15"/>
  <c r="CS620" i="3"/>
  <c r="O605" i="6"/>
  <c r="AU569" i="6" s="1"/>
  <c r="CH638" i="3"/>
  <c r="Y764" i="3"/>
  <c r="Y765" i="3"/>
  <c r="E4" i="9" s="1"/>
  <c r="E5" i="9" s="1"/>
  <c r="CG614" i="3"/>
  <c r="L28" i="28"/>
  <c r="V28" i="28" s="1"/>
  <c r="CM638" i="3"/>
  <c r="L30" i="28"/>
  <c r="V30" i="28" s="1"/>
  <c r="CB61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CH544" i="6"/>
  <c r="BS524" i="6"/>
  <c r="BS528" i="6" s="1"/>
  <c r="BE570" i="6"/>
  <c r="AP580" i="6" s="1"/>
  <c r="K16" i="9"/>
  <c r="I22" i="9"/>
  <c r="I35" i="9" s="1"/>
  <c r="E6" i="9"/>
  <c r="S15" i="9"/>
  <c r="M32" i="9"/>
  <c r="I8" i="9"/>
  <c r="G9" i="9"/>
  <c r="M58" i="9" l="1"/>
  <c r="B96" i="4"/>
  <c r="B95" i="18"/>
  <c r="C97" i="15"/>
  <c r="B97" i="15"/>
  <c r="C104" i="4"/>
  <c r="AC448" i="3" s="1"/>
  <c r="E103" i="18"/>
  <c r="X992" i="3"/>
  <c r="AC449" i="3"/>
  <c r="E105" i="18"/>
  <c r="AB937" i="3"/>
  <c r="AJ937" i="3" s="1"/>
  <c r="AJ939" i="3" s="1"/>
  <c r="AJ988" i="3" s="1"/>
  <c r="T24" i="5" s="1"/>
  <c r="BI701" i="3"/>
  <c r="AH717" i="3" s="1"/>
  <c r="Z782" i="3"/>
  <c r="G4" i="9"/>
  <c r="I4" i="9" s="1"/>
  <c r="I5" i="9" s="1"/>
  <c r="BI732" i="3"/>
  <c r="AM717" i="3" s="1"/>
  <c r="AO691" i="6"/>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E7" i="9"/>
  <c r="E11" i="9" s="1"/>
  <c r="E37" i="9" s="1"/>
  <c r="E45" i="9" s="1"/>
  <c r="E48" i="9" s="1"/>
  <c r="G6" i="9"/>
  <c r="M16" i="9"/>
  <c r="K22" i="9"/>
  <c r="K35" i="9" s="1"/>
  <c r="U15" i="9"/>
  <c r="O32" i="9"/>
  <c r="I9" i="9"/>
  <c r="K8" i="9"/>
  <c r="O58" i="9" l="1"/>
  <c r="D105" i="15"/>
  <c r="B103" i="18"/>
  <c r="C105" i="15"/>
  <c r="B105" i="15"/>
  <c r="B104" i="4"/>
  <c r="AB46" i="5" s="1"/>
  <c r="AB48" i="5" s="1"/>
  <c r="AB53" i="5" s="1"/>
  <c r="AB54" i="5" s="1"/>
  <c r="E97" i="15"/>
  <c r="Y11" i="27"/>
  <c r="Y23" i="27" s="1"/>
  <c r="Y26" i="27" s="1"/>
  <c r="Y28" i="27" s="1"/>
  <c r="Y63" i="27" s="1"/>
  <c r="Y67" i="27" s="1"/>
  <c r="T11" i="5"/>
  <c r="T11" i="26"/>
  <c r="T23" i="26" s="1"/>
  <c r="Y11" i="26"/>
  <c r="Y23" i="26" s="1"/>
  <c r="Y26" i="26" s="1"/>
  <c r="Y28" i="26" s="1"/>
  <c r="Y63" i="26" s="1"/>
  <c r="Y67" i="26" s="1"/>
  <c r="T11" i="27"/>
  <c r="T23" i="27" s="1"/>
  <c r="Y11" i="5"/>
  <c r="Y23" i="5" s="1"/>
  <c r="Y26" i="5" s="1"/>
  <c r="Y28" i="5" s="1"/>
  <c r="AB938" i="3"/>
  <c r="K4" i="9"/>
  <c r="M4" i="9" s="1"/>
  <c r="O4" i="9" s="1"/>
  <c r="O5" i="9" s="1"/>
  <c r="G5" i="9"/>
  <c r="P414" i="3"/>
  <c r="O720" i="3"/>
  <c r="AO689" i="6"/>
  <c r="T698" i="6" s="1"/>
  <c r="AF698" i="6" s="1"/>
  <c r="CC530" i="6"/>
  <c r="CC532" i="6"/>
  <c r="T703" i="6"/>
  <c r="AK615" i="6"/>
  <c r="AS539" i="6"/>
  <c r="BY530" i="6"/>
  <c r="BY531" i="6"/>
  <c r="BU530" i="6"/>
  <c r="BY532" i="6"/>
  <c r="BT570" i="6"/>
  <c r="BT574" i="6" s="1"/>
  <c r="BP585" i="6"/>
  <c r="BN586" i="6" s="1"/>
  <c r="BB586" i="6"/>
  <c r="X993" i="3"/>
  <c r="BQ530" i="6"/>
  <c r="BQ534" i="6" s="1"/>
  <c r="BU531" i="6"/>
  <c r="CC533" i="6"/>
  <c r="BE547" i="6"/>
  <c r="AU546" i="6"/>
  <c r="BL585" i="6"/>
  <c r="BJ586" i="6" s="1"/>
  <c r="BF586" i="6"/>
  <c r="E47" i="9"/>
  <c r="E49" i="9"/>
  <c r="E60" i="9"/>
  <c r="E66" i="9" s="1"/>
  <c r="O16" i="9"/>
  <c r="M22" i="9"/>
  <c r="M35" i="9" s="1"/>
  <c r="I6" i="9"/>
  <c r="G7" i="9"/>
  <c r="BI547" i="6"/>
  <c r="BM544" i="6"/>
  <c r="W15" i="9"/>
  <c r="Q32" i="9"/>
  <c r="M8" i="9"/>
  <c r="K9" i="9"/>
  <c r="J58" i="25" l="1"/>
  <c r="G71" i="25" s="1"/>
  <c r="G72" i="25" s="1"/>
  <c r="B75" i="25" s="1"/>
  <c r="AC447" i="3"/>
  <c r="E105" i="15"/>
  <c r="AB46" i="26"/>
  <c r="AB48" i="26" s="1"/>
  <c r="AB53" i="26" s="1"/>
  <c r="AB54" i="26" s="1"/>
  <c r="G11" i="9"/>
  <c r="G37" i="9" s="1"/>
  <c r="G45" i="9" s="1"/>
  <c r="Q58" i="9"/>
  <c r="AB46" i="27"/>
  <c r="AB48" i="27" s="1"/>
  <c r="AB53" i="27" s="1"/>
  <c r="AB54" i="27" s="1"/>
  <c r="Y63" i="5"/>
  <c r="Y67" i="5" s="1"/>
  <c r="T26" i="27"/>
  <c r="T28" i="27" s="1"/>
  <c r="T29" i="27" s="1"/>
  <c r="AD38" i="27"/>
  <c r="AD40" i="27" s="1"/>
  <c r="Y38" i="27"/>
  <c r="Y40" i="27" s="1"/>
  <c r="BE16" i="28"/>
  <c r="T23" i="5"/>
  <c r="T26" i="26"/>
  <c r="T28" i="26" s="1"/>
  <c r="T29" i="26" s="1"/>
  <c r="Y38" i="26"/>
  <c r="Y40" i="26" s="1"/>
  <c r="AD38" i="26"/>
  <c r="AD40" i="26" s="1"/>
  <c r="K5" i="9"/>
  <c r="Q4" i="9"/>
  <c r="Q5" i="9" s="1"/>
  <c r="M5" i="9"/>
  <c r="D994" i="3"/>
  <c r="T702" i="6"/>
  <c r="AO694" i="6"/>
  <c r="AF702" i="6" s="1"/>
  <c r="AF708" i="6" s="1"/>
  <c r="CC531" i="6"/>
  <c r="CC534" i="6" s="1"/>
  <c r="BY534" i="6"/>
  <c r="BU534" i="6"/>
  <c r="BJ587" i="6"/>
  <c r="AV551" i="6" s="1"/>
  <c r="BY571" i="6"/>
  <c r="E67" i="9"/>
  <c r="E70" i="9" s="1"/>
  <c r="E72" i="9" s="1"/>
  <c r="K6" i="9"/>
  <c r="I7" i="9"/>
  <c r="I11" i="9" s="1"/>
  <c r="I37" i="9" s="1"/>
  <c r="Q16" i="9"/>
  <c r="O22" i="9"/>
  <c r="O35" i="9" s="1"/>
  <c r="Y15" i="9"/>
  <c r="BM547" i="6"/>
  <c r="BQ545" i="6"/>
  <c r="S32" i="9"/>
  <c r="M9" i="9"/>
  <c r="O8" i="9"/>
  <c r="B76" i="25" l="1"/>
  <c r="O76" i="25" s="1"/>
  <c r="G49" i="9"/>
  <c r="S58" i="9"/>
  <c r="Y41" i="26"/>
  <c r="AB55" i="26" s="1"/>
  <c r="AB56" i="26" s="1"/>
  <c r="AB58" i="26" s="1"/>
  <c r="F59" i="26" s="1"/>
  <c r="T26" i="5"/>
  <c r="T28" i="5" s="1"/>
  <c r="T29" i="5" s="1"/>
  <c r="Q71" i="25"/>
  <c r="O75" i="25" s="1"/>
  <c r="AD38" i="5"/>
  <c r="AD40" i="5" s="1"/>
  <c r="Y41" i="27"/>
  <c r="AB55" i="27" s="1"/>
  <c r="AB56" i="27" s="1"/>
  <c r="AB58" i="27" s="1"/>
  <c r="AB75" i="27" s="1"/>
  <c r="AB76" i="27" s="1"/>
  <c r="AB77" i="27" s="1"/>
  <c r="AB79" i="27" s="1"/>
  <c r="J80" i="27" s="1"/>
  <c r="S4" i="9"/>
  <c r="S5" i="9" s="1"/>
  <c r="CG534" i="6"/>
  <c r="CD572" i="6"/>
  <c r="BY574" i="6"/>
  <c r="BQ547" i="6"/>
  <c r="BU546" i="6"/>
  <c r="BU547" i="6" s="1"/>
  <c r="S16" i="9"/>
  <c r="Q22" i="9"/>
  <c r="Q35" i="9" s="1"/>
  <c r="AA15" i="9"/>
  <c r="G47" i="9"/>
  <c r="G60" i="9"/>
  <c r="G48" i="9"/>
  <c r="I49" i="9"/>
  <c r="I45" i="9"/>
  <c r="K7" i="9"/>
  <c r="K11" i="9" s="1"/>
  <c r="M6" i="9"/>
  <c r="U32" i="9"/>
  <c r="Q8" i="9"/>
  <c r="O9" i="9"/>
  <c r="R75" i="25" l="1"/>
  <c r="U58" i="9"/>
  <c r="AB75" i="26"/>
  <c r="AB76" i="26" s="1"/>
  <c r="AB77" i="26" s="1"/>
  <c r="AB79" i="26" s="1"/>
  <c r="J80" i="26" s="1"/>
  <c r="Y38" i="5"/>
  <c r="Y40" i="5" s="1"/>
  <c r="F59" i="27"/>
  <c r="U4" i="9"/>
  <c r="U5" i="9" s="1"/>
  <c r="CD574" i="6"/>
  <c r="CI573" i="6"/>
  <c r="CI574" i="6" s="1"/>
  <c r="CC547" i="6"/>
  <c r="K37" i="9"/>
  <c r="K49" i="9" s="1"/>
  <c r="U16" i="9"/>
  <c r="S22" i="9"/>
  <c r="S35" i="9" s="1"/>
  <c r="AC15" i="9"/>
  <c r="I47" i="9"/>
  <c r="I48" i="9"/>
  <c r="I60" i="9"/>
  <c r="G67" i="9"/>
  <c r="G66" i="9"/>
  <c r="G69" i="9"/>
  <c r="G68" i="9"/>
  <c r="O6" i="9"/>
  <c r="M7" i="9"/>
  <c r="M11" i="9" s="1"/>
  <c r="M37" i="9" s="1"/>
  <c r="W32" i="9"/>
  <c r="S8" i="9"/>
  <c r="Q9" i="9"/>
  <c r="W58" i="9" l="1"/>
  <c r="AR43" i="5"/>
  <c r="AR42" i="5"/>
  <c r="Y41" i="5" s="1"/>
  <c r="AB55" i="5" s="1"/>
  <c r="W4" i="9"/>
  <c r="W5" i="9" s="1"/>
  <c r="K45" i="9"/>
  <c r="K60" i="9" s="1"/>
  <c r="K69" i="9" s="1"/>
  <c r="CN574" i="6"/>
  <c r="BD555" i="6" s="1"/>
  <c r="AT557" i="6" s="1"/>
  <c r="Q6" i="9"/>
  <c r="O7" i="9"/>
  <c r="O11" i="9" s="1"/>
  <c r="O37" i="9" s="1"/>
  <c r="I67" i="9"/>
  <c r="I69" i="9"/>
  <c r="I68" i="9"/>
  <c r="I66" i="9"/>
  <c r="AE15" i="9"/>
  <c r="G70" i="9"/>
  <c r="G72" i="9" s="1"/>
  <c r="M45" i="9"/>
  <c r="M49" i="9"/>
  <c r="W16" i="9"/>
  <c r="U22" i="9"/>
  <c r="U35" i="9" s="1"/>
  <c r="Y32" i="9"/>
  <c r="U8" i="9"/>
  <c r="S9" i="9"/>
  <c r="Y58" i="9" l="1"/>
  <c r="BE15" i="28"/>
  <c r="AB56" i="5"/>
  <c r="AB58" i="5" s="1"/>
  <c r="M25" i="3"/>
  <c r="P203" i="3" s="1"/>
  <c r="Q22" i="28"/>
  <c r="V33" i="28" s="1"/>
  <c r="V35" i="28" s="1"/>
  <c r="Y4" i="9"/>
  <c r="Y5" i="9" s="1"/>
  <c r="K48" i="9"/>
  <c r="K66" i="9"/>
  <c r="K68" i="9"/>
  <c r="K67" i="9"/>
  <c r="K47" i="9"/>
  <c r="AW559" i="6"/>
  <c r="M48" i="9"/>
  <c r="M47" i="9"/>
  <c r="M60" i="9"/>
  <c r="O49" i="9"/>
  <c r="O45" i="9"/>
  <c r="I70" i="9"/>
  <c r="I72" i="9" s="1"/>
  <c r="AG15" i="9"/>
  <c r="Y16" i="9"/>
  <c r="W22" i="9"/>
  <c r="W35" i="9" s="1"/>
  <c r="S6" i="9"/>
  <c r="Q7" i="9"/>
  <c r="Q11" i="9" s="1"/>
  <c r="Q37" i="9" s="1"/>
  <c r="AA32" i="9"/>
  <c r="W8" i="9"/>
  <c r="U9" i="9"/>
  <c r="AA58" i="9" l="1"/>
  <c r="F59" i="5"/>
  <c r="AB75" i="5"/>
  <c r="AB76" i="5" s="1"/>
  <c r="AA4" i="9"/>
  <c r="AC4" i="9" s="1"/>
  <c r="K70" i="9"/>
  <c r="K72" i="9" s="1"/>
  <c r="Q45" i="9"/>
  <c r="Q49" i="9"/>
  <c r="O48" i="9"/>
  <c r="O60" i="9"/>
  <c r="O47" i="9"/>
  <c r="U6" i="9"/>
  <c r="S7" i="9"/>
  <c r="S11" i="9" s="1"/>
  <c r="S37" i="9" s="1"/>
  <c r="AA16" i="9"/>
  <c r="Y22" i="9"/>
  <c r="Y35" i="9" s="1"/>
  <c r="M66" i="9"/>
  <c r="M68" i="9"/>
  <c r="M69" i="9"/>
  <c r="M67" i="9"/>
  <c r="AC32" i="9"/>
  <c r="W9" i="9"/>
  <c r="Y8" i="9"/>
  <c r="AC58" i="9" l="1"/>
  <c r="AB77" i="5"/>
  <c r="AB79" i="5" s="1"/>
  <c r="J80" i="5" s="1"/>
  <c r="M27" i="3"/>
  <c r="AA5" i="9"/>
  <c r="M70" i="9"/>
  <c r="M72" i="9" s="1"/>
  <c r="W6" i="9"/>
  <c r="U7" i="9"/>
  <c r="U11" i="9" s="1"/>
  <c r="U37" i="9" s="1"/>
  <c r="O68" i="9"/>
  <c r="O66" i="9"/>
  <c r="O69" i="9"/>
  <c r="O67" i="9"/>
  <c r="AC16" i="9"/>
  <c r="AA22" i="9"/>
  <c r="AA35" i="9" s="1"/>
  <c r="S45" i="9"/>
  <c r="S49" i="9"/>
  <c r="AC5" i="9"/>
  <c r="AE4" i="9"/>
  <c r="Q48" i="9"/>
  <c r="Q60" i="9"/>
  <c r="Q47" i="9"/>
  <c r="AE32" i="9"/>
  <c r="Y9" i="9"/>
  <c r="AA8" i="9"/>
  <c r="AE58" i="9" l="1"/>
  <c r="AG58" i="9"/>
  <c r="W203" i="3"/>
  <c r="D203" i="3"/>
  <c r="AE5" i="9"/>
  <c r="AG4" i="9"/>
  <c r="O70" i="9"/>
  <c r="O72" i="9" s="1"/>
  <c r="S47" i="9"/>
  <c r="S48" i="9"/>
  <c r="S60" i="9"/>
  <c r="W7" i="9"/>
  <c r="W11" i="9" s="1"/>
  <c r="W37" i="9" s="1"/>
  <c r="Y6" i="9"/>
  <c r="U49" i="9"/>
  <c r="U45" i="9"/>
  <c r="Q68" i="9"/>
  <c r="Q69" i="9"/>
  <c r="Q67" i="9"/>
  <c r="Q66" i="9"/>
  <c r="AE16" i="9"/>
  <c r="AC22" i="9"/>
  <c r="AC35" i="9" s="1"/>
  <c r="AG32" i="9"/>
  <c r="AA9" i="9"/>
  <c r="AC8" i="9"/>
  <c r="AG5" i="9" l="1"/>
  <c r="Q70" i="9"/>
  <c r="Q72" i="9" s="1"/>
  <c r="W45" i="9"/>
  <c r="W49" i="9"/>
  <c r="AG16" i="9"/>
  <c r="AG22" i="9" s="1"/>
  <c r="AG35" i="9" s="1"/>
  <c r="AE22" i="9"/>
  <c r="AE35" i="9" s="1"/>
  <c r="S67" i="9"/>
  <c r="S68" i="9"/>
  <c r="S69" i="9"/>
  <c r="S66" i="9"/>
  <c r="U48" i="9"/>
  <c r="U60" i="9"/>
  <c r="U47" i="9"/>
  <c r="Y7" i="9"/>
  <c r="Y11" i="9" s="1"/>
  <c r="Y37" i="9" s="1"/>
  <c r="AA6" i="9"/>
  <c r="AC9" i="9"/>
  <c r="AE8" i="9"/>
  <c r="Y45" i="9" l="1"/>
  <c r="Y49" i="9"/>
  <c r="S70" i="9"/>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<sst xmlns="http://schemas.openxmlformats.org/spreadsheetml/2006/main" count="4674" uniqueCount="2466">
  <si>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</si>
  <si>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</si>
  <si>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</si>
  <si>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</si>
  <si>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</si>
  <si>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</si>
  <si>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</si>
  <si>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</si>
  <si>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</si>
  <si>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</si>
  <si>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</si>
  <si>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</si>
  <si>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</si>
  <si>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</si>
  <si>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</si>
  <si>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</si>
  <si>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</si>
  <si>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</si>
  <si>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</si>
  <si>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</si>
  <si>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</si>
  <si>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</si>
  <si>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</si>
  <si>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</si>
  <si>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</si>
  <si>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</si>
  <si>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</si>
  <si>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</si>
  <si>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</si>
  <si>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</si>
  <si>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</si>
  <si>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</si>
  <si>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</si>
  <si>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</si>
  <si>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</si>
  <si>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</si>
  <si>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</si>
  <si>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</si>
  <si>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</si>
  <si>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</si>
  <si>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</si>
  <si>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</si>
  <si>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</si>
  <si>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</si>
  <si>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</si>
  <si>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</si>
  <si>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</si>
  <si>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</si>
  <si>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</si>
  <si>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</si>
  <si>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</si>
  <si>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</si>
  <si>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</si>
  <si>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</si>
  <si>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</si>
  <si>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</si>
  <si>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</si>
  <si>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</si>
  <si>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</si>
  <si>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</si>
  <si>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</si>
  <si>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</si>
  <si>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</si>
  <si>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</si>
  <si>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</si>
  <si>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</si>
  <si>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</si>
  <si>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</si>
  <si>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</si>
  <si>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</si>
  <si>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</si>
  <si>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</si>
  <si>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</si>
  <si>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</si>
  <si>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</si>
  <si>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</si>
  <si>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</si>
  <si>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</si>
  <si>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</si>
  <si>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</si>
  <si>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</si>
  <si>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</si>
  <si>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</si>
  <si>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</si>
  <si>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</si>
  <si>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</si>
  <si>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</si>
  <si>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</si>
  <si>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</si>
  <si>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</si>
  <si>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</si>
  <si>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</si>
  <si>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</si>
  <si>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</si>
  <si>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</si>
  <si>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</si>
  <si>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</si>
  <si>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</si>
  <si>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</si>
  <si>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</si>
  <si>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</si>
  <si>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</si>
  <si>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</si>
  <si>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</si>
  <si>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</si>
  <si>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</si>
  <si>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</si>
  <si>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</si>
  <si>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</si>
  <si>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</si>
  <si>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</si>
  <si>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</si>
  <si>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</si>
  <si>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</si>
  <si>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</si>
  <si>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</si>
  <si>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</si>
  <si>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</si>
  <si>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</si>
  <si>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</si>
  <si>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</si>
  <si>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</si>
  <si>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</si>
  <si>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</si>
  <si>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</si>
  <si>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</si>
  <si>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</si>
  <si>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</si>
  <si>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</si>
  <si>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</si>
  <si>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</si>
  <si>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</si>
  <si>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</si>
  <si>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</si>
  <si>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</si>
  <si>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</si>
  <si>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</si>
  <si>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</si>
  <si>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</si>
  <si>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</si>
  <si>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</si>
  <si>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</si>
  <si>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</si>
  <si>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</si>
  <si>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</si>
  <si>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</si>
  <si>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</si>
  <si>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</si>
  <si>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</si>
  <si>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</si>
  <si>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</si>
  <si>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</si>
  <si>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</si>
  <si>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</si>
  <si>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</si>
  <si>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</si>
  <si>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</si>
  <si>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</si>
  <si>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</si>
  <si>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</si>
  <si>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</si>
  <si>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</si>
  <si>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</si>
  <si>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</si>
  <si>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</si>
  <si>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</si>
  <si>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</si>
  <si>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</si>
  <si>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</si>
  <si>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</si>
  <si>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</si>
  <si>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</si>
  <si>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</si>
  <si>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</si>
  <si>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</si>
  <si>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</si>
  <si>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</si>
  <si>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</si>
  <si>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</si>
  <si>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</si>
  <si>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</si>
  <si>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</si>
  <si>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</si>
  <si>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</si>
  <si>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</si>
  <si>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</si>
  <si>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</si>
  <si>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</si>
  <si>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</si>
  <si>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</si>
  <si>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</si>
  <si>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</si>
  <si>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</si>
  <si>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</si>
  <si>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</si>
  <si>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</si>
  <si>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</si>
  <si>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</si>
  <si>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</si>
  <si>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</si>
  <si>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</si>
  <si>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</si>
  <si>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</si>
  <si>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</si>
  <si>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</si>
  <si>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</si>
  <si>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</si>
  <si>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</si>
  <si>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</si>
  <si>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</si>
  <si>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</si>
  <si>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</si>
  <si>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</si>
  <si>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</si>
  <si>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</si>
  <si>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</si>
  <si>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</si>
  <si>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</si>
  <si>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</si>
  <si>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</si>
  <si>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</si>
  <si>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</si>
  <si>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</si>
  <si>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</si>
  <si>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</si>
  <si>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</si>
  <si>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</si>
  <si>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</si>
  <si>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</si>
  <si>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</si>
  <si>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</si>
  <si>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</si>
  <si>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</si>
  <si>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</si>
  <si>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</si>
  <si>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</si>
  <si>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</si>
  <si>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</si>
  <si>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</si>
  <si>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</si>
  <si>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</si>
  <si>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</si>
  <si>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</si>
  <si>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</si>
  <si>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</si>
  <si>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</si>
  <si>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</si>
  <si>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</si>
  <si>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</si>
  <si>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</si>
  <si>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</si>
  <si>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</si>
  <si>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</si>
  <si>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</si>
  <si>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</si>
  <si>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</si>
  <si>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</si>
  <si>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</si>
  <si>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</si>
  <si>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</si>
  <si>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</si>
  <si>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</si>
  <si>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</si>
  <si>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</si>
  <si>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</si>
  <si>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</si>
  <si>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</si>
  <si>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</si>
  <si>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</si>
  <si>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</si>
  <si>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</si>
  <si>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</si>
  <si>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</si>
  <si>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</si>
  <si>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</si>
  <si>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</si>
  <si>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</si>
  <si>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</si>
  <si>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</si>
  <si>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</si>
  <si>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</si>
  <si>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</si>
  <si>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</si>
  <si>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</si>
  <si>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</si>
  <si>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</si>
  <si>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</si>
  <si>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</si>
  <si>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</si>
  <si>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</si>
  <si>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</si>
  <si>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</si>
  <si>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</si>
  <si>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</si>
  <si>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</si>
  <si>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</si>
  <si>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</si>
  <si>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</si>
  <si>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</si>
  <si>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</si>
  <si>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</si>
  <si>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</si>
  <si>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</si>
  <si>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</si>
  <si>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</si>
  <si>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</si>
  <si>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</si>
  <si>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</si>
  <si>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</si>
  <si>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</si>
  <si>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</si>
  <si>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</si>
  <si>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</si>
  <si>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</si>
  <si>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</si>
  <si>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</si>
  <si>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</si>
  <si>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</si>
  <si>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</si>
  <si>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</si>
  <si>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</si>
  <si>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</si>
  <si>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</si>
  <si>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</si>
  <si>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</si>
  <si>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</si>
  <si>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</si>
  <si>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</si>
  <si>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</si>
  <si>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</si>
  <si>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</si>
  <si>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</si>
  <si>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</si>
  <si>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</si>
  <si>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</si>
  <si>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</si>
  <si>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</si>
  <si>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</si>
  <si>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</si>
  <si>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</si>
  <si>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</si>
  <si>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</si>
  <si>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</si>
  <si>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</si>
  <si>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</si>
  <si>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</si>
  <si>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</si>
  <si>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</si>
  <si>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</si>
  <si>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</si>
  <si>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</si>
  <si>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</si>
  <si>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</si>
  <si>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</si>
  <si>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</si>
  <si>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</si>
  <si>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</si>
  <si>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</si>
  <si>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</si>
  <si>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</si>
  <si>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</si>
  <si>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</si>
  <si>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</si>
  <si>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</si>
  <si>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</si>
  <si>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</si>
  <si>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</si>
  <si>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</si>
  <si>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</si>
  <si>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</si>
  <si>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</si>
  <si>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</si>
  <si>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</si>
  <si>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</si>
  <si>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</si>
  <si>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</si>
  <si>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</si>
  <si>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</si>
  <si>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</si>
  <si>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</si>
  <si>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</si>
  <si>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</si>
  <si>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</si>
  <si>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</si>
  <si>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</si>
  <si>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</si>
  <si>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</si>
  <si>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</si>
  <si>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</si>
  <si>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</si>
  <si>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</si>
  <si>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</si>
  <si>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</si>
  <si>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</si>
  <si>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</si>
  <si>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</si>
  <si>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</si>
  <si>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</si>
  <si>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</si>
  <si>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</si>
  <si>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</si>
  <si>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</si>
  <si>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</si>
  <si>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</si>
  <si>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</si>
  <si>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</si>
  <si>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</si>
  <si>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</si>
  <si>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</si>
  <si>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</si>
  <si>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</si>
  <si>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</si>
  <si>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</si>
  <si>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</si>
  <si>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</si>
  <si>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</si>
  <si>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</si>
  <si>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</si>
  <si>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</si>
  <si>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</si>
  <si>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</si>
  <si>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</si>
  <si>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</si>
  <si>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</si>
  <si>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</si>
  <si>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</si>
  <si>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</si>
  <si>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</si>
  <si>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</si>
  <si>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</si>
  <si>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</si>
  <si>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</si>
  <si>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</si>
  <si>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</si>
  <si>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</si>
  <si>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</si>
  <si>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</si>
  <si>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</si>
  <si>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</si>
  <si>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</si>
  <si>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</si>
  <si>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</si>
  <si>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</si>
  <si>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</si>
  <si>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</si>
  <si>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</si>
  <si>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</si>
  <si>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</si>
  <si>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</si>
  <si>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</si>
  <si>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</si>
  <si>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</si>
  <si>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</si>
  <si>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</si>
  <si>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</si>
  <si>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</si>
  <si>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</si>
  <si>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</si>
  <si>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</si>
  <si>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</si>
  <si>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</si>
  <si>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</si>
  <si>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</si>
  <si>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</si>
  <si>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</si>
  <si>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</si>
  <si>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</si>
  <si>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</si>
  <si>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</si>
  <si>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</si>
  <si>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</si>
  <si>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</si>
  <si>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</si>
  <si>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</si>
  <si>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</si>
  <si>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</si>
  <si>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</si>
  <si>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</si>
  <si>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</si>
  <si>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</si>
  <si>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</si>
  <si>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</si>
  <si>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</si>
  <si>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</si>
  <si>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</si>
  <si>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</si>
  <si>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</si>
  <si>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</si>
  <si>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</si>
  <si>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</si>
  <si>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</si>
  <si>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</si>
  <si>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</si>
  <si>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</si>
  <si>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</si>
  <si>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</si>
  <si>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</si>
  <si>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</si>
  <si>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</si>
  <si>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</si>
  <si>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</si>
  <si>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</si>
  <si>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</si>
  <si>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</si>
  <si>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</si>
  <si>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</si>
  <si>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</si>
  <si>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</si>
  <si>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</si>
  <si>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</si>
  <si>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</si>
  <si>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</si>
  <si>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</si>
  <si>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</si>
  <si>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</si>
  <si>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</si>
  <si>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</si>
  <si>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</si>
  <si>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</si>
  <si>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</si>
  <si>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</si>
  <si>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</si>
  <si>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</si>
  <si>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</si>
  <si>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</si>
  <si>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</si>
  <si>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</si>
  <si>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</si>
  <si>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</si>
  <si>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</si>
  <si>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</si>
  <si>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</si>
  <si>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</si>
  <si>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</si>
  <si>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</si>
  <si>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</si>
  <si>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</si>
  <si>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</si>
  <si>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</si>
  <si>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</si>
  <si>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</si>
  <si>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</si>
  <si>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</si>
  <si>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</si>
  <si>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</si>
  <si>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</si>
  <si>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</si>
  <si>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</si>
  <si>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</si>
  <si>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</si>
  <si>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</si>
  <si>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</si>
  <si>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</si>
  <si>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</si>
  <si>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</si>
  <si>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</si>
  <si>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</si>
  <si>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</si>
  <si>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</si>
  <si>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</si>
  <si>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</si>
  <si>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</si>
  <si>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</si>
  <si>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</si>
  <si>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</si>
  <si>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</si>
  <si>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</si>
  <si>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</si>
  <si>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</si>
  <si>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</si>
  <si>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</si>
  <si>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</si>
  <si>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</si>
  <si>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</si>
  <si>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</si>
  <si>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</si>
  <si>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</si>
  <si>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</si>
  <si>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</si>
  <si>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</si>
  <si>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</si>
  <si>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</si>
  <si>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</si>
  <si>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</si>
  <si>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</si>
  <si>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</si>
  <si>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</si>
  <si>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</si>
  <si>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</si>
  <si>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</si>
  <si>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</si>
  <si>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</si>
  <si>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</si>
  <si>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</si>
  <si>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</si>
  <si>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</si>
  <si>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</si>
  <si>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</si>
  <si>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</si>
  <si>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</si>
  <si>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</si>
  <si>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</si>
  <si>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</si>
  <si>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</si>
  <si>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</si>
  <si>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</si>
  <si>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</si>
  <si>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</si>
  <si>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</si>
  <si>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</si>
  <si>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</si>
  <si>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</si>
  <si>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</si>
  <si>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</si>
  <si>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</si>
  <si>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</si>
  <si>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</si>
  <si>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</si>
  <si>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</si>
  <si>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</si>
  <si>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</si>
  <si>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</si>
  <si>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</si>
  <si>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</si>
  <si>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</si>
  <si>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</si>
  <si>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</si>
  <si>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</si>
  <si>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</si>
  <si>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</si>
  <si>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</si>
  <si>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</si>
  <si>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</si>
  <si>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</si>
  <si>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</si>
  <si>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</si>
  <si>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</si>
  <si>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</si>
  <si>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</si>
  <si>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</si>
  <si>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</si>
  <si>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</si>
  <si>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</si>
  <si>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</si>
  <si>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</si>
  <si>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</si>
  <si>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</si>
  <si>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</si>
  <si>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</si>
  <si>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</si>
  <si>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</si>
  <si>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</si>
  <si>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</si>
  <si>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</si>
  <si>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</si>
  <si>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</si>
  <si>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</si>
  <si>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</si>
  <si>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</si>
  <si>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</si>
  <si>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</si>
  <si>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</si>
  <si>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</si>
  <si>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</si>
  <si>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</si>
  <si>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</si>
  <si>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</si>
  <si>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</si>
  <si>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</si>
  <si>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</si>
  <si>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</si>
  <si>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</si>
  <si>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</si>
  <si>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</si>
  <si>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</si>
  <si>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</si>
  <si>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</si>
  <si>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</si>
  <si>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</si>
  <si>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</si>
  <si>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</si>
  <si>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</si>
  <si>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</si>
  <si>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</si>
  <si>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</si>
  <si>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</si>
  <si>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</si>
  <si>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</si>
  <si>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</si>
  <si>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</si>
  <si>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</si>
  <si>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</si>
  <si>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</si>
  <si>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</si>
  <si>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</si>
  <si>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</si>
  <si>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</si>
  <si>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</si>
  <si>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</si>
  <si>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</si>
  <si>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</si>
  <si>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</si>
  <si>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</si>
  <si>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</si>
  <si>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</si>
  <si>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</si>
  <si>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</si>
  <si>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</si>
  <si>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</si>
  <si>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</si>
  <si>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</si>
  <si>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</si>
  <si>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</si>
  <si>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</si>
  <si>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</si>
  <si>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</si>
  <si>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</si>
  <si>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</si>
  <si>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</si>
  <si>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</si>
  <si>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</si>
  <si>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</si>
  <si>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</si>
  <si>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</si>
  <si>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</si>
  <si>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</si>
  <si>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</si>
  <si>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</si>
  <si>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</si>
  <si>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</si>
  <si>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</si>
  <si>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</si>
  <si>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</si>
  <si>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</si>
  <si>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</si>
  <si>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</si>
  <si>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</si>
  <si>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</si>
  <si>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</si>
  <si>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</si>
  <si>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</si>
  <si>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</si>
  <si>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</si>
  <si>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</si>
  <si>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</si>
  <si>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</si>
  <si>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</si>
  <si>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</si>
  <si>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</si>
  <si>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</si>
  <si>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</si>
  <si>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</si>
  <si>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</si>
  <si>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</si>
  <si>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</si>
  <si>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</si>
  <si>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</si>
  <si>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</si>
  <si>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</si>
  <si>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</si>
  <si>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</si>
  <si>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</si>
  <si>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</si>
  <si>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</si>
  <si>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</si>
  <si>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</si>
  <si>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</si>
  <si>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</si>
  <si>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</si>
  <si>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</si>
  <si>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</si>
  <si>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</si>
  <si>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</si>
  <si>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</si>
  <si>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</si>
  <si>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</si>
  <si>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</si>
  <si>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</si>
  <si>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</si>
  <si>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</si>
  <si>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</si>
  <si>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</si>
  <si>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</si>
  <si>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</si>
  <si>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</si>
  <si>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</si>
  <si>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</si>
  <si>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</si>
  <si>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</si>
  <si>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</si>
  <si>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</si>
  <si>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</si>
  <si>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</si>
  <si>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</si>
  <si>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</si>
  <si>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</si>
  <si>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</si>
  <si>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</si>
  <si>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</si>
  <si>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</si>
  <si>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</si>
  <si>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</si>
  <si>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</si>
  <si>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</si>
  <si>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</si>
  <si>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</si>
  <si>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</si>
  <si>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</si>
  <si>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</si>
  <si>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</si>
  <si>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</si>
  <si>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</si>
  <si>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</si>
  <si>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</si>
  <si>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</si>
  <si>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</si>
  <si>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</si>
  <si>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</si>
  <si>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</si>
  <si>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</si>
  <si>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</si>
  <si>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</si>
  <si>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</si>
  <si>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</si>
  <si>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</si>
  <si>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</si>
  <si>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</si>
  <si>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</si>
  <si>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</si>
  <si>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</si>
  <si>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</si>
  <si>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</si>
  <si>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</si>
  <si>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</si>
  <si>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</si>
  <si>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</si>
  <si>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</si>
  <si>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</si>
  <si>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</si>
  <si>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</si>
  <si>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</si>
  <si>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</si>
  <si>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</si>
  <si>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</si>
  <si>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</si>
  <si>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</si>
  <si>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</si>
  <si>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</si>
  <si>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</si>
  <si>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</si>
  <si>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</si>
  <si>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</si>
  <si>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</si>
  <si>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</si>
  <si>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</si>
  <si>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</si>
  <si>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</si>
  <si>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</si>
  <si>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</si>
  <si>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</si>
  <si>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</si>
  <si>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</si>
  <si>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</si>
  <si>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</si>
  <si>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</si>
  <si>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</si>
  <si>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</si>
  <si>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</si>
  <si>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</si>
  <si>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</si>
  <si>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</si>
  <si>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</si>
  <si>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</si>
  <si>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</si>
  <si>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</si>
  <si>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</si>
  <si>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</si>
  <si>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</si>
  <si>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</si>
  <si>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</si>
  <si>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</si>
  <si>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</si>
  <si>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</si>
  <si>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</si>
  <si>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</si>
  <si>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</si>
  <si>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</si>
  <si>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</si>
  <si>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</si>
  <si>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</si>
  <si>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</si>
  <si>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</si>
  <si>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</si>
  <si>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</si>
  <si>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</si>
  <si>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</si>
  <si>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</si>
  <si>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</si>
  <si>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</si>
  <si>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</si>
  <si>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</si>
  <si>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</si>
  <si>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</si>
  <si>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</si>
  <si>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</si>
  <si>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</si>
  <si>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</si>
  <si>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</si>
  <si>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</si>
  <si>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</si>
  <si>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</si>
  <si>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</si>
  <si>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</si>
  <si>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</si>
  <si>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</si>
  <si>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</si>
  <si>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</si>
  <si>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</si>
  <si>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</si>
  <si>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</si>
  <si>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</si>
  <si>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</si>
  <si>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</si>
  <si>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</si>
  <si>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</si>
  <si>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</si>
  <si>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</si>
  <si>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</si>
  <si>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</si>
  <si>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</si>
  <si>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</si>
  <si>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</si>
  <si>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</si>
  <si>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</si>
  <si>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</si>
  <si>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</si>
  <si>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</si>
  <si>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</si>
  <si>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</si>
  <si>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</si>
  <si>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</si>
  <si>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</si>
  <si>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</si>
  <si>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</si>
  <si>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</si>
  <si>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</si>
  <si>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</si>
  <si>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</si>
  <si>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</si>
  <si>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</si>
  <si>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</si>
  <si>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</si>
  <si>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</si>
  <si>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</si>
  <si>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</si>
  <si>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</si>
  <si>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</si>
  <si>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</si>
  <si>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</si>
  <si>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</si>
  <si>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</si>
  <si>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</si>
  <si>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</si>
  <si>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</si>
  <si>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</si>
  <si>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</si>
  <si>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</si>
  <si>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</si>
  <si>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</si>
  <si>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</si>
  <si>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</si>
  <si>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</si>
  <si>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</si>
  <si>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</si>
  <si>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</si>
  <si>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</si>
  <si>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</si>
  <si>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</si>
  <si>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</si>
  <si>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</si>
  <si>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</si>
  <si>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</si>
  <si>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</si>
  <si>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</si>
  <si>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</si>
  <si>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</si>
  <si>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</si>
  <si>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</si>
  <si>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</si>
  <si>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</si>
  <si>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</si>
  <si>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</si>
  <si>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</si>
  <si>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</si>
  <si>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</si>
  <si>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</si>
  <si>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</si>
  <si>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</si>
  <si>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</si>
  <si>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</si>
  <si>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</si>
  <si>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</si>
  <si>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</si>
  <si>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</si>
  <si>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</si>
  <si>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</si>
  <si>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</si>
  <si>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</si>
  <si>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</si>
  <si>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</si>
  <si>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</si>
  <si>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</si>
  <si>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</si>
  <si>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</si>
  <si>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</si>
  <si>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</si>
  <si>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</si>
  <si>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</si>
  <si>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</si>
  <si>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</si>
  <si>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</si>
  <si>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</si>
  <si>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</si>
  <si>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</si>
  <si>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</si>
  <si>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</si>
  <si>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</si>
  <si>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</si>
  <si>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</si>
  <si>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</si>
  <si>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</si>
  <si>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</si>
  <si>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</si>
  <si>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</si>
  <si>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</si>
  <si>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</si>
  <si>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</si>
  <si>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</si>
  <si>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</si>
  <si>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</si>
  <si>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</si>
  <si>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</si>
  <si>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</si>
  <si>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</si>
  <si>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</si>
  <si>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</si>
  <si>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</si>
  <si>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</si>
  <si>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</si>
  <si>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</si>
  <si>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</si>
  <si>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</si>
  <si>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</si>
  <si>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</si>
  <si>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</si>
  <si>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</si>
  <si>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</si>
  <si>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</si>
  <si>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</si>
  <si>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</si>
  <si>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</si>
  <si>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</si>
  <si>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</si>
  <si>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</si>
  <si>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</si>
  <si>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</si>
  <si>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</si>
  <si>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</si>
  <si>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</si>
  <si>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</si>
  <si>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</si>
  <si>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</si>
  <si>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</si>
  <si>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</si>
  <si>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</si>
  <si>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</si>
  <si>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</si>
  <si>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</si>
  <si>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</si>
  <si>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</si>
  <si>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</si>
  <si>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</si>
  <si>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</si>
  <si>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</si>
  <si>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</si>
  <si>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</si>
  <si>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</si>
  <si>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</si>
  <si>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</si>
  <si>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</si>
  <si>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</si>
  <si>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</si>
  <si>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</si>
  <si>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</si>
  <si>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</si>
  <si>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</si>
  <si>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</si>
  <si>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</si>
  <si>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</si>
  <si>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</si>
  <si>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</si>
  <si>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</si>
  <si>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</si>
  <si>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</si>
  <si>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</si>
  <si>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</si>
  <si>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</si>
  <si>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</si>
  <si>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</si>
  <si>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</si>
  <si>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</si>
  <si>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</si>
  <si>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</si>
  <si>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</si>
  <si>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</si>
  <si>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</si>
  <si>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</si>
  <si>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</si>
  <si>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</si>
  <si>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</si>
  <si>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</si>
  <si>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</si>
  <si>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</si>
  <si>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</si>
  <si>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</si>
  <si>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</si>
  <si>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</si>
  <si>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</si>
  <si>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</si>
  <si>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</si>
  <si>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</si>
  <si>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</si>
  <si>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</si>
  <si>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</si>
  <si>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</si>
  <si>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</si>
  <si>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</si>
  <si>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</si>
  <si>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</si>
  <si>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</si>
  <si>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</si>
  <si>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</si>
  <si>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</si>
  <si>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</si>
  <si>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</si>
  <si>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</si>
  <si>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</si>
  <si>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</si>
  <si>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</si>
  <si>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</si>
  <si>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</si>
  <si>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</si>
  <si>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</si>
  <si>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</si>
  <si>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</si>
  <si>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</si>
  <si>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</si>
  <si>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</si>
  <si>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</si>
  <si>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</si>
  <si>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</si>
  <si>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</si>
  <si>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</si>
  <si>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</si>
  <si>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</si>
  <si>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</si>
  <si>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</si>
  <si>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</si>
  <si>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</si>
  <si>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</si>
  <si>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</si>
  <si>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</si>
  <si>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</si>
  <si>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</si>
  <si>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</si>
  <si>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</si>
  <si>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</si>
  <si>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</si>
  <si>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</si>
  <si>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</si>
  <si>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</si>
  <si>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</si>
  <si>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</si>
  <si>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</si>
  <si>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</si>
  <si>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</si>
  <si>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</si>
  <si>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</si>
  <si>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</si>
  <si>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</si>
  <si>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</si>
  <si>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</si>
  <si>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</si>
  <si>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</si>
  <si>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</si>
  <si>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</si>
  <si>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</si>
  <si>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</si>
  <si>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</si>
  <si>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</si>
  <si>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</si>
  <si>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</si>
  <si>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</si>
  <si>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</si>
  <si>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</si>
  <si>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</si>
  <si>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</si>
  <si>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</si>
  <si>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</si>
  <si>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</si>
  <si>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</si>
  <si>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</si>
  <si>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</si>
  <si>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</si>
  <si>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</si>
  <si>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</si>
  <si>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</si>
  <si>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</si>
  <si>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</si>
  <si>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</si>
  <si>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</si>
  <si>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</si>
  <si>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</si>
  <si>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</si>
  <si>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</si>
  <si>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</si>
  <si>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</si>
  <si>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</si>
  <si>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</si>
  <si>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</si>
  <si>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</si>
  <si>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</si>
  <si>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</si>
  <si>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</si>
  <si>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</si>
  <si>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</si>
  <si>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</si>
  <si>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</si>
  <si>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</si>
  <si>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</si>
  <si>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</si>
  <si>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</si>
  <si>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</si>
  <si>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</si>
  <si>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</si>
  <si>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</si>
  <si>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</si>
  <si>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</si>
  <si>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</si>
  <si>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</si>
  <si>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</si>
  <si>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</si>
  <si>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</si>
  <si>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</si>
  <si>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</si>
  <si>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</si>
  <si>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</si>
  <si>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</si>
  <si>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</si>
  <si>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</si>
  <si>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</si>
  <si>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</si>
  <si>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</si>
  <si>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</si>
  <si>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</si>
  <si>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</si>
  <si>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</si>
  <si>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</si>
  <si>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</si>
  <si>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</si>
  <si>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</si>
  <si>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</si>
  <si>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</si>
  <si>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</si>
  <si>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</si>
  <si>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</si>
  <si>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</si>
  <si>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</si>
  <si>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</si>
  <si>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</si>
  <si>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</si>
  <si>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</si>
  <si>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</si>
  <si>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</si>
  <si>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</si>
  <si>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</si>
  <si>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</si>
  <si>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</si>
  <si>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</si>
  <si>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</si>
  <si>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</si>
  <si>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</si>
  <si>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</si>
  <si>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</si>
  <si>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</si>
  <si>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</si>
  <si>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</si>
  <si>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</si>
  <si>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</si>
  <si>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</si>
  <si>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</si>
  <si>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</si>
  <si>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</si>
  <si>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</si>
  <si>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</si>
  <si>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</si>
  <si>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</si>
  <si>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</si>
  <si>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</si>
  <si>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</si>
  <si>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</si>
  <si>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</si>
  <si>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</si>
  <si>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</si>
  <si>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</si>
  <si>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</si>
  <si>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</si>
  <si>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</si>
  <si>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</si>
  <si>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</si>
  <si>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</si>
  <si>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</si>
  <si>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</si>
  <si>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</si>
  <si>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</si>
  <si>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</si>
  <si>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</si>
  <si>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</si>
  <si>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</si>
  <si>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</si>
  <si>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</si>
  <si>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</si>
  <si>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</si>
  <si>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</si>
  <si>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</si>
  <si>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</si>
  <si>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</si>
  <si>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</si>
  <si>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</si>
  <si>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</si>
  <si>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</si>
  <si>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</si>
  <si>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</si>
  <si>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</si>
  <si>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</si>
  <si>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</si>
  <si>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</si>
  <si>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</si>
  <si>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</si>
  <si>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</si>
  <si>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</si>
  <si>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</si>
  <si>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</si>
  <si>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</si>
  <si>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</si>
  <si>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</si>
  <si>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</si>
  <si>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</si>
  <si>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</si>
  <si>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</si>
  <si>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</si>
  <si>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</si>
  <si>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</si>
  <si>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</si>
  <si>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</si>
  <si>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</si>
  <si>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</si>
  <si>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</si>
  <si>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</si>
  <si>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</si>
  <si>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</si>
  <si>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</si>
  <si>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</si>
  <si>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</si>
  <si>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</si>
  <si>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</si>
  <si>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</si>
  <si>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</si>
  <si>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</si>
  <si>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</si>
  <si>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</si>
  <si>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</si>
  <si>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</si>
  <si>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</si>
  <si>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</si>
  <si>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</si>
  <si>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</si>
  <si>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</si>
  <si>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</si>
  <si>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</si>
  <si>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</si>
  <si>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</si>
  <si>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</si>
  <si>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</si>
  <si>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</si>
  <si>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</si>
  <si>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</si>
  <si>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</si>
  <si>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</si>
  <si>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</si>
  <si>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</si>
  <si>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</si>
  <si>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</si>
  <si>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</si>
  <si>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</si>
  <si>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</si>
  <si>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</si>
  <si>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</si>
  <si>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</si>
  <si>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</si>
  <si>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</si>
  <si>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</si>
  <si>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</si>
  <si>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</si>
  <si>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</si>
  <si>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</si>
  <si>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</si>
  <si>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</si>
  <si>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</si>
  <si>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</si>
  <si>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</si>
  <si>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</si>
  <si>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</si>
  <si>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</si>
  <si>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</si>
  <si>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</si>
  <si>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</si>
  <si>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</si>
  <si>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</si>
  <si>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</si>
  <si>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</si>
  <si>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</si>
  <si>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</si>
  <si>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</si>
  <si>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</si>
  <si>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</si>
  <si>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</si>
  <si>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</si>
  <si>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</si>
  <si>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</si>
  <si>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</si>
  <si>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</si>
  <si>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</si>
  <si>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</si>
  <si>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</si>
  <si>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</si>
  <si>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</si>
  <si>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</si>
  <si>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</si>
  <si>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</si>
  <si>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</si>
  <si>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</si>
  <si>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</si>
  <si>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</si>
  <si>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</si>
  <si>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</si>
  <si>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</si>
  <si>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</si>
  <si>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</si>
  <si>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</si>
  <si>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</si>
  <si>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</si>
  <si>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</si>
  <si>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</si>
  <si>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</si>
  <si>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</si>
  <si>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</si>
  <si>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</si>
  <si>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</si>
  <si>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</si>
  <si>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</si>
  <si>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</si>
  <si>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</si>
  <si>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</si>
  <si>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</si>
  <si>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</si>
  <si>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</si>
  <si>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</si>
  <si>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</si>
  <si>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</si>
  <si>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</si>
  <si>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</si>
  <si>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</si>
  <si>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</si>
  <si>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</si>
  <si>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</si>
  <si>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</si>
  <si>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</si>
  <si>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</si>
  <si>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</si>
  <si>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</si>
  <si>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</si>
  <si>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</si>
  <si>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</si>
  <si>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</si>
  <si>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</si>
  <si>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</si>
  <si>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</si>
  <si>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</si>
  <si>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</si>
  <si>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</si>
  <si>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</si>
  <si>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</si>
  <si>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</si>
  <si>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</si>
  <si>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</si>
  <si>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</si>
  <si>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</si>
  <si>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</si>
  <si>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</si>
  <si>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</si>
  <si>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</si>
  <si>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</si>
  <si>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</si>
  <si>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</si>
  <si>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</si>
  <si>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</si>
  <si>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</si>
  <si>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</si>
  <si>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</si>
  <si>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</si>
  <si>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</si>
  <si>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</si>
  <si>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</si>
  <si>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</si>
  <si>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</si>
  <si>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</si>
  <si>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</si>
  <si>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</si>
  <si>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</si>
  <si>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</si>
  <si>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</si>
  <si>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</si>
  <si>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</si>
  <si>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</si>
  <si>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</si>
  <si>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</si>
  <si>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</si>
  <si>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</si>
  <si>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</si>
  <si>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</si>
  <si>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</si>
  <si>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</si>
  <si>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</si>
  <si>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</si>
  <si>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</si>
  <si>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</si>
  <si>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</si>
  <si>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</si>
  <si>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</si>
  <si>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</si>
  <si>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</si>
  <si>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</si>
  <si>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</si>
  <si>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</si>
  <si>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</si>
  <si>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</si>
  <si>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</si>
  <si>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</si>
  <si>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</si>
  <si>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</si>
  <si>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</si>
  <si>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</si>
  <si>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</si>
  <si>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</si>
  <si>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</si>
  <si>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</si>
  <si>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</si>
  <si>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</si>
  <si>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</si>
  <si>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</si>
  <si>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</si>
  <si>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</si>
  <si>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</si>
  <si>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</si>
  <si>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</si>
  <si>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</si>
  <si>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</si>
  <si>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</si>
  <si>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</si>
  <si>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</si>
  <si>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</si>
  <si>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</si>
  <si>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</si>
  <si>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</si>
  <si>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</si>
  <si>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</si>
  <si>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</si>
  <si>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</si>
  <si>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</si>
  <si>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</si>
  <si>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</si>
  <si>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</si>
  <si>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</si>
  <si>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</si>
  <si>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</si>
  <si>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</si>
  <si>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</si>
  <si>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</si>
  <si>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</si>
  <si>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</si>
  <si>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</si>
  <si>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</si>
  <si>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</si>
  <si>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</si>
  <si>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</si>
  <si>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</si>
  <si>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</si>
  <si>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</si>
  <si>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</si>
  <si>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</si>
  <si>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</si>
  <si>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</si>
  <si>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</si>
  <si>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</si>
  <si>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</si>
  <si>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</si>
  <si>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</si>
  <si>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</si>
  <si>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</si>
  <si>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</si>
  <si>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</si>
  <si>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</si>
  <si>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</si>
  <si>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</si>
  <si>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</si>
  <si>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</si>
  <si>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</si>
  <si>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</si>
  <si>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</si>
  <si>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</si>
  <si>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</si>
  <si>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</si>
  <si>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</si>
  <si>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</si>
  <si>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</si>
  <si>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</si>
  <si>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</si>
  <si>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</si>
  <si>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</si>
  <si>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</si>
  <si>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</si>
  <si>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</si>
  <si>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</si>
  <si>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</si>
  <si>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</si>
  <si>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</si>
  <si>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</si>
  <si>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</si>
  <si>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</si>
  <si>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</si>
  <si>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</si>
  <si>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</si>
  <si>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</si>
  <si>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</si>
  <si>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</si>
  <si>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</si>
  <si>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</si>
  <si>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</si>
  <si>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</si>
  <si>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</si>
  <si>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</si>
  <si>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</si>
  <si>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</si>
  <si>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</si>
  <si>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</si>
  <si>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</si>
  <si>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</si>
  <si>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</si>
  <si>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</si>
  <si>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</si>
  <si>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</si>
  <si>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</si>
  <si>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</si>
  <si>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</si>
  <si>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</si>
  <si>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</si>
  <si>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</si>
  <si>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</si>
  <si>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</si>
  <si>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</si>
  <si>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</si>
  <si>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</si>
  <si>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</si>
  <si>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</si>
  <si>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</si>
  <si>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</si>
  <si>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</si>
  <si>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</si>
  <si>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</si>
  <si>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</si>
  <si>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</si>
  <si>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</si>
  <si>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</si>
  <si>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</si>
  <si>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</si>
  <si>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</si>
  <si>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</si>
  <si>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</si>
  <si>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</si>
  <si>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</si>
  <si>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</si>
  <si>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</si>
  <si>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</si>
  <si>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</si>
  <si>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</si>
  <si>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</si>
  <si>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</si>
  <si>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</si>
  <si>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</si>
  <si>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</si>
  <si>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</si>
  <si>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</si>
  <si>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</si>
  <si>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</si>
  <si>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</si>
  <si>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</si>
  <si>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</si>
  <si>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</si>
  <si>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</si>
  <si>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</si>
  <si>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</si>
  <si>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</si>
  <si>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</si>
  <si>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</si>
  <si>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</si>
  <si>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</si>
  <si>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</si>
  <si>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</si>
  <si>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</si>
  <si>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</si>
  <si>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</si>
  <si>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</si>
  <si>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</si>
  <si>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</si>
  <si>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</si>
  <si>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</si>
  <si>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</si>
  <si>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</si>
  <si>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</si>
  <si>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</si>
  <si>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</si>
  <si>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</si>
  <si>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</si>
  <si>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</si>
  <si>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</si>
  <si>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</si>
  <si>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</si>
  <si>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</si>
  <si>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</si>
  <si>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</si>
  <si>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</si>
  <si>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</si>
  <si>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</si>
  <si>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</si>
  <si>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</si>
  <si>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</si>
  <si>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</si>
  <si>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</si>
  <si>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</si>
  <si>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</si>
  <si>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</si>
  <si>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</si>
  <si>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</si>
  <si>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</si>
  <si>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</si>
  <si>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</si>
  <si>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</si>
  <si>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</si>
  <si>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</si>
  <si>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</si>
  <si>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</si>
  <si>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</si>
  <si>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</si>
  <si>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</si>
  <si>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</si>
  <si>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</si>
  <si>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</si>
  <si>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</si>
  <si>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</si>
  <si>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</si>
  <si>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</si>
  <si>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</si>
  <si>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</si>
  <si>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</si>
  <si>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</si>
  <si>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</si>
  <si>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</si>
  <si>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</si>
  <si>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</si>
  <si>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</si>
  <si>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</si>
  <si>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</si>
  <si>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</si>
  <si>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</si>
  <si>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</si>
  <si>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</si>
  <si>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</si>
  <si>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</si>
  <si>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</si>
  <si>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</si>
  <si>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</si>
  <si>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</si>
  <si>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</si>
  <si>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</si>
  <si>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</si>
  <si>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</si>
  <si>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</si>
  <si>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</si>
  <si>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</si>
  <si>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</si>
  <si>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</si>
  <si>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</si>
  <si>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</si>
  <si>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</si>
  <si>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</si>
  <si>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</si>
  <si>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</si>
  <si>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</si>
  <si>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</si>
  <si>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</si>
  <si>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</si>
  <si>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</si>
  <si>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</si>
  <si>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</si>
  <si>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</si>
  <si>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</si>
  <si>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</si>
  <si>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</si>
  <si>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</si>
  <si>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</si>
  <si>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</si>
  <si>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</si>
  <si>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</si>
  <si>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</si>
  <si>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</si>
  <si>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</si>
  <si>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</si>
  <si>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</si>
  <si>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</si>
  <si>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</si>
  <si>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</si>
  <si>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</si>
  <si>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</si>
  <si>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</si>
  <si>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</si>
  <si>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</si>
  <si>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</si>
  <si>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</si>
  <si>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</si>
  <si>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</si>
  <si>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</si>
  <si>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</si>
  <si>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</si>
  <si>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</si>
  <si>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</si>
  <si>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</si>
  <si>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</si>
  <si>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</si>
  <si>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</si>
  <si>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</si>
  <si>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</si>
  <si>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</si>
  <si>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</si>
  <si>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</si>
  <si>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</si>
  <si>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</si>
  <si>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</si>
  <si>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</si>
  <si>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</si>
  <si>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</si>
  <si>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</si>
  <si>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</si>
  <si>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</si>
  <si>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</si>
  <si>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</si>
  <si>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</si>
  <si>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</si>
  <si>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</si>
  <si>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</si>
  <si>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</si>
  <si>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</si>
  <si>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</si>
  <si>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</si>
  <si>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</si>
  <si>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</si>
  <si>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</si>
  <si>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</si>
  <si>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</si>
  <si>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</si>
  <si>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</si>
  <si>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</si>
  <si>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</si>
  <si>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</si>
  <si>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</si>
  <si>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</si>
  <si>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</si>
  <si>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</si>
  <si>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</si>
  <si>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</si>
  <si>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</si>
  <si>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</si>
  <si>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</si>
  <si>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</si>
  <si>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</si>
  <si>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</si>
  <si>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</si>
  <si>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</si>
  <si>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</si>
  <si>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</si>
  <si>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</si>
  <si>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</si>
  <si>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</si>
  <si>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</si>
  <si>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</si>
  <si>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</si>
  <si>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</si>
  <si>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</si>
  <si>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</si>
  <si>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</si>
  <si>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</si>
  <si>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</si>
  <si>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</si>
  <si>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</si>
  <si>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</si>
  <si>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</si>
  <si>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</si>
  <si>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</si>
  <si>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</si>
  <si>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</si>
  <si>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</si>
  <si>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</si>
  <si>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</si>
  <si>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</si>
  <si>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</si>
  <si>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</si>
  <si>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</si>
  <si>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</si>
  <si>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</si>
  <si>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</si>
  <si>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</si>
  <si>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</si>
  <si>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</si>
  <si>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</si>
  <si>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</si>
  <si>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</si>
  <si>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</si>
  <si>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</si>
  <si>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</si>
  <si>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</si>
  <si>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</si>
  <si>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</si>
  <si>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</si>
  <si>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</si>
  <si>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</si>
  <si>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</si>
  <si>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</si>
  <si>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</si>
  <si>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</si>
  <si>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</si>
  <si>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</si>
  <si>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</si>
  <si>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</si>
  <si>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</si>
  <si>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</si>
  <si>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</si>
  <si>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</si>
  <si>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</si>
  <si>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</si>
  <si>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</si>
  <si>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</si>
  <si>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</si>
  <si>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</si>
  <si>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</si>
  <si>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</si>
  <si>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</si>
  <si>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</si>
  <si>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</si>
  <si>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</si>
  <si>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</si>
  <si>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</si>
  <si>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</si>
  <si>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</si>
  <si>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</si>
  <si>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</si>
  <si>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</si>
  <si>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</si>
  <si>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</si>
  <si>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</si>
  <si>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</si>
  <si>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</si>
  <si>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</si>
  <si>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</si>
  <si>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</si>
  <si>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</si>
  <si>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</si>
  <si>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</si>
  <si>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</si>
  <si>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</si>
  <si>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</si>
  <si>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</si>
  <si>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</si>
  <si>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</si>
  <si>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</si>
  <si>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</si>
  <si>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</si>
  <si>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</si>
  <si>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</si>
  <si>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</si>
  <si>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</si>
  <si>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</si>
  <si>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</si>
  <si>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</si>
  <si>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</si>
  <si>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</si>
  <si>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</si>
  <si>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</si>
  <si>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</si>
  <si>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</si>
  <si>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</si>
  <si>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</si>
  <si>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</si>
  <si>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</si>
  <si>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</si>
  <si>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</si>
  <si>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</si>
  <si>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</si>
  <si>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</si>
  <si>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</si>
  <si>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</si>
  <si>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</si>
  <si>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</si>
  <si>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</si>
  <si>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</si>
  <si>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</si>
  <si>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</si>
  <si>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</si>
  <si>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</si>
  <si>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</si>
  <si>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</si>
  <si>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</si>
  <si>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</si>
  <si>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</si>
  <si>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</si>
  <si>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</si>
  <si>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</si>
  <si>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</si>
  <si>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</si>
  <si>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</si>
  <si>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</si>
  <si>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</si>
  <si>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</si>
  <si>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</si>
  <si>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</si>
  <si>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</si>
  <si>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</si>
  <si>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</si>
  <si>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</si>
  <si>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</si>
  <si>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</si>
  <si>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</si>
  <si>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</si>
  <si>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</si>
  <si>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</si>
  <si>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</si>
  <si>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</si>
  <si>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</si>
  <si>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</si>
  <si>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</si>
  <si>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</si>
  <si>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</si>
  <si>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</si>
  <si>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</si>
  <si>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</si>
  <si>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</si>
  <si>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</si>
  <si>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</si>
  <si>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</si>
  <si>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</si>
  <si>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</si>
  <si>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</si>
  <si>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</si>
  <si>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</si>
  <si>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</si>
  <si>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</si>
  <si>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</si>
  <si>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</si>
  <si>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</si>
  <si>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</si>
  <si>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</si>
  <si>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</si>
  <si>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</si>
  <si>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</si>
  <si>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</si>
  <si>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</si>
  <si>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</si>
  <si>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</si>
  <si>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</si>
  <si>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</si>
  <si>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</si>
  <si>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</si>
  <si>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</si>
  <si>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</si>
  <si>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</si>
  <si>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</si>
  <si>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</si>
  <si>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</si>
  <si>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</si>
  <si>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</si>
  <si>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</si>
  <si>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</si>
  <si>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</si>
  <si>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</si>
  <si>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</si>
  <si>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</si>
  <si>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</si>
  <si>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</si>
  <si>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</si>
  <si>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</si>
  <si>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</si>
  <si>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</si>
  <si>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</si>
  <si>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</si>
  <si>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</si>
  <si>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</si>
  <si>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</si>
  <si>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</si>
  <si>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</si>
  <si>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</si>
  <si>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</si>
  <si>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</si>
  <si>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</si>
  <si>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</si>
  <si>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</si>
  <si>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</si>
  <si>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</si>
  <si>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</si>
  <si>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</si>
  <si>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</si>
  <si>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</si>
  <si>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</si>
  <si>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</si>
  <si>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</si>
  <si>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</si>
  <si>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</si>
  <si>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</si>
  <si>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</si>
  <si>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</si>
  <si>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</si>
  <si>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</si>
  <si>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</si>
  <si>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</si>
  <si>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</si>
  <si>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</si>
  <si>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</si>
  <si>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</si>
  <si>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</si>
  <si>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</si>
  <si>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</si>
  <si>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</si>
  <si>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</si>
  <si>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</si>
  <si>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</si>
  <si>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</si>
  <si>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</si>
  <si>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</si>
  <si>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</si>
  <si>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</si>
  <si>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</si>
  <si>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</si>
  <si>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</si>
  <si>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</si>
  <si>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</si>
  <si>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</si>
  <si>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</si>
  <si>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</si>
  <si>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</si>
  <si>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</si>
  <si>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</si>
  <si>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</si>
  <si>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</si>
  <si>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</si>
  <si>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</si>
  <si>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</si>
  <si>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</si>
  <si>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</si>
  <si>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</si>
  <si>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</si>
  <si>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</si>
  <si>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</si>
  <si>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</si>
  <si>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</si>
  <si>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</si>
  <si>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</si>
  <si>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</si>
  <si>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</si>
  <si>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</si>
  <si>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</si>
  <si>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</si>
  <si>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</si>
  <si>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</si>
  <si>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</si>
  <si>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</si>
  <si>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</si>
  <si>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</si>
  <si>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</si>
  <si>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</si>
  <si>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</si>
  <si>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</si>
  <si>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</si>
  <si>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</si>
  <si>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</si>
  <si>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</si>
  <si>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</si>
  <si>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</si>
  <si>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</si>
  <si>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</si>
  <si>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</si>
  <si>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</si>
  <si>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</si>
  <si>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</si>
  <si>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</si>
  <si>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</si>
  <si>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</si>
  <si>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</si>
  <si>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</si>
  <si>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</si>
  <si>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</si>
  <si>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</si>
  <si>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</si>
  <si>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</si>
  <si>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</si>
  <si>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</si>
  <si>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</si>
  <si>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</si>
  <si>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</si>
  <si>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</si>
  <si>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</si>
  <si>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</si>
  <si>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</si>
  <si>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</si>
  <si>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</si>
  <si>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</si>
  <si>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</si>
  <si>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</si>
  <si>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</si>
  <si>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</si>
  <si>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</si>
  <si>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</si>
  <si>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</si>
  <si>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</si>
  <si>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</si>
  <si>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</si>
  <si>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</si>
  <si>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</si>
  <si>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</si>
  <si>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</si>
  <si>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</si>
  <si>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</si>
  <si>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</si>
  <si>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</si>
  <si>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</si>
  <si>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</si>
  <si>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</si>
  <si>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</si>
  <si>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</si>
  <si>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</si>
  <si>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</si>
  <si>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</si>
  <si>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</si>
  <si>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</si>
  <si>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</si>
  <si>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</si>
  <si>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</si>
  <si>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</si>
  <si>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</si>
  <si>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</si>
  <si>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</si>
  <si>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</si>
  <si>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</si>
  <si>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</si>
  <si>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</si>
  <si>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</si>
  <si>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</si>
  <si>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</si>
  <si>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</si>
  <si>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</si>
  <si>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</si>
  <si>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</si>
  <si>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</si>
  <si>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</si>
  <si>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</si>
  <si>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</si>
  <si>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</si>
  <si>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</si>
  <si>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</si>
  <si>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</si>
  <si>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</si>
  <si>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</si>
  <si>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</si>
  <si>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</si>
  <si>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</si>
  <si>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</si>
  <si>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</si>
  <si>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</si>
  <si>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</si>
  <si>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</si>
  <si>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</si>
  <si>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</si>
  <si>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</si>
  <si>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</si>
  <si>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</si>
  <si>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</si>
  <si>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</si>
  <si>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</si>
  <si>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</si>
  <si>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</si>
  <si>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</si>
  <si>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</si>
  <si>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</si>
  <si>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</si>
  <si>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</si>
  <si>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</si>
  <si>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</si>
  <si>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</si>
  <si>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</si>
  <si>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</si>
  <si>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</si>
  <si>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</si>
  <si>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</si>
  <si>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</si>
  <si>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</si>
  <si>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</si>
  <si>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</si>
  <si>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</si>
  <si>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</si>
  <si>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</si>
  <si>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</si>
  <si>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</si>
  <si>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</si>
  <si>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</si>
  <si>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</si>
  <si>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</si>
  <si>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</si>
  <si>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</si>
  <si>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</si>
  <si>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</si>
  <si>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</si>
  <si>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</si>
  <si>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</si>
  <si>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</si>
  <si>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</si>
  <si>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</si>
  <si>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</si>
  <si>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</si>
  <si>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</si>
  <si>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</si>
  <si>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</si>
  <si>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</si>
  <si>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</si>
  <si>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 xml:space="preserve">8789 Greenback Lane </t>
  </si>
  <si>
    <t>Orangevale</t>
  </si>
  <si>
    <t>Beech Hill Apartments</t>
  </si>
  <si>
    <t>Pacific Housing, Inc.</t>
  </si>
  <si>
    <t>Sacramento, CA</t>
  </si>
  <si>
    <t>Christine Weichert</t>
  </si>
  <si>
    <t>801 12th St, 4th Floor</t>
  </si>
  <si>
    <t>916-440-1353</t>
  </si>
  <si>
    <t>916498-1655</t>
  </si>
  <si>
    <t>cweichert@shra.org</t>
  </si>
  <si>
    <t>40%/60%</t>
  </si>
  <si>
    <t>CA</t>
  </si>
  <si>
    <t>Stephen A. Strain</t>
  </si>
  <si>
    <t>916-444-0286</t>
  </si>
  <si>
    <t>sstrain@sabelhauslaw.com</t>
  </si>
  <si>
    <t>Consultant/Attorney</t>
  </si>
  <si>
    <t>2115 J Street, Suite 201</t>
  </si>
  <si>
    <t>916-638-5200</t>
  </si>
  <si>
    <t>Architecture Design Collaborative</t>
  </si>
  <si>
    <t>23231 South Pointe Drive</t>
  </si>
  <si>
    <t>Laguna Hills, CA 92653</t>
  </si>
  <si>
    <t>Chris Weimholt</t>
  </si>
  <si>
    <t>949-267-1660</t>
  </si>
  <si>
    <t>Other (Specify below)</t>
  </si>
  <si>
    <t>Deferred Reserves</t>
  </si>
  <si>
    <t>Deferred Developer Fee</t>
  </si>
  <si>
    <t>Office</t>
  </si>
  <si>
    <t>Taxes/Benefits</t>
  </si>
  <si>
    <t>Supplies</t>
  </si>
  <si>
    <t>Other: Borrower Atty</t>
  </si>
  <si>
    <t>Other: Cost Cert</t>
  </si>
  <si>
    <t>Mark Wiese</t>
  </si>
  <si>
    <t xml:space="preserve">President </t>
  </si>
  <si>
    <t>July</t>
  </si>
  <si>
    <t>AC + Infrastructure</t>
  </si>
  <si>
    <t>Sacramento, CA 95816</t>
  </si>
  <si>
    <t>mwiese@pacifichousing.org</t>
  </si>
  <si>
    <t>Sabelhaus and Strain LLP</t>
  </si>
  <si>
    <t>1724 10th Street, Suite 110</t>
  </si>
  <si>
    <t>Sacramento, CA 95811</t>
  </si>
  <si>
    <t>Stephen Strain</t>
  </si>
  <si>
    <t>916-444-3408</t>
  </si>
  <si>
    <t>Bernie E. Rea, CPA</t>
  </si>
  <si>
    <t>P.O. Box 492</t>
  </si>
  <si>
    <t>Aubrey, TX 76227</t>
  </si>
  <si>
    <t>Bernard E. Rea</t>
  </si>
  <si>
    <t>209-933-9113</t>
  </si>
  <si>
    <t>209-933-9115</t>
  </si>
  <si>
    <t>Medium Density Residential</t>
  </si>
  <si>
    <t>Residential 10 (RD-10); 10 dwelling units per acre</t>
  </si>
  <si>
    <t>RD-10 and 29 units</t>
  </si>
  <si>
    <t>56 feet</t>
  </si>
  <si>
    <t>1 bedroom, 1 space per unit; 2 - 3 bedrooms, 1.5 spaces per unit</t>
  </si>
  <si>
    <t>261-0210-019</t>
  </si>
  <si>
    <t>Kinetic Valuation Group, Inc.</t>
  </si>
  <si>
    <t>P.O. Box 68</t>
  </si>
  <si>
    <t>Corona Del Mar, CA 92625</t>
  </si>
  <si>
    <t>Amanda Baker</t>
  </si>
  <si>
    <t>amanda@kvgteam.com</t>
  </si>
  <si>
    <t>Domus Management Company</t>
  </si>
  <si>
    <t>1610 W. Kettleman Lane</t>
  </si>
  <si>
    <t>Lodi, CA 95242</t>
  </si>
  <si>
    <t>Cathy N. Metcalf</t>
  </si>
  <si>
    <t>rentalinfo@domusmc.com</t>
  </si>
  <si>
    <t>Sawad Boochangkool &amp; Lee Boochangkool</t>
  </si>
  <si>
    <t>Sawad Boochangkool</t>
  </si>
  <si>
    <t>Lee Boochangkool</t>
  </si>
  <si>
    <t>Sacramento Regional Transit</t>
  </si>
  <si>
    <t>1400 29th Street</t>
  </si>
  <si>
    <t>Sacramento, CA 95812</t>
  </si>
  <si>
    <t>Customer Service</t>
  </si>
  <si>
    <t>www.sacrt.com</t>
  </si>
  <si>
    <t>Within 1/3 miles</t>
  </si>
  <si>
    <t>Almond Avenue Park</t>
  </si>
  <si>
    <t>5901 Almond Avenue</t>
  </si>
  <si>
    <t>Orangevale, CA 95662</t>
  </si>
  <si>
    <t>www.ovparks.com</t>
  </si>
  <si>
    <t>Within 3/4 miles</t>
  </si>
  <si>
    <t>Sacramento Public Library</t>
  </si>
  <si>
    <t>8820 Greenback Lane</t>
  </si>
  <si>
    <t>www.saclibrary.org</t>
  </si>
  <si>
    <t>Within 1/2 mile</t>
  </si>
  <si>
    <t>Winco Foods</t>
  </si>
  <si>
    <t>8701 Greenback Lane</t>
  </si>
  <si>
    <t>www.wincofoods.com</t>
  </si>
  <si>
    <t>Walmart</t>
  </si>
  <si>
    <t>8961 Greenback Lane</t>
  </si>
  <si>
    <t>www.walmart.com</t>
  </si>
  <si>
    <t xml:space="preserve">Lument </t>
  </si>
  <si>
    <t>RBC Community Investments</t>
  </si>
  <si>
    <t>9788 Wexford Circle</t>
  </si>
  <si>
    <t>Granite Bay, CA 95746</t>
  </si>
  <si>
    <t>Stacie Altmann</t>
  </si>
  <si>
    <t>628-233-4862</t>
  </si>
  <si>
    <t>Equity Investment</t>
  </si>
  <si>
    <t>Lument</t>
  </si>
  <si>
    <t>255 E. Santa Clara Street, Suite 210</t>
  </si>
  <si>
    <t>Arcadia, CA 91006</t>
  </si>
  <si>
    <t>Aaron Wooler</t>
  </si>
  <si>
    <t>626-263-9654</t>
  </si>
  <si>
    <t xml:space="preserve">Construction Loan </t>
  </si>
  <si>
    <t xml:space="preserve">Aaron Wooler </t>
  </si>
  <si>
    <t>Permanent Loan</t>
  </si>
  <si>
    <t xml:space="preserve">A density bonus has been approved for the project in accordance with the State Density Bonus Law. </t>
  </si>
  <si>
    <t>Sacramento Housing and Redevelopment Agency</t>
  </si>
  <si>
    <t>stacie.altmann@rbccm.com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</si>
</sst>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3.2" zeroHeight="1"/>
  <cols>
    <col min="1" max="38" width="2.44140625" customWidth="1"/>
    <col min="39" max="16384" width="8.88671875" hidden="1"/>
  </cols>
  <sheetData>
    <row r="1" spans="1:38">
      <c r="A1" s="965" t="s">
        <v>1956</v>
      </c>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6"/>
    </row>
    <row r="2" spans="1:38" ht="13.8" thickBot="1">
      <c r="A2" s="967"/>
      <c r="B2" s="967"/>
      <c r="C2" s="967"/>
      <c r="D2" s="967"/>
      <c r="E2" s="967"/>
      <c r="F2" s="967"/>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8"/>
    </row>
    <row r="3" spans="1:38" ht="13.8" thickTop="1"/>
    <row r="4" spans="1:38">
      <c r="A4" s="9"/>
      <c r="B4" s="168" t="s">
        <v>763</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9" t="s">
        <v>2271</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65" customHeight="1">
      <c r="A19" s="5"/>
      <c r="C19" s="3"/>
      <c r="D19" s="969" t="s">
        <v>2345</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8" t="s">
        <v>2338</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78" t="s">
        <v>2337</v>
      </c>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2110</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8"/>
      <c r="E31" s="979" t="s">
        <v>1337</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8"/>
      <c r="E32" s="979" t="s">
        <v>1189</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69" t="s">
        <v>1757</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76</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616</v>
      </c>
      <c r="I41" s="5"/>
      <c r="J41" s="5"/>
      <c r="K41" s="5"/>
      <c r="L41" s="5"/>
      <c r="O41" s="5"/>
      <c r="P41" s="5"/>
      <c r="Q41" s="5"/>
      <c r="R41" s="5"/>
      <c r="S41" s="5"/>
      <c r="T41" s="5"/>
      <c r="U41" s="5"/>
      <c r="V41" s="5"/>
      <c r="W41" s="5"/>
      <c r="X41" s="5"/>
      <c r="Y41" s="5"/>
      <c r="Z41" s="5"/>
      <c r="AA41" s="5"/>
      <c r="AB41" s="5"/>
    </row>
    <row r="42" spans="1:38" ht="13.65" customHeight="1">
      <c r="A42" s="5"/>
      <c r="C42" s="3"/>
      <c r="D42" s="5"/>
      <c r="E42" s="5" t="s">
        <v>564</v>
      </c>
      <c r="F42" s="969" t="s">
        <v>2273</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1" t="s">
        <v>2274</v>
      </c>
      <c r="H48" s="971"/>
      <c r="I48" s="971"/>
      <c r="J48" s="971"/>
      <c r="K48" s="971"/>
      <c r="L48" s="971"/>
      <c r="M48" s="971"/>
      <c r="N48" s="971"/>
      <c r="O48" s="971"/>
      <c r="P48" s="971"/>
      <c r="Q48" s="971"/>
      <c r="R48" s="971"/>
      <c r="S48" s="971"/>
      <c r="T48" s="971"/>
      <c r="U48" s="971"/>
      <c r="V48" s="971"/>
      <c r="W48" s="971"/>
      <c r="X48" s="971"/>
      <c r="Y48" s="971"/>
      <c r="Z48" s="971"/>
      <c r="AA48" s="971"/>
      <c r="AB48" s="971"/>
      <c r="AC48" s="971"/>
      <c r="AD48" s="971"/>
      <c r="AE48" s="971"/>
      <c r="AF48" s="971"/>
      <c r="AG48" s="971"/>
      <c r="AH48" s="971"/>
      <c r="AI48" s="971"/>
      <c r="AJ48" s="971"/>
      <c r="AK48" s="971"/>
    </row>
    <row r="49" spans="1:38">
      <c r="A49" s="5"/>
      <c r="C49" s="3"/>
      <c r="D49" s="3"/>
      <c r="E49" s="5"/>
      <c r="F49" s="12"/>
      <c r="G49" s="971"/>
      <c r="H49" s="971"/>
      <c r="I49" s="971"/>
      <c r="J49" s="971"/>
      <c r="K49" s="971"/>
      <c r="L49" s="971"/>
      <c r="M49" s="971"/>
      <c r="N49" s="971"/>
      <c r="O49" s="971"/>
      <c r="P49" s="971"/>
      <c r="Q49" s="971"/>
      <c r="R49" s="971"/>
      <c r="S49" s="971"/>
      <c r="T49" s="971"/>
      <c r="U49" s="971"/>
      <c r="V49" s="971"/>
      <c r="W49" s="971"/>
      <c r="X49" s="971"/>
      <c r="Y49" s="971"/>
      <c r="Z49" s="971"/>
      <c r="AA49" s="971"/>
      <c r="AB49" s="971"/>
      <c r="AC49" s="971"/>
      <c r="AD49" s="971"/>
      <c r="AE49" s="971"/>
      <c r="AF49" s="971"/>
      <c r="AG49" s="971"/>
      <c r="AH49" s="971"/>
      <c r="AI49" s="971"/>
      <c r="AJ49" s="971"/>
      <c r="AK49" s="971"/>
    </row>
    <row r="50" spans="1:38">
      <c r="A50" s="5"/>
      <c r="C50" s="3"/>
      <c r="D50" s="3"/>
      <c r="E50" s="5"/>
      <c r="F50" s="12"/>
      <c r="G50" s="971"/>
      <c r="H50" s="971"/>
      <c r="I50" s="971"/>
      <c r="J50" s="971"/>
      <c r="K50" s="971"/>
      <c r="L50" s="971"/>
      <c r="M50" s="971"/>
      <c r="N50" s="971"/>
      <c r="O50" s="971"/>
      <c r="P50" s="971"/>
      <c r="Q50" s="971"/>
      <c r="R50" s="971"/>
      <c r="S50" s="971"/>
      <c r="T50" s="971"/>
      <c r="U50" s="971"/>
      <c r="V50" s="971"/>
      <c r="W50" s="971"/>
      <c r="X50" s="971"/>
      <c r="Y50" s="971"/>
      <c r="Z50" s="971"/>
      <c r="AA50" s="971"/>
      <c r="AB50" s="971"/>
      <c r="AC50" s="971"/>
      <c r="AD50" s="971"/>
      <c r="AE50" s="971"/>
      <c r="AF50" s="971"/>
      <c r="AG50" s="971"/>
      <c r="AH50" s="971"/>
      <c r="AI50" s="971"/>
      <c r="AJ50" s="971"/>
      <c r="AK50" s="971"/>
    </row>
    <row r="51" spans="1:38">
      <c r="A51" s="5"/>
      <c r="B51" s="3"/>
      <c r="C51" s="3"/>
      <c r="D51" s="3"/>
      <c r="E51" s="5"/>
      <c r="F51" s="12" t="s">
        <v>207</v>
      </c>
      <c r="G51" s="971" t="s">
        <v>2275</v>
      </c>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row>
    <row r="52" spans="1:38" s="5" customFormat="1">
      <c r="B52"/>
      <c r="C52" s="3"/>
      <c r="D52" s="3"/>
      <c r="F52" s="12"/>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row>
    <row r="53" spans="1:38">
      <c r="A53" s="5"/>
      <c r="C53" s="3"/>
      <c r="D53" s="3"/>
      <c r="E53" s="5"/>
      <c r="F53" s="12"/>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69" t="s">
        <v>1760</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207</v>
      </c>
      <c r="G61" s="969" t="s">
        <v>1759</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76</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69" t="s">
        <v>1761</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207</v>
      </c>
      <c r="G67" s="969" t="s">
        <v>1762</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1091</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1775</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1776</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69" t="s">
        <v>1763</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1764</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265</v>
      </c>
      <c r="F88" s="5" t="s">
        <v>1037</v>
      </c>
      <c r="G88" s="5"/>
      <c r="L88" s="5"/>
      <c r="M88" s="5"/>
      <c r="P88" s="5"/>
      <c r="Q88" s="5"/>
      <c r="R88" s="5"/>
      <c r="S88" s="5"/>
      <c r="T88" s="5"/>
      <c r="U88" s="5"/>
      <c r="V88" s="5"/>
      <c r="W88" s="5"/>
      <c r="X88" s="5"/>
      <c r="Y88" s="5"/>
      <c r="Z88" s="5"/>
      <c r="AA88" s="5"/>
      <c r="AB88" s="5"/>
    </row>
    <row r="89" spans="1:38">
      <c r="A89" s="5"/>
      <c r="C89" s="3"/>
      <c r="D89" s="5"/>
      <c r="E89" s="5"/>
      <c r="F89" s="12"/>
      <c r="G89" s="969" t="s">
        <v>1768</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0" t="s">
        <v>1769</v>
      </c>
      <c r="H94" s="970"/>
      <c r="I94" s="970"/>
      <c r="J94" s="970"/>
      <c r="K94" s="970"/>
      <c r="L94" s="970"/>
      <c r="M94" s="970"/>
      <c r="N94" s="970"/>
      <c r="O94" s="970"/>
      <c r="P94" s="970"/>
      <c r="Q94" s="970"/>
      <c r="R94" s="970"/>
      <c r="S94" s="970"/>
      <c r="T94" s="970"/>
      <c r="U94" s="970"/>
      <c r="V94" s="970"/>
      <c r="W94" s="970"/>
      <c r="X94" s="970"/>
      <c r="Y94" s="970"/>
      <c r="Z94" s="970"/>
      <c r="AA94" s="970"/>
      <c r="AB94" s="970"/>
      <c r="AC94" s="970"/>
      <c r="AD94" s="970"/>
      <c r="AE94" s="970"/>
      <c r="AF94" s="970"/>
      <c r="AG94" s="970"/>
      <c r="AH94" s="970"/>
      <c r="AI94" s="970"/>
      <c r="AJ94" s="970"/>
      <c r="AK94" s="970"/>
      <c r="AL94" s="365"/>
    </row>
    <row r="95" spans="1:38">
      <c r="A95" s="365"/>
      <c r="B95" s="365"/>
      <c r="C95" s="377"/>
      <c r="D95" s="365"/>
      <c r="E95" s="365"/>
      <c r="F95" s="365"/>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365"/>
    </row>
    <row r="96" spans="1:38">
      <c r="A96" s="365"/>
      <c r="B96" s="365"/>
      <c r="C96" s="377"/>
      <c r="D96" s="365"/>
      <c r="E96" s="365"/>
      <c r="F96" s="365"/>
      <c r="G96" s="970"/>
      <c r="H96" s="970"/>
      <c r="I96" s="970"/>
      <c r="J96" s="970"/>
      <c r="K96" s="970"/>
      <c r="L96" s="970"/>
      <c r="M96" s="970"/>
      <c r="N96" s="970"/>
      <c r="O96" s="970"/>
      <c r="P96" s="970"/>
      <c r="Q96" s="970"/>
      <c r="R96" s="970"/>
      <c r="S96" s="970"/>
      <c r="T96" s="970"/>
      <c r="U96" s="970"/>
      <c r="V96" s="970"/>
      <c r="W96" s="970"/>
      <c r="X96" s="970"/>
      <c r="Y96" s="970"/>
      <c r="Z96" s="970"/>
      <c r="AA96" s="970"/>
      <c r="AB96" s="970"/>
      <c r="AC96" s="970"/>
      <c r="AD96" s="970"/>
      <c r="AE96" s="970"/>
      <c r="AF96" s="970"/>
      <c r="AG96" s="970"/>
      <c r="AH96" s="970"/>
      <c r="AI96" s="970"/>
      <c r="AJ96" s="970"/>
      <c r="AK96" s="970"/>
      <c r="AL96" s="365"/>
    </row>
    <row r="97" spans="1:38">
      <c r="A97" s="365"/>
      <c r="B97" s="365"/>
      <c r="C97" s="377"/>
      <c r="D97" s="365"/>
      <c r="E97" s="365"/>
      <c r="F97" s="365"/>
      <c r="G97" s="970"/>
      <c r="H97" s="970"/>
      <c r="I97" s="970"/>
      <c r="J97" s="970"/>
      <c r="K97" s="970"/>
      <c r="L97" s="970"/>
      <c r="M97" s="970"/>
      <c r="N97" s="970"/>
      <c r="O97" s="970"/>
      <c r="P97" s="970"/>
      <c r="Q97" s="970"/>
      <c r="R97" s="970"/>
      <c r="S97" s="970"/>
      <c r="T97" s="970"/>
      <c r="U97" s="970"/>
      <c r="V97" s="970"/>
      <c r="W97" s="970"/>
      <c r="X97" s="970"/>
      <c r="Y97" s="970"/>
      <c r="Z97" s="970"/>
      <c r="AA97" s="970"/>
      <c r="AB97" s="970"/>
      <c r="AC97" s="970"/>
      <c r="AD97" s="970"/>
      <c r="AE97" s="970"/>
      <c r="AF97" s="970"/>
      <c r="AG97" s="970"/>
      <c r="AH97" s="970"/>
      <c r="AI97" s="970"/>
      <c r="AJ97" s="970"/>
      <c r="AK97" s="970"/>
      <c r="AL97" s="365"/>
    </row>
    <row r="98" spans="1:38">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1770</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1771</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69" t="s">
        <v>1772</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69" t="s">
        <v>1773</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76" t="s">
        <v>1774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66"/>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c r="F131" s="5" t="s">
        <v>1094</v>
      </c>
      <c r="G131" s="5"/>
    </row>
    <row r="132" spans="2:14">
      <c r="F132" s="666" t="s">
        <v>1958</v>
      </c>
      <c r="G132" s="666"/>
    </row>
    <row r="133" spans="2:14">
      <c r="G133" s="666"/>
    </row>
    <row r="134" spans="2:14">
      <c r="E134" s="5" t="s">
        <v>181</v>
      </c>
      <c r="F134" s="269" t="s">
        <v>539</v>
      </c>
    </row>
    <row r="135" spans="2:14">
      <c r="E135" s="5"/>
      <c r="F135" s="5" t="s">
        <v>1357</v>
      </c>
    </row>
    <row r="136" spans="2:14" ht="12.75" customHeight="1">
      <c r="B136" s="3"/>
      <c r="C136" s="3"/>
      <c r="F136" s="3"/>
    </row>
    <row r="137" spans="2:14">
      <c r="B137" s="3"/>
      <c r="C137" s="3" t="s">
        <v>291</v>
      </c>
      <c r="G137" s="3" t="s">
        <v>540</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492</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69" t="s">
        <v>1777</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531</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2277</v>
      </c>
    </row>
    <row r="155" spans="4:37">
      <c r="E155" t="s">
        <v>942</v>
      </c>
      <c r="F155" t="s">
        <v>533</v>
      </c>
    </row>
    <row r="156" spans="4:37">
      <c r="E156" t="s">
        <v>943</v>
      </c>
      <c r="F156" t="s">
        <v>389</v>
      </c>
    </row>
    <row r="157" spans="4:37">
      <c r="F157" t="s">
        <v>860</v>
      </c>
      <c r="G157" s="41" t="s">
        <v>2278</v>
      </c>
    </row>
    <row r="158" spans="4:37">
      <c r="F158" t="s">
        <v>76</v>
      </c>
      <c r="G158" s="969" t="s">
        <v>1778</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764</v>
      </c>
      <c r="E161" s="3" t="s">
        <v>2279</v>
      </c>
    </row>
    <row r="162" spans="3:9">
      <c r="E162" s="761" t="s">
        <v>2280</v>
      </c>
      <c r="F162" s="365"/>
    </row>
    <row r="163" spans="3:9">
      <c r="D163" s="3"/>
      <c r="E163" s="3"/>
    </row>
    <row r="164" spans="3:9">
      <c r="C164" s="3" t="s">
        <v>349</v>
      </c>
      <c r="G164" s="3" t="s">
        <v>541</v>
      </c>
    </row>
    <row r="165" spans="3:9">
      <c r="C165" s="3"/>
      <c r="D165" s="3" t="s">
        <v>858</v>
      </c>
      <c r="E165" s="3" t="s">
        <v>658</v>
      </c>
      <c r="F165" s="3"/>
      <c r="G165" s="3"/>
      <c r="H165" s="3"/>
    </row>
    <row r="166" spans="3:9">
      <c r="E166" t="s">
        <v>1043</v>
      </c>
    </row>
    <row r="167" spans="3:9"/>
    <row r="168" spans="3:9">
      <c r="D168" s="3" t="s">
        <v>492</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542</v>
      </c>
    </row>
    <row r="178" spans="3:20">
      <c r="E178" s="5" t="s">
        <v>1236</v>
      </c>
    </row>
    <row r="179" spans="3:20"/>
    <row r="180" spans="3:20">
      <c r="D180" s="3" t="s">
        <v>531</v>
      </c>
      <c r="E180" s="3" t="s">
        <v>480</v>
      </c>
    </row>
    <row r="181" spans="3:20">
      <c r="E181" s="5" t="s">
        <v>1237</v>
      </c>
    </row>
    <row r="182" spans="3:20">
      <c r="E182" s="5" t="s">
        <v>1238</v>
      </c>
    </row>
    <row r="183" spans="3:20">
      <c r="F183" s="158" t="s">
        <v>840</v>
      </c>
    </row>
    <row r="184" spans="3:20">
      <c r="F184" s="158"/>
      <c r="I184" s="158"/>
    </row>
    <row r="185" spans="3:20">
      <c r="D185" s="3" t="s">
        <v>289</v>
      </c>
      <c r="E185" s="3" t="s">
        <v>195</v>
      </c>
    </row>
    <row r="186" spans="3:20">
      <c r="E186" t="s">
        <v>942</v>
      </c>
      <c r="F186" t="s">
        <v>303</v>
      </c>
    </row>
    <row r="187" spans="3:20">
      <c r="E187" t="s">
        <v>943</v>
      </c>
      <c r="F187" t="s">
        <v>409</v>
      </c>
    </row>
    <row r="188" spans="3:20">
      <c r="F188" s="5"/>
    </row>
    <row r="189" spans="3:20">
      <c r="C189" s="3" t="s">
        <v>350</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858</v>
      </c>
      <c r="E193" s="3" t="s">
        <v>410</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331</v>
      </c>
      <c r="H198" s="5"/>
    </row>
    <row r="199" spans="2:14">
      <c r="B199" s="5"/>
      <c r="C199" s="5"/>
      <c r="H199" s="5"/>
    </row>
    <row r="200" spans="2:14">
      <c r="D200" s="3" t="s">
        <v>492</v>
      </c>
      <c r="E200" s="3" t="s">
        <v>1886</v>
      </c>
    </row>
    <row r="201" spans="2:14">
      <c r="B201" s="5"/>
      <c r="C201" s="5"/>
      <c r="E201" s="5" t="s">
        <v>335</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784</v>
      </c>
      <c r="E207" s="3" t="s">
        <v>941</v>
      </c>
    </row>
    <row r="208" spans="2:14">
      <c r="B208" s="5"/>
      <c r="C208" s="3"/>
      <c r="E208" t="s">
        <v>942</v>
      </c>
      <c r="F208" s="5" t="s">
        <v>561</v>
      </c>
      <c r="G208" s="5"/>
      <c r="H208" s="5"/>
      <c r="I208" s="5"/>
    </row>
    <row r="209" spans="2:37">
      <c r="B209" s="5"/>
      <c r="C209" s="3"/>
      <c r="F209" s="5" t="s">
        <v>860</v>
      </c>
      <c r="G209" s="41" t="s">
        <v>1809</v>
      </c>
    </row>
    <row r="210" spans="2:37">
      <c r="B210" s="5"/>
      <c r="C210" s="5"/>
      <c r="F210" s="5" t="s">
        <v>76</v>
      </c>
      <c r="G210" s="41" t="s">
        <v>1810</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458</v>
      </c>
      <c r="F221" s="5" t="s">
        <v>1243</v>
      </c>
      <c r="M221" s="5"/>
      <c r="N221" s="5"/>
      <c r="O221" s="5"/>
      <c r="P221" s="5"/>
      <c r="Q221" s="5"/>
      <c r="R221" s="5"/>
      <c r="S221" s="5"/>
    </row>
    <row r="222" spans="2:37">
      <c r="B222" s="5"/>
      <c r="C222" s="5"/>
      <c r="D222" s="3"/>
      <c r="F222" t="s">
        <v>860</v>
      </c>
      <c r="G222" s="969" t="s">
        <v>1779</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764</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9" t="s">
        <v>1780</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943</v>
      </c>
      <c r="F235" s="5" t="s">
        <v>258</v>
      </c>
      <c r="G235" s="5"/>
      <c r="H235" s="5"/>
      <c r="I235" s="5"/>
      <c r="M235" s="5"/>
      <c r="N235" s="5"/>
      <c r="O235" s="5"/>
      <c r="P235" s="5"/>
      <c r="Q235" s="5"/>
      <c r="R235" s="5"/>
      <c r="S235" s="5"/>
    </row>
    <row r="236" spans="1:38">
      <c r="B236" s="5"/>
      <c r="C236" s="5"/>
      <c r="F236" s="5" t="s">
        <v>860</v>
      </c>
      <c r="G236" s="969" t="s">
        <v>1781</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943</v>
      </c>
      <c r="F248" s="5" t="s">
        <v>241</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76</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160</v>
      </c>
      <c r="G260" s="5"/>
      <c r="H260" s="5"/>
      <c r="I260" s="5"/>
      <c r="J260" s="5"/>
      <c r="K260" s="5"/>
      <c r="L260" s="5"/>
      <c r="M260" s="5"/>
      <c r="N260" s="5"/>
      <c r="O260" s="5"/>
      <c r="P260" s="5"/>
      <c r="Q260" s="5"/>
      <c r="R260" s="5"/>
      <c r="S260" s="5"/>
    </row>
    <row r="261" spans="2:21">
      <c r="B261" s="3"/>
      <c r="C261" s="3"/>
      <c r="E261" s="5" t="s">
        <v>942</v>
      </c>
      <c r="F261" s="5" t="s">
        <v>369</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370</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458</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161</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141</v>
      </c>
      <c r="K288" s="5"/>
      <c r="L288" s="5"/>
      <c r="M288" s="5"/>
      <c r="N288" s="5"/>
      <c r="O288" s="5"/>
      <c r="P288" s="5"/>
      <c r="Q288" s="5"/>
      <c r="R288" s="5"/>
      <c r="S288" s="5"/>
    </row>
    <row r="289" spans="2:24">
      <c r="B289" s="3"/>
      <c r="D289" s="5"/>
      <c r="E289" s="5" t="s">
        <v>942</v>
      </c>
      <c r="F289" s="5" t="s">
        <v>142</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76</v>
      </c>
      <c r="G294" s="5" t="s">
        <v>1247</v>
      </c>
      <c r="H294" s="5"/>
      <c r="K294" s="5"/>
      <c r="L294" s="5"/>
      <c r="M294" s="5"/>
      <c r="N294" s="5"/>
      <c r="O294" s="5"/>
      <c r="P294" s="5"/>
      <c r="Q294" s="5"/>
      <c r="R294" s="5"/>
      <c r="S294" s="5"/>
      <c r="T294" s="5"/>
      <c r="U294" s="5"/>
      <c r="V294" s="5"/>
      <c r="W294" s="5"/>
    </row>
    <row r="295" spans="2:24">
      <c r="B295" s="3"/>
      <c r="D295" s="5"/>
      <c r="E295" s="5"/>
      <c r="F295" s="5" t="s">
        <v>564</v>
      </c>
      <c r="G295" s="5" t="s">
        <v>768</v>
      </c>
      <c r="K295" s="5"/>
      <c r="L295" s="5"/>
      <c r="M295" s="5"/>
      <c r="N295" s="5"/>
      <c r="O295" s="5"/>
      <c r="P295" s="5"/>
      <c r="Q295" s="5"/>
      <c r="R295" s="5"/>
      <c r="S295" s="5"/>
      <c r="T295" s="5"/>
      <c r="U295" s="5"/>
      <c r="V295" s="5"/>
      <c r="W295" s="5"/>
    </row>
    <row r="296" spans="2:24">
      <c r="B296" s="3"/>
      <c r="D296" s="5"/>
      <c r="E296" s="5"/>
      <c r="F296" s="5" t="s">
        <v>486</v>
      </c>
      <c r="G296" s="5" t="s">
        <v>577</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858</v>
      </c>
      <c r="E325" s="3" t="s">
        <v>164</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1893</v>
      </c>
      <c r="I342" s="3"/>
      <c r="J342" s="5"/>
      <c r="K342" s="5"/>
      <c r="L342" s="5"/>
      <c r="M342" s="5"/>
      <c r="N342" s="5"/>
      <c r="O342" s="5"/>
      <c r="P342" s="5"/>
      <c r="Q342" s="5"/>
      <c r="R342" s="5"/>
      <c r="S342" s="5"/>
    </row>
    <row r="343" spans="2:37" ht="13.65" customHeight="1">
      <c r="B343" s="3"/>
      <c r="E343" s="971" t="s">
        <v>1894</v>
      </c>
      <c r="F343" s="971"/>
      <c r="G343" s="971"/>
      <c r="H343" s="971"/>
      <c r="I343" s="971"/>
      <c r="J343" s="971"/>
      <c r="K343" s="971"/>
      <c r="L343" s="971"/>
      <c r="M343" s="971"/>
      <c r="N343" s="971"/>
      <c r="O343" s="971"/>
      <c r="P343" s="971"/>
      <c r="Q343" s="971"/>
      <c r="R343" s="971"/>
      <c r="S343" s="971"/>
      <c r="T343" s="971"/>
      <c r="U343" s="971"/>
      <c r="V343" s="971"/>
      <c r="W343" s="971"/>
      <c r="X343" s="971"/>
      <c r="Y343" s="971"/>
      <c r="Z343" s="971"/>
      <c r="AA343" s="971"/>
      <c r="AB343" s="971"/>
      <c r="AC343" s="971"/>
      <c r="AD343" s="971"/>
      <c r="AE343" s="971"/>
      <c r="AF343" s="971"/>
      <c r="AG343" s="971"/>
      <c r="AH343" s="971"/>
      <c r="AI343" s="971"/>
      <c r="AJ343" s="971"/>
      <c r="AK343" s="971"/>
    </row>
    <row r="344" spans="2:37">
      <c r="B344" s="3"/>
      <c r="E344" s="971"/>
      <c r="F344" s="971"/>
      <c r="G344" s="971"/>
      <c r="H344" s="971"/>
      <c r="I344" s="971"/>
      <c r="J344" s="971"/>
      <c r="K344" s="971"/>
      <c r="L344" s="971"/>
      <c r="M344" s="971"/>
      <c r="N344" s="971"/>
      <c r="O344" s="971"/>
      <c r="P344" s="971"/>
      <c r="Q344" s="971"/>
      <c r="R344" s="971"/>
      <c r="S344" s="971"/>
      <c r="T344" s="971"/>
      <c r="U344" s="971"/>
      <c r="V344" s="971"/>
      <c r="W344" s="971"/>
      <c r="X344" s="971"/>
      <c r="Y344" s="971"/>
      <c r="Z344" s="971"/>
      <c r="AA344" s="971"/>
      <c r="AB344" s="971"/>
      <c r="AC344" s="971"/>
      <c r="AD344" s="971"/>
      <c r="AE344" s="971"/>
      <c r="AF344" s="971"/>
      <c r="AG344" s="971"/>
      <c r="AH344" s="971"/>
      <c r="AI344" s="971"/>
      <c r="AJ344" s="971"/>
      <c r="AK344" s="971"/>
    </row>
    <row r="345" spans="2:37">
      <c r="B345" s="3"/>
      <c r="E345" s="971"/>
      <c r="F345" s="971"/>
      <c r="G345" s="971"/>
      <c r="H345" s="971"/>
      <c r="I345" s="971"/>
      <c r="J345" s="971"/>
      <c r="K345" s="971"/>
      <c r="L345" s="971"/>
      <c r="M345" s="971"/>
      <c r="N345" s="971"/>
      <c r="O345" s="971"/>
      <c r="P345" s="971"/>
      <c r="Q345" s="971"/>
      <c r="R345" s="971"/>
      <c r="S345" s="971"/>
      <c r="T345" s="971"/>
      <c r="U345" s="971"/>
      <c r="V345" s="971"/>
      <c r="W345" s="971"/>
      <c r="X345" s="971"/>
      <c r="Y345" s="971"/>
      <c r="Z345" s="971"/>
      <c r="AA345" s="971"/>
      <c r="AB345" s="971"/>
      <c r="AC345" s="971"/>
      <c r="AD345" s="971"/>
      <c r="AE345" s="971"/>
      <c r="AF345" s="971"/>
      <c r="AG345" s="971"/>
      <c r="AH345" s="971"/>
      <c r="AI345" s="971"/>
      <c r="AJ345" s="971"/>
      <c r="AK345" s="971"/>
    </row>
    <row r="346" spans="2:37">
      <c r="B346" s="3"/>
      <c r="E346" s="971"/>
      <c r="F346" s="971"/>
      <c r="G346" s="971"/>
      <c r="H346" s="971"/>
      <c r="I346" s="971"/>
      <c r="J346" s="971"/>
      <c r="K346" s="971"/>
      <c r="L346" s="971"/>
      <c r="M346" s="971"/>
      <c r="N346" s="971"/>
      <c r="O346" s="971"/>
      <c r="P346" s="971"/>
      <c r="Q346" s="971"/>
      <c r="R346" s="971"/>
      <c r="S346" s="971"/>
      <c r="T346" s="971"/>
      <c r="U346" s="971"/>
      <c r="V346" s="971"/>
      <c r="W346" s="971"/>
      <c r="X346" s="971"/>
      <c r="Y346" s="971"/>
      <c r="Z346" s="971"/>
      <c r="AA346" s="971"/>
      <c r="AB346" s="971"/>
      <c r="AC346" s="971"/>
      <c r="AD346" s="971"/>
      <c r="AE346" s="971"/>
      <c r="AF346" s="971"/>
      <c r="AG346" s="971"/>
      <c r="AH346" s="971"/>
      <c r="AI346" s="971"/>
      <c r="AJ346" s="971"/>
      <c r="AK346" s="971"/>
    </row>
    <row r="347" spans="2:37">
      <c r="B347" s="3"/>
      <c r="E347" s="971"/>
      <c r="F347" s="971"/>
      <c r="G347" s="971"/>
      <c r="H347" s="971"/>
      <c r="I347" s="971"/>
      <c r="J347" s="971"/>
      <c r="K347" s="971"/>
      <c r="L347" s="971"/>
      <c r="M347" s="971"/>
      <c r="N347" s="971"/>
      <c r="O347" s="971"/>
      <c r="P347" s="971"/>
      <c r="Q347" s="971"/>
      <c r="R347" s="971"/>
      <c r="S347" s="971"/>
      <c r="T347" s="971"/>
      <c r="U347" s="971"/>
      <c r="V347" s="971"/>
      <c r="W347" s="971"/>
      <c r="X347" s="971"/>
      <c r="Y347" s="971"/>
      <c r="Z347" s="971"/>
      <c r="AA347" s="971"/>
      <c r="AB347" s="971"/>
      <c r="AC347" s="971"/>
      <c r="AD347" s="971"/>
      <c r="AE347" s="971"/>
      <c r="AF347" s="971"/>
      <c r="AG347" s="971"/>
      <c r="AH347" s="971"/>
      <c r="AI347" s="971"/>
      <c r="AJ347" s="971"/>
      <c r="AK347" s="971"/>
    </row>
    <row r="348" spans="2:37">
      <c r="B348" s="3"/>
      <c r="E348" s="5" t="s">
        <v>942</v>
      </c>
      <c r="F348" s="969" t="s">
        <v>1895</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9"/>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943</v>
      </c>
      <c r="F352" s="969" t="s">
        <v>1896</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219</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4" customFormat="1">
      <c r="A365"/>
      <c r="B365" s="3"/>
      <c r="C365"/>
      <c r="D365"/>
      <c r="E365" s="974" t="s">
        <v>1891</v>
      </c>
    </row>
    <row r="366" spans="1:38" s="974" customFormat="1">
      <c r="A366"/>
      <c r="B366" s="3"/>
      <c r="C366"/>
      <c r="D366"/>
    </row>
    <row r="367" spans="1:38">
      <c r="B367" s="3"/>
      <c r="F367" s="972" t="s">
        <v>1892</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266</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538</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892</v>
      </c>
      <c r="I395" s="5"/>
      <c r="J395" s="5"/>
      <c r="K395" s="5"/>
      <c r="L395" s="5"/>
      <c r="M395" s="5"/>
      <c r="N395" s="5"/>
      <c r="O395" s="5"/>
      <c r="P395" s="5"/>
      <c r="Q395" s="5"/>
      <c r="R395" s="5"/>
      <c r="S395" s="5"/>
    </row>
    <row r="396" spans="1:38">
      <c r="B396" s="3"/>
      <c r="D396" s="5"/>
      <c r="E396" s="5" t="s">
        <v>942</v>
      </c>
      <c r="F396" s="5" t="s">
        <v>264</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2281</v>
      </c>
      <c r="I398" s="5"/>
      <c r="J398" s="5"/>
      <c r="K398" s="5"/>
      <c r="L398" s="5"/>
      <c r="M398" s="5"/>
      <c r="N398" s="5"/>
      <c r="O398" s="5"/>
      <c r="P398" s="5"/>
      <c r="Q398" s="5"/>
      <c r="R398" s="5"/>
      <c r="S398" s="5"/>
    </row>
    <row r="399" spans="1:38"/>
    <row r="400" spans="1:38">
      <c r="B400" s="3"/>
      <c r="C400" s="3" t="s">
        <v>291</v>
      </c>
      <c r="G400" s="3" t="s">
        <v>924</v>
      </c>
      <c r="I400" s="5"/>
      <c r="S400" s="5"/>
    </row>
    <row r="401" spans="1:38">
      <c r="B401" s="3"/>
      <c r="F401" s="5" t="s">
        <v>1254</v>
      </c>
      <c r="S401" s="5"/>
    </row>
    <row r="402" spans="1:38">
      <c r="B402" s="3"/>
      <c r="S402" s="5"/>
    </row>
    <row r="403" spans="1:38">
      <c r="B403" s="3"/>
      <c r="C403" s="3" t="s">
        <v>349</v>
      </c>
      <c r="G403" s="3" t="s">
        <v>150</v>
      </c>
      <c r="S403" s="5"/>
    </row>
    <row r="404" spans="1:38">
      <c r="B404" s="3"/>
      <c r="E404" t="s">
        <v>942</v>
      </c>
      <c r="F404" t="s">
        <v>151</v>
      </c>
      <c r="S404" s="5"/>
    </row>
    <row r="405" spans="1:38">
      <c r="B405" s="3"/>
      <c r="E405" t="s">
        <v>943</v>
      </c>
      <c r="F405" s="5" t="s">
        <v>1253</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91" workbookViewId="0">
      <selection activeCell="S67" sqref="S67"/>
    </sheetView>
  </sheetViews>
  <sheetFormatPr defaultColWidth="0" defaultRowHeight="15" customHeight="1"/>
  <cols>
    <col min="1" max="1" width="3.5546875" style="761" customWidth="1"/>
    <col min="2" max="4" width="17.5546875" style="761" customWidth="1"/>
    <col min="5" max="5" width="15.5546875" style="761" customWidth="1"/>
    <col min="6" max="6" width="2.44140625" style="761" customWidth="1"/>
    <col min="7" max="7" width="14.5546875" style="761" customWidth="1"/>
    <col min="8" max="9" width="2.5546875" style="761" customWidth="1"/>
    <col min="10" max="10" width="3.5546875" style="761" customWidth="1"/>
    <col min="11" max="11" width="2.5546875" style="761" customWidth="1"/>
    <col min="12" max="14" width="2.44140625" style="761" customWidth="1"/>
    <col min="15" max="15" width="43.6640625" style="761" customWidth="1"/>
    <col min="16" max="16" width="7.5546875" style="761" customWidth="1"/>
    <col min="17" max="17" width="3.5546875" style="761" customWidth="1"/>
    <col min="18" max="19" width="10.5546875" style="761" customWidth="1"/>
    <col min="20" max="20" width="8.88671875" style="761" customWidth="1"/>
    <col min="21" max="16384" width="8.88671875" style="761" hidden="1"/>
  </cols>
  <sheetData>
    <row r="1" spans="1:19" ht="15" customHeight="1">
      <c r="A1" s="1922" t="s">
        <v>1948</v>
      </c>
      <c r="B1" s="1922"/>
      <c r="C1" s="1922"/>
      <c r="D1" s="1922"/>
      <c r="E1" s="1922"/>
      <c r="F1" s="1922"/>
      <c r="G1" s="1922"/>
      <c r="H1" s="1922"/>
      <c r="I1" s="1922"/>
      <c r="J1" s="1922"/>
      <c r="K1" s="1922"/>
      <c r="L1" s="1922"/>
      <c r="M1" s="1922"/>
      <c r="N1" s="1922"/>
      <c r="O1" s="1922"/>
      <c r="P1" s="1922"/>
      <c r="Q1" s="1922"/>
      <c r="R1" s="1922"/>
      <c r="S1" s="1922"/>
    </row>
    <row r="2" spans="1:19" ht="15" customHeight="1">
      <c r="A2" s="1922"/>
      <c r="B2" s="1922"/>
      <c r="C2" s="1922"/>
      <c r="D2" s="1922"/>
      <c r="E2" s="1922"/>
      <c r="F2" s="1922"/>
      <c r="G2" s="1922"/>
      <c r="H2" s="1922"/>
      <c r="I2" s="1922"/>
      <c r="J2" s="1922"/>
      <c r="K2" s="1922"/>
      <c r="L2" s="1922"/>
      <c r="M2" s="1922"/>
      <c r="N2" s="1922"/>
      <c r="O2" s="1922"/>
      <c r="P2" s="1922"/>
      <c r="Q2" s="1922"/>
      <c r="R2" s="1922"/>
      <c r="S2" s="1922"/>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7" t="s">
        <v>2236</v>
      </c>
      <c r="C4" s="1907"/>
      <c r="D4" s="1907"/>
      <c r="E4" s="1907"/>
      <c r="F4" s="1907"/>
      <c r="G4" s="1907"/>
      <c r="H4" s="1907"/>
      <c r="I4" s="1907"/>
      <c r="J4" s="1907"/>
      <c r="K4" s="1907"/>
      <c r="L4" s="1907"/>
      <c r="M4" s="1907"/>
      <c r="N4" s="1907"/>
      <c r="O4" s="1907"/>
      <c r="P4" s="1907"/>
      <c r="Q4" s="1907"/>
      <c r="R4" s="1907"/>
    </row>
    <row r="5" spans="1:19" ht="15" customHeight="1">
      <c r="A5" s="514"/>
      <c r="B5" s="1907"/>
      <c r="C5" s="1907"/>
      <c r="D5" s="1907"/>
      <c r="E5" s="1907"/>
      <c r="F5" s="1907"/>
      <c r="G5" s="1907"/>
      <c r="H5" s="1907"/>
      <c r="I5" s="1907"/>
      <c r="J5" s="1907"/>
      <c r="K5" s="1907"/>
      <c r="L5" s="1907"/>
      <c r="M5" s="1907"/>
      <c r="N5" s="1907"/>
      <c r="O5" s="1907"/>
      <c r="P5" s="1907"/>
      <c r="Q5" s="1907"/>
      <c r="R5" s="1907"/>
    </row>
    <row r="6" spans="1:19" ht="15" customHeight="1">
      <c r="A6" s="514"/>
      <c r="B6" s="1907"/>
      <c r="C6" s="1907"/>
      <c r="D6" s="1907"/>
      <c r="E6" s="1907"/>
      <c r="F6" s="1907"/>
      <c r="G6" s="1907"/>
      <c r="H6" s="1907"/>
      <c r="I6" s="1907"/>
      <c r="J6" s="1907"/>
      <c r="K6" s="1907"/>
      <c r="L6" s="1907"/>
      <c r="M6" s="1907"/>
      <c r="N6" s="1907"/>
      <c r="O6" s="1907"/>
      <c r="P6" s="1907"/>
      <c r="Q6" s="1907"/>
      <c r="R6" s="1907"/>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7" t="s">
        <v>2359</v>
      </c>
      <c r="C8" s="1907"/>
      <c r="D8" s="1907"/>
      <c r="E8" s="1907"/>
      <c r="F8" s="1907"/>
      <c r="G8" s="1907"/>
      <c r="H8" s="1907"/>
      <c r="I8" s="1907"/>
      <c r="J8" s="1907"/>
      <c r="K8" s="1907"/>
      <c r="L8" s="1907"/>
      <c r="M8" s="1907"/>
      <c r="N8" s="1907"/>
      <c r="O8" s="1907"/>
      <c r="P8" s="1907"/>
      <c r="Q8" s="1907"/>
      <c r="R8" s="1907"/>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7" t="s">
        <v>2324</v>
      </c>
      <c r="C10" s="1907"/>
      <c r="D10" s="1907"/>
      <c r="E10" s="1907"/>
      <c r="F10" s="1907"/>
      <c r="G10" s="1907"/>
      <c r="H10" s="1907"/>
      <c r="I10" s="1907"/>
      <c r="J10" s="1907"/>
      <c r="K10" s="1907"/>
      <c r="L10" s="1907"/>
      <c r="M10" s="1907"/>
      <c r="N10" s="1907"/>
      <c r="O10" s="1907"/>
      <c r="P10" s="1907"/>
      <c r="Q10" s="1907"/>
      <c r="R10" s="1907"/>
    </row>
    <row r="11" spans="1:19" ht="29.25" customHeight="1">
      <c r="A11" s="514"/>
      <c r="B11" s="1907"/>
      <c r="C11" s="1907"/>
      <c r="D11" s="1907"/>
      <c r="E11" s="1907"/>
      <c r="F11" s="1907"/>
      <c r="G11" s="1907"/>
      <c r="H11" s="1907"/>
      <c r="I11" s="1907"/>
      <c r="J11" s="1907"/>
      <c r="K11" s="1907"/>
      <c r="L11" s="1907"/>
      <c r="M11" s="1907"/>
      <c r="N11" s="1907"/>
      <c r="O11" s="1907"/>
      <c r="P11" s="1907"/>
      <c r="Q11" s="1907"/>
      <c r="R11" s="1907"/>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7" t="s">
        <v>2237</v>
      </c>
      <c r="C13" s="1907"/>
      <c r="D13" s="1907"/>
      <c r="E13" s="1907"/>
      <c r="F13" s="1907"/>
      <c r="G13" s="1907"/>
      <c r="H13" s="1907"/>
      <c r="I13" s="1907"/>
      <c r="J13" s="1907"/>
      <c r="K13" s="1907"/>
      <c r="L13" s="1907"/>
      <c r="M13" s="1907"/>
      <c r="N13" s="1907"/>
      <c r="O13" s="1907"/>
      <c r="P13" s="1907"/>
      <c r="Q13" s="1907"/>
      <c r="R13" s="1907"/>
    </row>
    <row r="14" spans="1:19" ht="15" customHeight="1">
      <c r="A14" s="514"/>
      <c r="B14" s="1907"/>
      <c r="C14" s="1907"/>
      <c r="D14" s="1907"/>
      <c r="E14" s="1907"/>
      <c r="F14" s="1907"/>
      <c r="G14" s="1907"/>
      <c r="H14" s="1907"/>
      <c r="I14" s="1907"/>
      <c r="J14" s="1907"/>
      <c r="K14" s="1907"/>
      <c r="L14" s="1907"/>
      <c r="M14" s="1907"/>
      <c r="N14" s="1907"/>
      <c r="O14" s="1907"/>
      <c r="P14" s="1907"/>
      <c r="Q14" s="1907"/>
      <c r="R14" s="1907"/>
    </row>
    <row r="15" spans="1:19" ht="15" customHeight="1">
      <c r="A15" s="514"/>
      <c r="B15" s="1907"/>
      <c r="C15" s="1907"/>
      <c r="D15" s="1907"/>
      <c r="E15" s="1907"/>
      <c r="F15" s="1907"/>
      <c r="G15" s="1907"/>
      <c r="H15" s="1907"/>
      <c r="I15" s="1907"/>
      <c r="J15" s="1907"/>
      <c r="K15" s="1907"/>
      <c r="L15" s="1907"/>
      <c r="M15" s="1907"/>
      <c r="N15" s="1907"/>
      <c r="O15" s="1907"/>
      <c r="P15" s="1907"/>
      <c r="Q15" s="1907"/>
      <c r="R15" s="1907"/>
    </row>
    <row r="16" spans="1:19" ht="15" customHeight="1">
      <c r="A16" s="514"/>
      <c r="B16" s="1907"/>
      <c r="C16" s="1907"/>
      <c r="D16" s="1907"/>
      <c r="E16" s="1907"/>
      <c r="F16" s="1907"/>
      <c r="G16" s="1907"/>
      <c r="H16" s="1907"/>
      <c r="I16" s="1907"/>
      <c r="J16" s="1907"/>
      <c r="K16" s="1907"/>
      <c r="L16" s="1907"/>
      <c r="M16" s="1907"/>
      <c r="N16" s="1907"/>
      <c r="O16" s="1907"/>
      <c r="P16" s="1907"/>
      <c r="Q16" s="1907"/>
      <c r="R16" s="1907"/>
    </row>
    <row r="17" spans="1:18" ht="15" customHeight="1">
      <c r="A17" s="514"/>
      <c r="B17" s="1907"/>
      <c r="C17" s="1907"/>
      <c r="D17" s="1907"/>
      <c r="E17" s="1907"/>
      <c r="F17" s="1907"/>
      <c r="G17" s="1907"/>
      <c r="H17" s="1907"/>
      <c r="I17" s="1907"/>
      <c r="J17" s="1907"/>
      <c r="K17" s="1907"/>
      <c r="L17" s="1907"/>
      <c r="M17" s="1907"/>
      <c r="N17" s="1907"/>
      <c r="O17" s="1907"/>
      <c r="P17" s="1907"/>
      <c r="Q17" s="1907"/>
      <c r="R17" s="1907"/>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7" t="s">
        <v>1875</v>
      </c>
      <c r="C19" s="1907"/>
      <c r="D19" s="1907"/>
      <c r="E19" s="1907"/>
      <c r="F19" s="1907"/>
      <c r="G19" s="1907"/>
      <c r="H19" s="1907"/>
      <c r="I19" s="1907"/>
      <c r="J19" s="1907"/>
      <c r="K19" s="1907"/>
      <c r="L19" s="1907"/>
      <c r="M19" s="1907"/>
      <c r="N19" s="1907"/>
      <c r="O19" s="1907"/>
      <c r="P19" s="1907"/>
      <c r="Q19" s="1907"/>
      <c r="R19" s="1907"/>
    </row>
    <row r="20" spans="1:18" ht="15" customHeight="1">
      <c r="A20" s="514"/>
      <c r="B20" s="1907"/>
      <c r="C20" s="1907"/>
      <c r="D20" s="1907"/>
      <c r="E20" s="1907"/>
      <c r="F20" s="1907"/>
      <c r="G20" s="1907"/>
      <c r="H20" s="1907"/>
      <c r="I20" s="1907"/>
      <c r="J20" s="1907"/>
      <c r="K20" s="1907"/>
      <c r="L20" s="1907"/>
      <c r="M20" s="1907"/>
      <c r="N20" s="1907"/>
      <c r="O20" s="1907"/>
      <c r="P20" s="1907"/>
      <c r="Q20" s="1907"/>
      <c r="R20" s="1907"/>
    </row>
    <row r="21" spans="1:18" ht="15" customHeight="1">
      <c r="A21" s="514"/>
      <c r="B21" s="1907"/>
      <c r="C21" s="1907"/>
      <c r="D21" s="1907"/>
      <c r="E21" s="1907"/>
      <c r="F21" s="1907"/>
      <c r="G21" s="1907"/>
      <c r="H21" s="1907"/>
      <c r="I21" s="1907"/>
      <c r="J21" s="1907"/>
      <c r="K21" s="1907"/>
      <c r="L21" s="1907"/>
      <c r="M21" s="1907"/>
      <c r="N21" s="1907"/>
      <c r="O21" s="1907"/>
      <c r="P21" s="1907"/>
      <c r="Q21" s="1907"/>
      <c r="R21" s="1907"/>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7" t="s">
        <v>1876</v>
      </c>
      <c r="C23" s="1907"/>
      <c r="D23" s="1907"/>
      <c r="E23" s="1907"/>
      <c r="F23" s="1907"/>
      <c r="G23" s="1907"/>
      <c r="H23" s="1907"/>
      <c r="I23" s="1907"/>
      <c r="J23" s="1907"/>
      <c r="K23" s="1907"/>
      <c r="L23" s="1907"/>
      <c r="M23" s="1907"/>
      <c r="N23" s="1907"/>
      <c r="O23" s="1907"/>
      <c r="P23" s="1907"/>
      <c r="Q23" s="1907"/>
      <c r="R23" s="1907"/>
    </row>
    <row r="24" spans="1:18" ht="15" customHeight="1">
      <c r="B24" s="1907"/>
      <c r="C24" s="1907"/>
      <c r="D24" s="1907"/>
      <c r="E24" s="1907"/>
      <c r="F24" s="1907"/>
      <c r="G24" s="1907"/>
      <c r="H24" s="1907"/>
      <c r="I24" s="1907"/>
      <c r="J24" s="1907"/>
      <c r="K24" s="1907"/>
      <c r="L24" s="1907"/>
      <c r="M24" s="1907"/>
      <c r="N24" s="1907"/>
      <c r="O24" s="1907"/>
      <c r="P24" s="1907"/>
      <c r="Q24" s="1907"/>
      <c r="R24" s="1907"/>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7" t="s">
        <v>1765</v>
      </c>
      <c r="C26" s="1907"/>
      <c r="D26" s="1907"/>
      <c r="E26" s="1907"/>
      <c r="F26" s="1907"/>
      <c r="G26" s="1907"/>
      <c r="H26" s="1907"/>
      <c r="I26" s="1907"/>
      <c r="J26" s="1907"/>
      <c r="K26" s="1907"/>
      <c r="L26" s="1907"/>
      <c r="M26" s="1907"/>
      <c r="N26" s="1907"/>
      <c r="O26" s="1907"/>
      <c r="P26" s="1907"/>
      <c r="Q26" s="1907"/>
      <c r="R26" s="1907"/>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33" t="s">
        <v>1677</v>
      </c>
      <c r="C29" s="1933"/>
      <c r="D29" s="1933"/>
      <c r="E29" s="1933"/>
      <c r="F29" s="1933"/>
      <c r="G29" s="1933"/>
      <c r="H29" s="380"/>
      <c r="I29" s="380"/>
      <c r="J29" s="380"/>
      <c r="K29" s="380"/>
      <c r="L29" s="380"/>
      <c r="M29" s="380"/>
      <c r="N29" s="380"/>
      <c r="O29" s="1931" t="s">
        <v>1686</v>
      </c>
    </row>
    <row r="30" spans="1:18" ht="15" customHeight="1">
      <c r="B30" s="1933"/>
      <c r="C30" s="1933"/>
      <c r="D30" s="1933"/>
      <c r="E30" s="1933"/>
      <c r="F30" s="1933"/>
      <c r="G30" s="1933"/>
      <c r="H30" s="380"/>
      <c r="I30" s="380"/>
      <c r="J30" s="380"/>
      <c r="K30" s="380"/>
      <c r="L30" s="380"/>
      <c r="M30" s="380"/>
      <c r="N30" s="380"/>
      <c r="O30" s="1931"/>
    </row>
    <row r="31" spans="1:18" ht="15" customHeight="1">
      <c r="B31" s="1933"/>
      <c r="C31" s="1933"/>
      <c r="D31" s="1933"/>
      <c r="E31" s="1933"/>
      <c r="F31" s="1933"/>
      <c r="G31" s="1933"/>
      <c r="H31" s="380"/>
      <c r="I31" s="380"/>
      <c r="J31" s="380"/>
      <c r="K31" s="380"/>
      <c r="L31" s="380"/>
      <c r="M31" s="380"/>
      <c r="N31" s="380"/>
      <c r="O31" s="1931"/>
    </row>
    <row r="32" spans="1:18" ht="15" customHeight="1">
      <c r="B32" s="1934"/>
      <c r="C32" s="1934"/>
      <c r="D32" s="1934"/>
      <c r="E32" s="1934"/>
      <c r="F32" s="1934"/>
      <c r="G32" s="1934"/>
      <c r="I32" s="1900" t="s">
        <v>148</v>
      </c>
      <c r="J32" s="1901" t="s">
        <v>1034</v>
      </c>
      <c r="K32" s="1935">
        <v>1</v>
      </c>
      <c r="M32" s="516"/>
      <c r="O32" s="1932"/>
      <c r="P32" s="1901" t="s">
        <v>2033</v>
      </c>
    </row>
    <row r="33" spans="1:21" ht="15" customHeight="1">
      <c r="B33" s="1936" t="s">
        <v>1681</v>
      </c>
      <c r="C33" s="1936"/>
      <c r="D33" s="1936"/>
      <c r="E33" s="1936"/>
      <c r="F33" s="1936"/>
      <c r="G33" s="1936"/>
      <c r="I33" s="1900"/>
      <c r="J33" s="1901"/>
      <c r="K33" s="1935"/>
      <c r="M33" s="517"/>
      <c r="O33" s="1936" t="s">
        <v>1681</v>
      </c>
      <c r="P33" s="1901"/>
    </row>
    <row r="34" spans="1:21" ht="15" customHeight="1">
      <c r="B34" s="1900"/>
      <c r="C34" s="1900"/>
      <c r="D34" s="1900"/>
      <c r="E34" s="1900"/>
      <c r="F34" s="1900"/>
      <c r="G34" s="1900"/>
      <c r="I34" s="655"/>
      <c r="J34" s="654"/>
      <c r="K34" s="534"/>
      <c r="M34" s="517"/>
      <c r="O34" s="1900"/>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3" t="s">
        <v>1670</v>
      </c>
      <c r="C37" s="1923"/>
      <c r="D37" s="1923"/>
      <c r="E37" s="1923"/>
      <c r="F37" s="523"/>
      <c r="G37" s="523"/>
      <c r="H37" s="524"/>
      <c r="I37" s="380"/>
      <c r="J37" s="380"/>
      <c r="L37" s="536"/>
      <c r="M37" s="536"/>
      <c r="N37" s="536"/>
      <c r="O37" s="536"/>
      <c r="P37" s="536"/>
      <c r="Q37" s="536"/>
      <c r="R37" s="536"/>
      <c r="S37" s="536"/>
    </row>
    <row r="38" spans="1:21" ht="15" customHeight="1">
      <c r="B38" s="1910" t="s">
        <v>1687</v>
      </c>
      <c r="C38" s="1910"/>
      <c r="D38" s="1910"/>
      <c r="E38" s="1910"/>
      <c r="F38" s="657"/>
      <c r="G38" s="525">
        <f>D110</f>
        <v>0</v>
      </c>
      <c r="H38" s="388"/>
      <c r="I38" s="526"/>
      <c r="J38" s="388"/>
      <c r="K38" s="1919" t="s">
        <v>2355</v>
      </c>
      <c r="L38" s="1919"/>
      <c r="M38" s="1919"/>
      <c r="N38" s="1919"/>
      <c r="O38" s="1919"/>
      <c r="P38" s="1919"/>
      <c r="Q38" s="1919"/>
      <c r="R38" s="1919"/>
      <c r="S38" s="1919"/>
    </row>
    <row r="39" spans="1:21" ht="15" customHeight="1">
      <c r="B39" s="1918" t="s">
        <v>1334</v>
      </c>
      <c r="C39" s="1918"/>
      <c r="D39" s="1918"/>
      <c r="E39" s="1918"/>
      <c r="F39" s="657"/>
      <c r="G39" s="639"/>
      <c r="H39" s="388"/>
      <c r="I39" s="526"/>
      <c r="J39" s="388"/>
      <c r="K39" s="1919"/>
      <c r="L39" s="1919"/>
      <c r="M39" s="1919"/>
      <c r="N39" s="1919"/>
      <c r="O39" s="1919"/>
      <c r="P39" s="1919"/>
      <c r="Q39" s="1919"/>
      <c r="R39" s="1919"/>
      <c r="S39" s="1919"/>
    </row>
    <row r="40" spans="1:21" ht="15" customHeight="1">
      <c r="B40" s="1918" t="s">
        <v>1335</v>
      </c>
      <c r="C40" s="1918"/>
      <c r="D40" s="1918"/>
      <c r="E40" s="1918"/>
      <c r="F40" s="657"/>
      <c r="G40" s="639"/>
      <c r="H40" s="388"/>
      <c r="I40" s="526"/>
      <c r="J40" s="388"/>
      <c r="K40" s="1919"/>
      <c r="L40" s="1919"/>
      <c r="M40" s="1919"/>
      <c r="N40" s="1919"/>
      <c r="O40" s="1919"/>
      <c r="P40" s="1919"/>
      <c r="Q40" s="1919"/>
      <c r="R40" s="1919"/>
      <c r="S40" s="1919"/>
    </row>
    <row r="41" spans="1:21" ht="15" customHeight="1">
      <c r="B41" s="1928" t="s">
        <v>1682</v>
      </c>
      <c r="C41" s="1928"/>
      <c r="D41" s="1928"/>
      <c r="E41" s="1928"/>
      <c r="F41" s="657"/>
      <c r="G41" s="388"/>
      <c r="H41" s="388"/>
      <c r="I41" s="526"/>
      <c r="J41" s="388"/>
      <c r="K41" s="1912" t="s">
        <v>131</v>
      </c>
      <c r="L41" s="1912"/>
      <c r="M41" s="1912"/>
      <c r="N41" s="1912"/>
      <c r="O41" s="1912"/>
      <c r="P41" s="1912"/>
      <c r="Q41" s="1912"/>
      <c r="R41" s="1912"/>
      <c r="S41" s="1912"/>
    </row>
    <row r="42" spans="1:21" ht="15" customHeight="1">
      <c r="B42" s="641"/>
      <c r="C42" s="641"/>
      <c r="D42" s="635"/>
      <c r="E42" s="659"/>
      <c r="F42" s="657"/>
      <c r="G42" s="388"/>
      <c r="H42" s="388"/>
      <c r="I42" s="526"/>
      <c r="J42" s="388"/>
      <c r="K42" s="1917"/>
      <c r="L42" s="1917"/>
      <c r="M42" s="1917"/>
      <c r="N42" s="1917"/>
      <c r="O42" s="1917"/>
      <c r="Q42" s="1897"/>
      <c r="R42" s="1897"/>
      <c r="U42" s="761" t="s">
        <v>131</v>
      </c>
    </row>
    <row r="43" spans="1:21" ht="15" customHeight="1">
      <c r="B43" s="641"/>
      <c r="C43" s="641"/>
      <c r="D43" s="511"/>
      <c r="E43" s="659"/>
      <c r="F43" s="657"/>
      <c r="G43" s="388"/>
      <c r="H43" s="388"/>
      <c r="I43" s="526"/>
      <c r="J43" s="388"/>
      <c r="L43" s="388"/>
      <c r="M43" s="380"/>
      <c r="N43" s="380"/>
      <c r="O43" s="380"/>
      <c r="Q43" s="527"/>
      <c r="R43" s="527"/>
      <c r="U43" s="761" t="s">
        <v>2354</v>
      </c>
    </row>
    <row r="44" spans="1:21" ht="15" customHeight="1">
      <c r="B44" s="641"/>
      <c r="C44" s="641"/>
      <c r="D44" s="511"/>
      <c r="E44" s="659"/>
      <c r="F44" s="657"/>
      <c r="G44" s="388"/>
      <c r="H44" s="388"/>
      <c r="I44" s="526"/>
      <c r="K44" s="387" t="s">
        <v>1933</v>
      </c>
      <c r="Q44" s="1897"/>
      <c r="R44" s="1897"/>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894" t="s">
        <v>1929</v>
      </c>
      <c r="L46" s="1894"/>
      <c r="M46" s="1894"/>
      <c r="N46" s="1894"/>
      <c r="O46" s="1894"/>
      <c r="Q46" s="1892"/>
      <c r="R46" s="1892"/>
    </row>
    <row r="47" spans="1:21" ht="15" customHeight="1">
      <c r="B47" s="641"/>
      <c r="C47" s="641"/>
      <c r="D47" s="511"/>
      <c r="E47" s="659"/>
      <c r="F47" s="657"/>
      <c r="G47" s="388"/>
      <c r="H47" s="388"/>
      <c r="I47" s="526"/>
      <c r="J47" s="388"/>
      <c r="K47" s="1893" t="s">
        <v>1930</v>
      </c>
      <c r="L47" s="1893"/>
      <c r="M47" s="1893"/>
      <c r="N47" s="1893"/>
      <c r="O47" s="1893"/>
      <c r="Q47" s="1930"/>
      <c r="R47" s="1930"/>
    </row>
    <row r="48" spans="1:21" ht="15" customHeight="1">
      <c r="B48" s="641"/>
      <c r="C48" s="641"/>
      <c r="D48" s="511"/>
      <c r="E48" s="659"/>
      <c r="F48" s="657"/>
      <c r="G48" s="388"/>
      <c r="H48" s="388"/>
      <c r="I48" s="526"/>
      <c r="J48" s="388"/>
      <c r="K48" s="1929" t="s">
        <v>1931</v>
      </c>
      <c r="L48" s="1929"/>
      <c r="M48" s="1929"/>
      <c r="N48" s="1929"/>
      <c r="O48" s="1929"/>
      <c r="Q48" s="1894">
        <f>Q46+Q47</f>
        <v>0</v>
      </c>
      <c r="R48" s="1894"/>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c r="F51" s="657"/>
      <c r="G51" s="388"/>
      <c r="H51" s="388"/>
      <c r="I51" s="526"/>
      <c r="J51" s="388"/>
    </row>
    <row r="52" spans="1:29" ht="15" customHeight="1">
      <c r="B52" s="1910" t="s">
        <v>1678</v>
      </c>
      <c r="C52" s="1910"/>
      <c r="D52" s="1910"/>
      <c r="E52" s="1910"/>
      <c r="F52" s="657"/>
      <c r="G52" s="525">
        <f>SUM(E42:E49)-ABS(E50)-ABS(E51)</f>
        <v>0</v>
      </c>
      <c r="H52" s="388"/>
      <c r="I52" s="526"/>
      <c r="J52" s="388"/>
    </row>
    <row r="53" spans="1:29" ht="15" customHeight="1">
      <c r="C53" s="530"/>
      <c r="D53" s="530" t="s">
        <v>914</v>
      </c>
      <c r="E53" s="530"/>
      <c r="F53" s="530"/>
      <c r="G53" s="531">
        <f>SUM(G38:G40)+G52</f>
        <v>0</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1016</v>
      </c>
    </row>
    <row r="56" spans="1:29" ht="15" customHeight="1">
      <c r="B56" s="1909" t="s">
        <v>1315</v>
      </c>
      <c r="C56" s="1909"/>
      <c r="D56" s="657"/>
      <c r="E56" s="657"/>
      <c r="F56" s="657"/>
      <c r="G56" s="657"/>
      <c r="H56" s="657"/>
      <c r="I56" s="657"/>
      <c r="J56" s="657"/>
      <c r="K56" s="657"/>
      <c r="L56" s="657"/>
      <c r="M56" s="657"/>
      <c r="N56" s="657"/>
      <c r="O56" s="657"/>
      <c r="P56" s="657"/>
      <c r="U56" s="962" t="s">
        <v>1870</v>
      </c>
      <c r="AC56" s="963">
        <v>0.2</v>
      </c>
    </row>
    <row r="57" spans="1:29" ht="15" customHeight="1">
      <c r="A57" s="528"/>
      <c r="B57" s="1908" t="s">
        <v>1672</v>
      </c>
      <c r="C57" s="1908"/>
      <c r="D57" s="1908"/>
      <c r="E57" s="1908"/>
      <c r="F57" s="1908"/>
      <c r="G57" s="1908"/>
      <c r="H57" s="1908"/>
      <c r="I57" s="1908"/>
      <c r="J57" s="1908"/>
      <c r="K57" s="1908"/>
      <c r="L57" s="1908"/>
      <c r="M57" s="1908"/>
      <c r="N57" s="1908"/>
      <c r="O57" s="1908"/>
      <c r="P57" s="657"/>
      <c r="U57" s="962" t="s">
        <v>1871</v>
      </c>
      <c r="AC57" s="963">
        <v>0.1</v>
      </c>
    </row>
    <row r="58" spans="1:29" ht="15" customHeight="1">
      <c r="B58" s="1923" t="s">
        <v>2353</v>
      </c>
      <c r="C58" s="1924"/>
      <c r="D58" s="1924"/>
      <c r="E58" s="1924"/>
      <c r="F58" s="533"/>
      <c r="G58" s="533"/>
      <c r="H58" s="523"/>
      <c r="I58" s="523"/>
      <c r="J58" s="1925">
        <f>('Sources and Uses Budget'!D104+Q47)/('Sources and Uses Budget'!B104+Q48)</f>
        <v>0</v>
      </c>
      <c r="K58" s="1926"/>
      <c r="L58" s="1926"/>
      <c r="M58" s="1926"/>
      <c r="N58" s="1927"/>
      <c r="O58" s="523"/>
      <c r="P58" s="523"/>
      <c r="U58" s="962" t="s">
        <v>1872</v>
      </c>
      <c r="AC58" s="963">
        <v>0.1</v>
      </c>
    </row>
    <row r="59" spans="1:29" ht="15" customHeight="1">
      <c r="B59" s="1907" t="s">
        <v>2238</v>
      </c>
      <c r="C59" s="1907"/>
      <c r="D59" s="1907"/>
      <c r="E59" s="1907"/>
      <c r="F59" s="1907"/>
      <c r="G59" s="1907"/>
      <c r="H59" s="1907"/>
      <c r="I59" s="1907"/>
      <c r="J59" s="1907"/>
      <c r="K59" s="1907"/>
      <c r="L59" s="1907"/>
      <c r="M59" s="1907"/>
      <c r="N59" s="1907"/>
      <c r="O59" s="1907"/>
      <c r="P59" s="523"/>
      <c r="U59" s="962" t="s">
        <v>1873</v>
      </c>
      <c r="AC59" s="963">
        <v>0.05</v>
      </c>
    </row>
    <row r="60" spans="1:29" ht="15" customHeight="1">
      <c r="B60" s="1907"/>
      <c r="C60" s="1907"/>
      <c r="D60" s="1907"/>
      <c r="E60" s="1907"/>
      <c r="F60" s="1907"/>
      <c r="G60" s="1907"/>
      <c r="H60" s="1907"/>
      <c r="I60" s="1907"/>
      <c r="J60" s="1907"/>
      <c r="K60" s="1907"/>
      <c r="L60" s="1907"/>
      <c r="M60" s="1907"/>
      <c r="N60" s="1907"/>
      <c r="O60" s="1907"/>
      <c r="P60" s="523"/>
      <c r="AC60" s="964"/>
    </row>
    <row r="61" spans="1:29" ht="15" customHeight="1">
      <c r="B61" s="1908" t="s">
        <v>1673</v>
      </c>
      <c r="C61" s="1908"/>
      <c r="D61" s="1908"/>
      <c r="E61" s="1908"/>
      <c r="F61" s="1908"/>
      <c r="G61" s="1908"/>
      <c r="H61" s="1908"/>
      <c r="I61" s="1908"/>
      <c r="J61" s="1908"/>
      <c r="K61" s="1908"/>
      <c r="L61" s="1908"/>
      <c r="M61" s="1908"/>
      <c r="N61" s="1908"/>
      <c r="O61" s="1908"/>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3" t="s">
        <v>2356</v>
      </c>
      <c r="K63" s="1914"/>
      <c r="L63" s="1914"/>
      <c r="M63" s="1914"/>
      <c r="N63" s="1914"/>
      <c r="O63" s="1914"/>
      <c r="P63" s="1914"/>
      <c r="Q63" s="1914"/>
      <c r="R63" s="1914"/>
    </row>
    <row r="64" spans="1:29" ht="15" customHeight="1" thickBot="1">
      <c r="B64" s="1909" t="s">
        <v>1683</v>
      </c>
      <c r="C64" s="1909"/>
      <c r="D64" s="380"/>
      <c r="F64" s="380"/>
      <c r="G64" s="530" t="s">
        <v>1932</v>
      </c>
      <c r="H64" s="380"/>
      <c r="I64" s="765"/>
      <c r="J64" s="1915"/>
      <c r="K64" s="1916"/>
      <c r="L64" s="1916"/>
      <c r="M64" s="1916"/>
      <c r="N64" s="1916"/>
      <c r="O64" s="1916"/>
      <c r="P64" s="1916"/>
      <c r="Q64" s="1916"/>
      <c r="R64" s="1916"/>
      <c r="U64" s="961">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1934</v>
      </c>
      <c r="H65" s="380"/>
      <c r="I65" s="765"/>
      <c r="J65" s="1915"/>
      <c r="K65" s="1916"/>
      <c r="L65" s="1916"/>
      <c r="M65" s="1916"/>
      <c r="N65" s="1916"/>
      <c r="O65" s="1916"/>
      <c r="P65" s="1916"/>
      <c r="Q65" s="1916"/>
      <c r="R65" s="1916"/>
      <c r="U65" s="961">
        <f>IF(J67="Non-rural project, Census Tract is Highest Resource (20 percentage points)",AC56,0)</f>
        <v>0</v>
      </c>
    </row>
    <row r="66" spans="1:22" ht="15" customHeight="1" thickBot="1">
      <c r="B66" s="535" t="s">
        <v>1753</v>
      </c>
      <c r="C66" s="645">
        <f>Application!AG430-Application!AG431</f>
        <v>29</v>
      </c>
      <c r="D66" s="795"/>
      <c r="E66" s="535" t="s">
        <v>1935</v>
      </c>
      <c r="F66" s="795"/>
      <c r="G66" s="662"/>
      <c r="H66" s="536"/>
      <c r="I66" s="766"/>
      <c r="J66" s="1915"/>
      <c r="K66" s="1916"/>
      <c r="L66" s="1916"/>
      <c r="M66" s="1916"/>
      <c r="N66" s="1916"/>
      <c r="O66" s="1916"/>
      <c r="P66" s="1916"/>
      <c r="Q66" s="1916"/>
      <c r="R66" s="1916"/>
      <c r="U66" s="961">
        <f>IF(J67="Non-rural project, Census Tract is High Resource (10 percentage points)",AC57,0)</f>
        <v>0.1</v>
      </c>
    </row>
    <row r="67" spans="1:22" ht="15" customHeight="1" thickBot="1">
      <c r="B67" s="535" t="s">
        <v>1671</v>
      </c>
      <c r="C67" s="646">
        <f>MIN(IF(AND(C65="Yes",G67&gt;=50),(0.75+(G67/200)),1),1.5)</f>
        <v>1</v>
      </c>
      <c r="D67" s="536"/>
      <c r="E67" s="535" t="s">
        <v>1754</v>
      </c>
      <c r="G67" s="645">
        <f>C66+G66</f>
        <v>29</v>
      </c>
      <c r="H67" s="536"/>
      <c r="I67" s="766"/>
      <c r="J67" s="1911" t="s">
        <v>1871</v>
      </c>
      <c r="K67" s="1912"/>
      <c r="L67" s="1912"/>
      <c r="M67" s="1912"/>
      <c r="N67" s="1912"/>
      <c r="O67" s="1912"/>
      <c r="P67" s="1912"/>
      <c r="Q67" s="1912"/>
      <c r="R67" s="1912"/>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0">
        <f>SUM(U62:U68)</f>
        <v>0.1</v>
      </c>
    </row>
    <row r="70" spans="1:22" ht="15" customHeight="1" thickBot="1">
      <c r="B70" s="515" t="s">
        <v>1680</v>
      </c>
      <c r="C70" s="515"/>
      <c r="D70" s="515"/>
      <c r="E70" s="515"/>
      <c r="F70" s="515"/>
      <c r="G70" s="515"/>
      <c r="U70" s="1921"/>
      <c r="V70" s="377" t="s">
        <v>1874</v>
      </c>
    </row>
    <row r="71" spans="1:22" ht="15" customHeight="1">
      <c r="B71" s="1910" t="s">
        <v>1684</v>
      </c>
      <c r="C71" s="1910"/>
      <c r="D71" s="1910"/>
      <c r="E71" s="515"/>
      <c r="F71" s="515"/>
      <c r="G71" s="525">
        <f>G53*(1-J58)</f>
        <v>0</v>
      </c>
      <c r="J71" s="537"/>
      <c r="K71" s="694" t="s">
        <v>1686</v>
      </c>
      <c r="L71" s="694"/>
      <c r="M71" s="694"/>
      <c r="N71" s="694"/>
      <c r="O71" s="694"/>
      <c r="Q71" s="1894">
        <f>'Basis &amp; Credits'!T23+'Basis &amp; Credits'!Y23+'Basis &amp; Credits'!AD23+'Basis &amp; Credits'!AI23</f>
        <v>11920705</v>
      </c>
      <c r="R71" s="1894"/>
    </row>
    <row r="72" spans="1:22" ht="15" customHeight="1">
      <c r="B72" s="1896" t="s">
        <v>1685</v>
      </c>
      <c r="C72" s="1896"/>
      <c r="D72" s="1896"/>
      <c r="E72" s="515"/>
      <c r="F72" s="515"/>
      <c r="G72" s="525">
        <f>G71*C67</f>
        <v>0</v>
      </c>
      <c r="J72" s="537"/>
      <c r="K72" s="657"/>
      <c r="L72" s="657"/>
      <c r="M72" s="657"/>
      <c r="N72" s="657"/>
      <c r="O72" s="657"/>
      <c r="Q72" s="1897"/>
      <c r="R72" s="1897"/>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898">
        <f>$G$72</f>
        <v>0</v>
      </c>
      <c r="C75" s="1899"/>
      <c r="D75" s="1899"/>
      <c r="E75" s="1899"/>
      <c r="F75" s="1899"/>
      <c r="G75" s="1899"/>
      <c r="H75" s="538"/>
      <c r="I75" s="1900" t="s">
        <v>148</v>
      </c>
      <c r="J75" s="1901" t="s">
        <v>1034</v>
      </c>
      <c r="K75" s="1900">
        <v>1</v>
      </c>
      <c r="M75" s="399"/>
      <c r="N75" s="517"/>
      <c r="O75" s="664">
        <f>$Q$71</f>
        <v>11920705</v>
      </c>
      <c r="P75" s="1901" t="s">
        <v>2033</v>
      </c>
      <c r="Q75" s="1902" t="s">
        <v>147</v>
      </c>
      <c r="R75" s="1905">
        <f>((B75/B76)+((1-(O75/O76))/2))+U69</f>
        <v>0.18096046898155441</v>
      </c>
    </row>
    <row r="76" spans="1:22" ht="15" customHeight="1" thickBot="1">
      <c r="B76" s="1903">
        <f>'Sources and Uses Budget'!$C$104+$Q$46-($E$50+$E$51)*(1-$J$58)</f>
        <v>14223843</v>
      </c>
      <c r="C76" s="1904"/>
      <c r="D76" s="1904"/>
      <c r="E76" s="1904"/>
      <c r="F76" s="1904"/>
      <c r="G76" s="1903"/>
      <c r="I76" s="1900"/>
      <c r="J76" s="1901"/>
      <c r="K76" s="1900"/>
      <c r="M76" s="655"/>
      <c r="O76" s="663">
        <f>B76</f>
        <v>14223843</v>
      </c>
      <c r="P76" s="1901"/>
      <c r="Q76" s="1902"/>
      <c r="R76" s="1906"/>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2239</v>
      </c>
      <c r="C84" s="775"/>
      <c r="D84" s="775"/>
      <c r="E84" s="769"/>
      <c r="F84" s="769"/>
      <c r="G84" s="776"/>
      <c r="I84" s="526"/>
      <c r="K84" s="762" t="s">
        <v>1693</v>
      </c>
      <c r="L84" s="658"/>
      <c r="M84" s="658"/>
      <c r="N84" s="658"/>
      <c r="O84" s="658"/>
      <c r="P84" s="658"/>
      <c r="Q84" s="1892"/>
      <c r="R84" s="1892"/>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1059</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1947</v>
      </c>
      <c r="F89" s="518"/>
      <c r="G89" s="518" t="s">
        <v>1881</v>
      </c>
      <c r="I89" s="526"/>
      <c r="K89" s="763" t="s">
        <v>1694</v>
      </c>
      <c r="L89" s="691"/>
      <c r="M89" s="691"/>
      <c r="N89" s="691"/>
      <c r="O89" s="691"/>
      <c r="P89" s="691"/>
      <c r="Q89" s="1892"/>
      <c r="R89" s="1892"/>
    </row>
    <row r="90" spans="2:18" ht="15" customHeight="1">
      <c r="B90" s="503" t="s">
        <v>649</v>
      </c>
      <c r="C90" s="504"/>
      <c r="D90" s="505"/>
      <c r="E90" s="505"/>
      <c r="F90" s="547"/>
      <c r="G90" s="388">
        <f>MAX(($E90-$D90)*$C90*12,0)</f>
        <v>0</v>
      </c>
      <c r="I90" s="526"/>
      <c r="K90" s="763" t="s">
        <v>1695</v>
      </c>
      <c r="L90" s="691"/>
      <c r="M90" s="691"/>
      <c r="N90" s="691"/>
      <c r="O90" s="691"/>
      <c r="P90" s="691"/>
      <c r="Q90" s="1895"/>
      <c r="R90" s="1895"/>
    </row>
    <row r="91" spans="2:18" ht="15" customHeight="1">
      <c r="B91" s="503" t="s">
        <v>649</v>
      </c>
      <c r="C91" s="504"/>
      <c r="D91" s="505"/>
      <c r="E91" s="505"/>
      <c r="F91" s="547"/>
      <c r="G91" s="388">
        <f t="shared" ref="G91:G97" si="0">MAX(($E91-$D91)*$C91*12,0)</f>
        <v>0</v>
      </c>
      <c r="I91" s="526"/>
      <c r="K91" s="763" t="s">
        <v>1698</v>
      </c>
      <c r="L91" s="691"/>
      <c r="M91" s="691"/>
      <c r="N91" s="691"/>
      <c r="O91" s="691"/>
      <c r="P91" s="691"/>
      <c r="Q91" s="1893">
        <f>IFERROR(Q89/Q90,0)</f>
        <v>0</v>
      </c>
      <c r="R91" s="1893"/>
    </row>
    <row r="92" spans="2:18" ht="15" customHeight="1">
      <c r="B92" s="503" t="s">
        <v>649</v>
      </c>
      <c r="C92" s="504"/>
      <c r="D92" s="505"/>
      <c r="E92" s="505"/>
      <c r="F92" s="547"/>
      <c r="G92" s="388">
        <f t="shared" si="0"/>
        <v>0</v>
      </c>
      <c r="I92" s="526"/>
    </row>
    <row r="93" spans="2:18" ht="15" customHeight="1">
      <c r="B93" s="503" t="s">
        <v>649</v>
      </c>
      <c r="C93" s="504"/>
      <c r="D93" s="505"/>
      <c r="E93" s="505"/>
      <c r="F93" s="547"/>
      <c r="G93" s="388">
        <f t="shared" si="0"/>
        <v>0</v>
      </c>
      <c r="I93" s="526"/>
      <c r="K93" s="380" t="s">
        <v>1699</v>
      </c>
      <c r="L93" s="535"/>
      <c r="M93" s="535"/>
      <c r="N93" s="535"/>
      <c r="O93" s="535"/>
      <c r="P93" s="535"/>
      <c r="Q93" s="1894">
        <f>MAX(Q84,Q91)</f>
        <v>0</v>
      </c>
      <c r="R93" s="1894"/>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1788</v>
      </c>
      <c r="F98" s="535"/>
      <c r="G98" s="531">
        <f>SUM(G90:G97)</f>
        <v>0</v>
      </c>
      <c r="I98" s="526"/>
    </row>
    <row r="99" spans="2:9" ht="15" customHeight="1">
      <c r="I99" s="526"/>
    </row>
    <row r="100" spans="2:9" ht="15" customHeight="1">
      <c r="B100" s="380" t="s">
        <v>1696</v>
      </c>
      <c r="D100" s="527">
        <f>G98+Q93</f>
        <v>0</v>
      </c>
      <c r="I100" s="526"/>
    </row>
    <row r="101" spans="2:9" ht="15" customHeight="1">
      <c r="B101" s="380" t="s">
        <v>1030</v>
      </c>
      <c r="D101" s="543">
        <v>0.05</v>
      </c>
      <c r="I101" s="526"/>
    </row>
    <row r="102" spans="2:9" ht="15" customHeight="1">
      <c r="B102" s="380" t="s">
        <v>1060</v>
      </c>
      <c r="D102" s="527">
        <f>D100-(D100*D101)</f>
        <v>0</v>
      </c>
    </row>
    <row r="103" spans="2:9" ht="15" customHeight="1">
      <c r="B103" s="380" t="s">
        <v>1688</v>
      </c>
      <c r="D103" s="544"/>
    </row>
    <row r="104" spans="2:9" ht="15" customHeight="1">
      <c r="B104" s="380" t="s">
        <v>1697</v>
      </c>
      <c r="D104" s="527">
        <f>D102/D108</f>
        <v>0</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0</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0" workbookViewId="0">
      <selection activeCell="K64" sqref="K64"/>
    </sheetView>
  </sheetViews>
  <sheetFormatPr defaultColWidth="0" defaultRowHeight="13.2" zeroHeight="1"/>
  <cols>
    <col min="1" max="1" width="3.5546875" customWidth="1"/>
    <col min="2" max="2" width="31.441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3.8">
      <c r="A4" s="388" t="s">
        <v>1118</v>
      </c>
      <c r="B4" s="388"/>
      <c r="C4" s="411">
        <v>1.0249999999999999</v>
      </c>
      <c r="D4" s="388"/>
      <c r="E4" s="388">
        <f>Application!Y765</f>
        <v>349212</v>
      </c>
      <c r="F4" s="388"/>
      <c r="G4" s="388">
        <f>E4*$C$4</f>
        <v>357942.3</v>
      </c>
      <c r="H4" s="388"/>
      <c r="I4" s="388">
        <f>G4*$C$4</f>
        <v>366890.85749999998</v>
      </c>
      <c r="J4" s="388"/>
      <c r="K4" s="388">
        <f>I4*$C$4</f>
        <v>376063.12893749995</v>
      </c>
      <c r="L4" s="388"/>
      <c r="M4" s="388">
        <f>K4*$C$4</f>
        <v>385464.70716093743</v>
      </c>
      <c r="N4" s="388"/>
      <c r="O4" s="388">
        <f>M4*$C$4</f>
        <v>395101.32483996084</v>
      </c>
      <c r="P4" s="388"/>
      <c r="Q4" s="388">
        <f>O4*$C$4</f>
        <v>404978.85796095984</v>
      </c>
      <c r="R4" s="388"/>
      <c r="S4" s="388">
        <f>Q4*$C$4</f>
        <v>415103.32940998382</v>
      </c>
      <c r="T4" s="388"/>
      <c r="U4" s="388">
        <f>S4*$C$4</f>
        <v>425480.91264523339</v>
      </c>
      <c r="V4" s="388"/>
      <c r="W4" s="388">
        <f>U4*$C$4</f>
        <v>436117.93546136416</v>
      </c>
      <c r="X4" s="388"/>
      <c r="Y4" s="388">
        <f>W4*$C$4</f>
        <v>447020.88384789822</v>
      </c>
      <c r="Z4" s="388"/>
      <c r="AA4" s="388">
        <f>Y4*$C$4</f>
        <v>458196.40594409563</v>
      </c>
      <c r="AB4" s="388"/>
      <c r="AC4" s="388">
        <f>AA4*$C$4</f>
        <v>469651.31609269796</v>
      </c>
      <c r="AD4" s="388"/>
      <c r="AE4" s="388">
        <f>AC4*$C$4</f>
        <v>481392.59899501537</v>
      </c>
      <c r="AF4" s="388"/>
      <c r="AG4" s="388">
        <f>AE4*$C$4</f>
        <v>493427.41396989074</v>
      </c>
      <c r="AH4" s="388"/>
    </row>
    <row r="5" spans="1:34" ht="13.8">
      <c r="A5" s="380"/>
      <c r="B5" s="380" t="s">
        <v>1030</v>
      </c>
      <c r="C5" s="412">
        <f>IF(Application!$D$214="Special Needs",0.1,0.05)</f>
        <v>0.05</v>
      </c>
      <c r="D5" s="380"/>
      <c r="E5" s="390">
        <f>-E4*$C$5</f>
        <v>-17460.600000000002</v>
      </c>
      <c r="F5" s="390"/>
      <c r="G5" s="390">
        <f>-G4*$C$5</f>
        <v>-17897.115000000002</v>
      </c>
      <c r="H5" s="390"/>
      <c r="I5" s="390">
        <f>-I4*$C$5</f>
        <v>-18344.542874999999</v>
      </c>
      <c r="J5" s="390"/>
      <c r="K5" s="390">
        <f>-K4*$C$5</f>
        <v>-18803.156446874997</v>
      </c>
      <c r="L5" s="390"/>
      <c r="M5" s="390">
        <f>-M4*$C$5</f>
        <v>-19273.235358046873</v>
      </c>
      <c r="N5" s="390"/>
      <c r="O5" s="390">
        <f>-O4*$C$5</f>
        <v>-19755.066241998044</v>
      </c>
      <c r="P5" s="390"/>
      <c r="Q5" s="390">
        <f>-Q4*$C$5</f>
        <v>-20248.942898047993</v>
      </c>
      <c r="R5" s="390"/>
      <c r="S5" s="390">
        <f>-S4*$C$5</f>
        <v>-20755.166470499193</v>
      </c>
      <c r="T5" s="390"/>
      <c r="U5" s="390">
        <f>-U4*$C$5</f>
        <v>-21274.04563226167</v>
      </c>
      <c r="V5" s="390"/>
      <c r="W5" s="390">
        <f>-W4*$C$5</f>
        <v>-21805.896773068209</v>
      </c>
      <c r="X5" s="390"/>
      <c r="Y5" s="390">
        <f>-Y4*$C$5</f>
        <v>-22351.044192394911</v>
      </c>
      <c r="Z5" s="390"/>
      <c r="AA5" s="390">
        <f>-AA4*$C$5</f>
        <v>-22909.820297204784</v>
      </c>
      <c r="AB5" s="390"/>
      <c r="AC5" s="390">
        <f>-AC4*$C$5</f>
        <v>-23482.565804634898</v>
      </c>
      <c r="AD5" s="390"/>
      <c r="AE5" s="390">
        <f>-AE4*$C$5</f>
        <v>-24069.629949750772</v>
      </c>
      <c r="AF5" s="390"/>
      <c r="AG5" s="390">
        <f>-AG4*$C$5</f>
        <v>-24671.370698494538</v>
      </c>
      <c r="AH5" s="380"/>
    </row>
    <row r="6" spans="1:34" ht="13.8">
      <c r="A6" s="380" t="s">
        <v>1119</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3.8">
      <c r="A7" s="380"/>
      <c r="B7" s="380" t="s">
        <v>1030</v>
      </c>
      <c r="C7" s="412">
        <f>IF(Application!$D$214="Special Needs",0.1,0.05)</f>
        <v>0.05</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3.8">
      <c r="A8" s="380" t="s">
        <v>274</v>
      </c>
      <c r="B8" s="380"/>
      <c r="C8" s="411">
        <v>1.0249999999999999</v>
      </c>
      <c r="D8" s="380"/>
      <c r="E8" s="391">
        <f>Application!Z781</f>
        <v>4349</v>
      </c>
      <c r="F8" s="391"/>
      <c r="G8" s="391">
        <f>E8*$C$8</f>
        <v>4457.7249999999995</v>
      </c>
      <c r="H8" s="391"/>
      <c r="I8" s="391">
        <f>G8*$C$8</f>
        <v>4569.1681249999992</v>
      </c>
      <c r="J8" s="391"/>
      <c r="K8" s="391">
        <f>I8*$C$8</f>
        <v>4683.3973281249991</v>
      </c>
      <c r="L8" s="391"/>
      <c r="M8" s="391">
        <f>K8*$C$8</f>
        <v>4800.482261328124</v>
      </c>
      <c r="N8" s="391"/>
      <c r="O8" s="391">
        <f>M8*$C$8</f>
        <v>4920.4943178613266</v>
      </c>
      <c r="P8" s="391"/>
      <c r="Q8" s="391">
        <f>O8*$C$8</f>
        <v>5043.5066758078592</v>
      </c>
      <c r="R8" s="391"/>
      <c r="S8" s="391">
        <f>Q8*$C$8</f>
        <v>5169.5943427030552</v>
      </c>
      <c r="T8" s="391"/>
      <c r="U8" s="391">
        <f>S8*$C$8</f>
        <v>5298.8342012706307</v>
      </c>
      <c r="V8" s="391"/>
      <c r="W8" s="391">
        <f>U8*$C$8</f>
        <v>5431.3050563023962</v>
      </c>
      <c r="X8" s="391"/>
      <c r="Y8" s="391">
        <f>W8*$C$8</f>
        <v>5567.0876827099555</v>
      </c>
      <c r="Z8" s="391"/>
      <c r="AA8" s="391">
        <f>Y8*$C$8</f>
        <v>5706.2648747777039</v>
      </c>
      <c r="AB8" s="391"/>
      <c r="AC8" s="391">
        <f>AA8*$C$8</f>
        <v>5848.9214966471463</v>
      </c>
      <c r="AD8" s="391"/>
      <c r="AE8" s="391">
        <f>AC8*$C$8</f>
        <v>5995.1445340633245</v>
      </c>
      <c r="AF8" s="391"/>
      <c r="AG8" s="391">
        <f>AE8*$C$8</f>
        <v>6145.0231474149068</v>
      </c>
      <c r="AH8" s="380"/>
    </row>
    <row r="9" spans="1:34" ht="13.8">
      <c r="A9" s="380"/>
      <c r="B9" s="380" t="s">
        <v>1030</v>
      </c>
      <c r="C9" s="412">
        <f>IF(Application!$D$214="Special Needs",0.1,0.05)</f>
        <v>0.05</v>
      </c>
      <c r="D9" s="380"/>
      <c r="E9" s="390">
        <f>-E8*$C$9</f>
        <v>-217.45000000000002</v>
      </c>
      <c r="F9" s="390"/>
      <c r="G9" s="390">
        <f>-G8*$C$9</f>
        <v>-222.88624999999999</v>
      </c>
      <c r="H9" s="390"/>
      <c r="I9" s="390">
        <f>-I8*$C$9</f>
        <v>-228.45840624999997</v>
      </c>
      <c r="J9" s="390"/>
      <c r="K9" s="390">
        <f>-K8*$C$9</f>
        <v>-234.16986640624998</v>
      </c>
      <c r="L9" s="390"/>
      <c r="M9" s="390">
        <f>-M8*$C$9</f>
        <v>-240.02411306640622</v>
      </c>
      <c r="N9" s="390"/>
      <c r="O9" s="390">
        <f>-O8*$C$9</f>
        <v>-246.02471589306634</v>
      </c>
      <c r="P9" s="390"/>
      <c r="Q9" s="390">
        <f>-Q8*$C$9</f>
        <v>-252.17533379039298</v>
      </c>
      <c r="R9" s="390"/>
      <c r="S9" s="390">
        <f>-S8*$C$9</f>
        <v>-258.47971713515278</v>
      </c>
      <c r="T9" s="390"/>
      <c r="U9" s="390">
        <f>-U8*$C$9</f>
        <v>-264.94171006353156</v>
      </c>
      <c r="V9" s="390"/>
      <c r="W9" s="390">
        <f>-W8*$C$9</f>
        <v>-271.56525281511983</v>
      </c>
      <c r="X9" s="390"/>
      <c r="Y9" s="390">
        <f>-Y8*$C$9</f>
        <v>-278.35438413549781</v>
      </c>
      <c r="Z9" s="390"/>
      <c r="AA9" s="390">
        <f>-AA8*$C$9</f>
        <v>-285.31324373888521</v>
      </c>
      <c r="AB9" s="390"/>
      <c r="AC9" s="390">
        <f>-AC8*$C$9</f>
        <v>-292.44607483235734</v>
      </c>
      <c r="AD9" s="390"/>
      <c r="AE9" s="390">
        <f>-AE8*$C$9</f>
        <v>-299.75722670316622</v>
      </c>
      <c r="AF9" s="390"/>
      <c r="AG9" s="390">
        <f>-AG8*$C$9</f>
        <v>-307.25115737074537</v>
      </c>
      <c r="AH9" s="380"/>
    </row>
    <row r="10" spans="1:34" ht="13.8">
      <c r="A10" s="942" t="s">
        <v>2196</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3.8">
      <c r="A11" s="392" t="s">
        <v>1120</v>
      </c>
      <c r="B11" s="392"/>
      <c r="C11" s="385"/>
      <c r="D11" s="392"/>
      <c r="E11" s="392">
        <f>SUM(E4:E10)</f>
        <v>335882.95</v>
      </c>
      <c r="F11" s="392"/>
      <c r="G11" s="392">
        <f>SUM(G4:G10)</f>
        <v>344280.02374999999</v>
      </c>
      <c r="H11" s="392"/>
      <c r="I11" s="392">
        <f>SUM(I4:I10)</f>
        <v>352887.02434375003</v>
      </c>
      <c r="J11" s="392"/>
      <c r="K11" s="392">
        <f>SUM(K4:K10)</f>
        <v>361709.19995234371</v>
      </c>
      <c r="L11" s="392"/>
      <c r="M11" s="392">
        <f>SUM(M4:M10)</f>
        <v>370751.9299511523</v>
      </c>
      <c r="N11" s="392"/>
      <c r="O11" s="392">
        <f>SUM(O4:O10)</f>
        <v>380020.72819993104</v>
      </c>
      <c r="P11" s="392"/>
      <c r="Q11" s="392">
        <f>SUM(Q4:Q10)</f>
        <v>389521.24640492938</v>
      </c>
      <c r="R11" s="392"/>
      <c r="S11" s="392">
        <f>SUM(S4:S10)</f>
        <v>399259.27756505256</v>
      </c>
      <c r="T11" s="392"/>
      <c r="U11" s="392">
        <f>SUM(U4:U10)</f>
        <v>409240.75950417883</v>
      </c>
      <c r="V11" s="392"/>
      <c r="W11" s="392">
        <f>SUM(W4:W10)</f>
        <v>419471.77849178319</v>
      </c>
      <c r="X11" s="392"/>
      <c r="Y11" s="392">
        <f>SUM(Y4:Y10)</f>
        <v>429958.57295407774</v>
      </c>
      <c r="Z11" s="392"/>
      <c r="AA11" s="392">
        <f>SUM(AA4:AA10)</f>
        <v>440707.53727792966</v>
      </c>
      <c r="AB11" s="392"/>
      <c r="AC11" s="392">
        <f>SUM(AC4:AC10)</f>
        <v>451725.22570987785</v>
      </c>
      <c r="AD11" s="392"/>
      <c r="AE11" s="392">
        <f>SUM(AE4:AE10)</f>
        <v>463018.35635262477</v>
      </c>
      <c r="AF11" s="392"/>
      <c r="AG11" s="392">
        <f>SUM(AG4:AG10)</f>
        <v>474593.81526144035</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3.8">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3.8">
      <c r="A15" s="388" t="s">
        <v>1123</v>
      </c>
      <c r="B15" s="388"/>
      <c r="C15" s="403"/>
      <c r="D15" s="388"/>
      <c r="E15" s="388">
        <f>Application!W811</f>
        <v>4525</v>
      </c>
      <c r="F15" s="388"/>
      <c r="G15" s="388">
        <f t="shared" ref="G15:G21" si="0">E15*$C$14</f>
        <v>4683.375</v>
      </c>
      <c r="H15" s="388"/>
      <c r="I15" s="388">
        <f t="shared" ref="I15:I21" si="1">G15*$C$14</f>
        <v>4847.2931249999992</v>
      </c>
      <c r="J15" s="388"/>
      <c r="K15" s="388">
        <f t="shared" ref="K15:K21" si="2">I15*$C$14</f>
        <v>5016.9483843749986</v>
      </c>
      <c r="L15" s="388"/>
      <c r="M15" s="388">
        <f t="shared" ref="M15:M21" si="3">K15*$C$14</f>
        <v>5192.5415778281231</v>
      </c>
      <c r="N15" s="388"/>
      <c r="O15" s="388">
        <f t="shared" ref="O15:O21" si="4">M15*$C$14</f>
        <v>5374.2805330521069</v>
      </c>
      <c r="P15" s="388"/>
      <c r="Q15" s="388">
        <f t="shared" ref="Q15:Q21" si="5">O15*$C$14</f>
        <v>5562.38035170893</v>
      </c>
      <c r="R15" s="388"/>
      <c r="S15" s="388">
        <f t="shared" ref="S15:S21" si="6">Q15*$C$14</f>
        <v>5757.0636640187422</v>
      </c>
      <c r="T15" s="388"/>
      <c r="U15" s="388">
        <f t="shared" ref="U15:U21" si="7">S15*$C$14</f>
        <v>5958.5608922593974</v>
      </c>
      <c r="V15" s="388"/>
      <c r="W15" s="388">
        <f t="shared" ref="W15:W21" si="8">U15*$C$14</f>
        <v>6167.1105234884762</v>
      </c>
      <c r="X15" s="388"/>
      <c r="Y15" s="388">
        <f t="shared" ref="Y15:Y21" si="9">W15*$C$14</f>
        <v>6382.959391810572</v>
      </c>
      <c r="Z15" s="388"/>
      <c r="AA15" s="388">
        <f t="shared" ref="AA15:AA21" si="10">Y15*$C$14</f>
        <v>6606.3629705239418</v>
      </c>
      <c r="AB15" s="388"/>
      <c r="AC15" s="388">
        <f t="shared" ref="AC15:AC21" si="11">AA15*$C$14</f>
        <v>6837.5856744922794</v>
      </c>
      <c r="AD15" s="388"/>
      <c r="AE15" s="388">
        <f t="shared" ref="AE15:AE21" si="12">AC15*$C$14</f>
        <v>7076.9011730995089</v>
      </c>
      <c r="AF15" s="388"/>
      <c r="AG15" s="388">
        <f t="shared" ref="AG15:AG21" si="13">AE15*$C$14</f>
        <v>7324.5927141579914</v>
      </c>
      <c r="AH15" s="388"/>
    </row>
    <row r="16" spans="1:34" ht="13.8">
      <c r="A16" s="380" t="s">
        <v>495</v>
      </c>
      <c r="B16" s="380"/>
      <c r="C16" s="402"/>
      <c r="D16" s="380"/>
      <c r="E16" s="391">
        <f>Application!W813</f>
        <v>17400</v>
      </c>
      <c r="F16" s="391"/>
      <c r="G16" s="391">
        <f t="shared" si="0"/>
        <v>18009</v>
      </c>
      <c r="H16" s="391"/>
      <c r="I16" s="391">
        <f t="shared" si="1"/>
        <v>18639.314999999999</v>
      </c>
      <c r="J16" s="391"/>
      <c r="K16" s="391">
        <f t="shared" si="2"/>
        <v>19291.691024999996</v>
      </c>
      <c r="L16" s="391"/>
      <c r="M16" s="391">
        <f t="shared" si="3"/>
        <v>19966.900210874996</v>
      </c>
      <c r="N16" s="391"/>
      <c r="O16" s="391">
        <f t="shared" si="4"/>
        <v>20665.74171825562</v>
      </c>
      <c r="P16" s="391"/>
      <c r="Q16" s="391">
        <f t="shared" si="5"/>
        <v>21389.042678394566</v>
      </c>
      <c r="R16" s="391"/>
      <c r="S16" s="391">
        <f t="shared" si="6"/>
        <v>22137.659172138374</v>
      </c>
      <c r="T16" s="391"/>
      <c r="U16" s="391">
        <f t="shared" si="7"/>
        <v>22912.477243163215</v>
      </c>
      <c r="V16" s="391"/>
      <c r="W16" s="391">
        <f t="shared" si="8"/>
        <v>23714.413946673925</v>
      </c>
      <c r="X16" s="391"/>
      <c r="Y16" s="391">
        <f t="shared" si="9"/>
        <v>24544.41843480751</v>
      </c>
      <c r="Z16" s="391"/>
      <c r="AA16" s="391">
        <f t="shared" si="10"/>
        <v>25403.473080025771</v>
      </c>
      <c r="AB16" s="391"/>
      <c r="AC16" s="391">
        <f t="shared" si="11"/>
        <v>26292.594637826671</v>
      </c>
      <c r="AD16" s="391"/>
      <c r="AE16" s="391">
        <f t="shared" si="12"/>
        <v>27212.835450150604</v>
      </c>
      <c r="AF16" s="391"/>
      <c r="AG16" s="391">
        <f t="shared" si="13"/>
        <v>28165.284690905872</v>
      </c>
      <c r="AH16" s="380"/>
    </row>
    <row r="17" spans="1:34" ht="13.8">
      <c r="A17" s="380" t="s">
        <v>768</v>
      </c>
      <c r="B17" s="380"/>
      <c r="C17" s="402"/>
      <c r="D17" s="380"/>
      <c r="E17" s="391">
        <f>Application!W819</f>
        <v>16185</v>
      </c>
      <c r="F17" s="391"/>
      <c r="G17" s="391">
        <f t="shared" si="0"/>
        <v>16751.474999999999</v>
      </c>
      <c r="H17" s="391"/>
      <c r="I17" s="391">
        <f t="shared" si="1"/>
        <v>17337.776624999999</v>
      </c>
      <c r="J17" s="391"/>
      <c r="K17" s="391">
        <f t="shared" si="2"/>
        <v>17944.598806874998</v>
      </c>
      <c r="L17" s="391"/>
      <c r="M17" s="391">
        <f t="shared" si="3"/>
        <v>18572.659765115623</v>
      </c>
      <c r="N17" s="391"/>
      <c r="O17" s="391">
        <f t="shared" si="4"/>
        <v>19222.702856894666</v>
      </c>
      <c r="P17" s="391"/>
      <c r="Q17" s="391">
        <f t="shared" si="5"/>
        <v>19895.49745688598</v>
      </c>
      <c r="R17" s="391"/>
      <c r="S17" s="391">
        <f t="shared" si="6"/>
        <v>20591.839867876988</v>
      </c>
      <c r="T17" s="391"/>
      <c r="U17" s="391">
        <f t="shared" si="7"/>
        <v>21312.554263252681</v>
      </c>
      <c r="V17" s="391"/>
      <c r="W17" s="391">
        <f t="shared" si="8"/>
        <v>22058.493662466524</v>
      </c>
      <c r="X17" s="391"/>
      <c r="Y17" s="391">
        <f t="shared" si="9"/>
        <v>22830.540940652852</v>
      </c>
      <c r="Z17" s="391"/>
      <c r="AA17" s="391">
        <f t="shared" si="10"/>
        <v>23629.6098735757</v>
      </c>
      <c r="AB17" s="391"/>
      <c r="AC17" s="391">
        <f t="shared" si="11"/>
        <v>24456.646219150847</v>
      </c>
      <c r="AD17" s="391"/>
      <c r="AE17" s="391">
        <f t="shared" si="12"/>
        <v>25312.628836821124</v>
      </c>
      <c r="AF17" s="391"/>
      <c r="AG17" s="391">
        <f t="shared" si="13"/>
        <v>26198.570846109862</v>
      </c>
      <c r="AH17" s="380"/>
    </row>
    <row r="18" spans="1:34" ht="13.8">
      <c r="A18" s="380" t="s">
        <v>1124</v>
      </c>
      <c r="B18" s="380"/>
      <c r="C18" s="402"/>
      <c r="D18" s="380"/>
      <c r="E18" s="391">
        <f>Application!W826</f>
        <v>55250</v>
      </c>
      <c r="F18" s="391"/>
      <c r="G18" s="391">
        <f t="shared" si="0"/>
        <v>57183.749999999993</v>
      </c>
      <c r="H18" s="391"/>
      <c r="I18" s="391">
        <f t="shared" si="1"/>
        <v>59185.181249999987</v>
      </c>
      <c r="J18" s="391"/>
      <c r="K18" s="391">
        <f t="shared" si="2"/>
        <v>61256.662593749985</v>
      </c>
      <c r="L18" s="391"/>
      <c r="M18" s="391">
        <f t="shared" si="3"/>
        <v>63400.645784531232</v>
      </c>
      <c r="N18" s="391"/>
      <c r="O18" s="391">
        <f t="shared" si="4"/>
        <v>65619.668386989826</v>
      </c>
      <c r="P18" s="391"/>
      <c r="Q18" s="391">
        <f t="shared" si="5"/>
        <v>67916.356780534465</v>
      </c>
      <c r="R18" s="391"/>
      <c r="S18" s="391">
        <f t="shared" si="6"/>
        <v>70293.429267853164</v>
      </c>
      <c r="T18" s="391"/>
      <c r="U18" s="391">
        <f t="shared" si="7"/>
        <v>72753.699292228019</v>
      </c>
      <c r="V18" s="391"/>
      <c r="W18" s="391">
        <f t="shared" si="8"/>
        <v>75300.078767455998</v>
      </c>
      <c r="X18" s="391"/>
      <c r="Y18" s="391">
        <f t="shared" si="9"/>
        <v>77935.581524316949</v>
      </c>
      <c r="Z18" s="391"/>
      <c r="AA18" s="391">
        <f t="shared" si="10"/>
        <v>80663.326877668034</v>
      </c>
      <c r="AB18" s="391"/>
      <c r="AC18" s="391">
        <f t="shared" si="11"/>
        <v>83486.543318386408</v>
      </c>
      <c r="AD18" s="391"/>
      <c r="AE18" s="391">
        <f t="shared" si="12"/>
        <v>86408.572334529919</v>
      </c>
      <c r="AF18" s="391"/>
      <c r="AG18" s="391">
        <f t="shared" si="13"/>
        <v>89432.872366238458</v>
      </c>
    </row>
    <row r="19" spans="1:34" ht="13.8">
      <c r="A19" s="380" t="s">
        <v>973</v>
      </c>
      <c r="B19" s="380"/>
      <c r="C19" s="402"/>
      <c r="D19" s="380"/>
      <c r="E19" s="391">
        <f>Application!W827</f>
        <v>11615</v>
      </c>
      <c r="F19" s="391"/>
      <c r="G19" s="391">
        <f t="shared" si="0"/>
        <v>12021.525</v>
      </c>
      <c r="H19" s="391"/>
      <c r="I19" s="391">
        <f t="shared" si="1"/>
        <v>12442.278374999998</v>
      </c>
      <c r="J19" s="391"/>
      <c r="K19" s="391">
        <f t="shared" si="2"/>
        <v>12877.758118124997</v>
      </c>
      <c r="L19" s="391"/>
      <c r="M19" s="391">
        <f t="shared" si="3"/>
        <v>13328.479652259372</v>
      </c>
      <c r="N19" s="391"/>
      <c r="O19" s="391">
        <f t="shared" si="4"/>
        <v>13794.976440088449</v>
      </c>
      <c r="P19" s="391"/>
      <c r="Q19" s="391">
        <f t="shared" si="5"/>
        <v>14277.800615491544</v>
      </c>
      <c r="R19" s="391"/>
      <c r="S19" s="391">
        <f t="shared" si="6"/>
        <v>14777.523637033746</v>
      </c>
      <c r="T19" s="391"/>
      <c r="U19" s="391">
        <f t="shared" si="7"/>
        <v>15294.736964329926</v>
      </c>
      <c r="V19" s="391"/>
      <c r="W19" s="391">
        <f t="shared" si="8"/>
        <v>15830.052758081472</v>
      </c>
      <c r="X19" s="391"/>
      <c r="Y19" s="391">
        <f t="shared" si="9"/>
        <v>16384.104604614324</v>
      </c>
      <c r="Z19" s="391"/>
      <c r="AA19" s="391">
        <f t="shared" si="10"/>
        <v>16957.548265775822</v>
      </c>
      <c r="AB19" s="391"/>
      <c r="AC19" s="391">
        <f t="shared" si="11"/>
        <v>17551.062455077976</v>
      </c>
      <c r="AD19" s="391"/>
      <c r="AE19" s="391">
        <f t="shared" si="12"/>
        <v>18165.349641005705</v>
      </c>
      <c r="AF19" s="391"/>
      <c r="AG19" s="391">
        <f t="shared" si="13"/>
        <v>18801.136878440902</v>
      </c>
    </row>
    <row r="20" spans="1:34" ht="13.8">
      <c r="A20" s="380" t="s">
        <v>58</v>
      </c>
      <c r="B20" s="380"/>
      <c r="C20" s="402"/>
      <c r="D20" s="380"/>
      <c r="E20" s="391">
        <f>Application!W836</f>
        <v>64300</v>
      </c>
      <c r="F20" s="391"/>
      <c r="G20" s="391">
        <f t="shared" si="0"/>
        <v>66550.5</v>
      </c>
      <c r="H20" s="391"/>
      <c r="I20" s="391">
        <f t="shared" si="1"/>
        <v>68879.767500000002</v>
      </c>
      <c r="J20" s="391"/>
      <c r="K20" s="391">
        <f t="shared" si="2"/>
        <v>71290.559362499989</v>
      </c>
      <c r="L20" s="391"/>
      <c r="M20" s="391">
        <f t="shared" si="3"/>
        <v>73785.728940187488</v>
      </c>
      <c r="N20" s="391"/>
      <c r="O20" s="391">
        <f t="shared" si="4"/>
        <v>76368.229453094042</v>
      </c>
      <c r="P20" s="391"/>
      <c r="Q20" s="391">
        <f t="shared" si="5"/>
        <v>79041.11748395233</v>
      </c>
      <c r="R20" s="391"/>
      <c r="S20" s="391">
        <f t="shared" si="6"/>
        <v>81807.556595890652</v>
      </c>
      <c r="T20" s="391"/>
      <c r="U20" s="391">
        <f t="shared" si="7"/>
        <v>84670.821076746812</v>
      </c>
      <c r="V20" s="391"/>
      <c r="W20" s="391">
        <f t="shared" si="8"/>
        <v>87634.299814432947</v>
      </c>
      <c r="X20" s="391"/>
      <c r="Y20" s="391">
        <f t="shared" si="9"/>
        <v>90701.500307938099</v>
      </c>
      <c r="Z20" s="391"/>
      <c r="AA20" s="391">
        <f t="shared" si="10"/>
        <v>93876.052818715922</v>
      </c>
      <c r="AB20" s="391"/>
      <c r="AC20" s="391">
        <f t="shared" si="11"/>
        <v>97161.714667370965</v>
      </c>
      <c r="AD20" s="391"/>
      <c r="AE20" s="391">
        <f t="shared" si="12"/>
        <v>100562.37468072894</v>
      </c>
      <c r="AF20" s="391"/>
      <c r="AG20" s="391">
        <f t="shared" si="13"/>
        <v>104082.05779455445</v>
      </c>
    </row>
    <row r="21" spans="1:34" ht="13.8">
      <c r="A21" s="606" t="s">
        <v>1269</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3.8">
      <c r="A22" s="392" t="s">
        <v>1125</v>
      </c>
      <c r="B22" s="392"/>
      <c r="C22" s="402"/>
      <c r="D22" s="392"/>
      <c r="E22" s="392">
        <f>SUM(E15:E21)</f>
        <v>169275</v>
      </c>
      <c r="F22" s="392"/>
      <c r="G22" s="392">
        <f>SUM(G15:G21)</f>
        <v>175199.625</v>
      </c>
      <c r="H22" s="392"/>
      <c r="I22" s="392">
        <f>SUM(I15:I21)</f>
        <v>181331.611875</v>
      </c>
      <c r="J22" s="392"/>
      <c r="K22" s="392">
        <f>SUM(K15:K21)</f>
        <v>187678.21829062497</v>
      </c>
      <c r="L22" s="392"/>
      <c r="M22" s="392">
        <f>SUM(M15:M21)</f>
        <v>194246.95593079683</v>
      </c>
      <c r="N22" s="392"/>
      <c r="O22" s="392">
        <f>SUM(O15:O21)</f>
        <v>201045.59938837471</v>
      </c>
      <c r="P22" s="392"/>
      <c r="Q22" s="392">
        <f>SUM(Q15:Q21)</f>
        <v>208082.19536696782</v>
      </c>
      <c r="R22" s="392"/>
      <c r="S22" s="392">
        <f>SUM(S15:S21)</f>
        <v>215365.07220481167</v>
      </c>
      <c r="T22" s="392"/>
      <c r="U22" s="392">
        <f>SUM(U15:U21)</f>
        <v>222902.84973198007</v>
      </c>
      <c r="V22" s="392"/>
      <c r="W22" s="392">
        <f>SUM(W15:W21)</f>
        <v>230704.44947259934</v>
      </c>
      <c r="X22" s="392"/>
      <c r="Y22" s="392">
        <f>SUM(Y15:Y21)</f>
        <v>238779.1052041403</v>
      </c>
      <c r="Z22" s="392"/>
      <c r="AA22" s="392">
        <f>SUM(AA15:AA21)</f>
        <v>247136.37388628518</v>
      </c>
      <c r="AB22" s="392"/>
      <c r="AC22" s="392">
        <f>SUM(AC15:AC21)</f>
        <v>255786.14697230514</v>
      </c>
      <c r="AD22" s="392"/>
      <c r="AE22" s="392">
        <f>SUM(AE15:AE21)</f>
        <v>264738.66211633582</v>
      </c>
      <c r="AF22" s="392"/>
      <c r="AG22" s="392">
        <f>SUM(AG15:AG21)</f>
        <v>274004.51529040758</v>
      </c>
    </row>
    <row r="23" spans="1:34" ht="13.8">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3.8">
      <c r="A24" s="606" t="s">
        <v>2029</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3.8">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3.8">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3.8">
      <c r="A27" s="380" t="s">
        <v>1126</v>
      </c>
      <c r="B27" s="380"/>
      <c r="C27" s="411">
        <v>1.0349999999999999</v>
      </c>
      <c r="D27" s="380"/>
      <c r="E27" s="391">
        <f>Application!AC852</f>
        <v>10000</v>
      </c>
      <c r="F27" s="391"/>
      <c r="G27" s="391">
        <f>E27*$C$27</f>
        <v>10350</v>
      </c>
      <c r="H27" s="391"/>
      <c r="I27" s="391">
        <f>G27*$C$27</f>
        <v>10712.25</v>
      </c>
      <c r="J27" s="391"/>
      <c r="K27" s="391">
        <f>I27*$C$27</f>
        <v>11087.178749999999</v>
      </c>
      <c r="L27" s="391"/>
      <c r="M27" s="391">
        <f>K27*$C$27</f>
        <v>11475.230006249998</v>
      </c>
      <c r="N27" s="391"/>
      <c r="O27" s="391">
        <f>M27*$C$27</f>
        <v>11876.863056468746</v>
      </c>
      <c r="P27" s="391"/>
      <c r="Q27" s="391">
        <f>O27*$C$27</f>
        <v>12292.553263445152</v>
      </c>
      <c r="R27" s="391"/>
      <c r="S27" s="391">
        <f>Q27*$C$27</f>
        <v>12722.792627665731</v>
      </c>
      <c r="T27" s="391"/>
      <c r="U27" s="391">
        <f>S27*$C$27</f>
        <v>13168.09036963403</v>
      </c>
      <c r="V27" s="391"/>
      <c r="W27" s="391">
        <f>U27*$C$27</f>
        <v>13628.973532571221</v>
      </c>
      <c r="X27" s="391"/>
      <c r="Y27" s="391">
        <f>W27*$C$27</f>
        <v>14105.987606211213</v>
      </c>
      <c r="Z27" s="391"/>
      <c r="AA27" s="391">
        <f>Y27*$C$27</f>
        <v>14599.697172428603</v>
      </c>
      <c r="AB27" s="391"/>
      <c r="AC27" s="391">
        <f>AA27*$C$27</f>
        <v>15110.686573463603</v>
      </c>
      <c r="AD27" s="391"/>
      <c r="AE27" s="391">
        <f>AC27*$C$27</f>
        <v>15639.560603534828</v>
      </c>
      <c r="AF27" s="391"/>
      <c r="AG27" s="391">
        <f>AE27*$C$27</f>
        <v>16186.945224658546</v>
      </c>
    </row>
    <row r="28" spans="1:34" ht="13.8">
      <c r="A28" s="606" t="s">
        <v>1127</v>
      </c>
      <c r="B28" s="380"/>
      <c r="C28" s="411"/>
      <c r="D28" s="380"/>
      <c r="E28" s="391">
        <f>Application!AC853</f>
        <v>7250</v>
      </c>
      <c r="F28" s="391"/>
      <c r="G28" s="391">
        <f>$E$28</f>
        <v>7250</v>
      </c>
      <c r="H28" s="391"/>
      <c r="I28" s="391">
        <f>$E$28</f>
        <v>7250</v>
      </c>
      <c r="J28" s="391"/>
      <c r="K28" s="391">
        <f>$E$28</f>
        <v>7250</v>
      </c>
      <c r="L28" s="391"/>
      <c r="M28" s="391">
        <f>$E$28</f>
        <v>7250</v>
      </c>
      <c r="N28" s="391"/>
      <c r="O28" s="391">
        <f>$E$28</f>
        <v>7250</v>
      </c>
      <c r="P28" s="391"/>
      <c r="Q28" s="391">
        <f>$E$28</f>
        <v>7250</v>
      </c>
      <c r="R28" s="391"/>
      <c r="S28" s="391">
        <f>$E$28</f>
        <v>7250</v>
      </c>
      <c r="T28" s="391"/>
      <c r="U28" s="391">
        <f>$E$28</f>
        <v>7250</v>
      </c>
      <c r="V28" s="391"/>
      <c r="W28" s="391">
        <f>$E$28</f>
        <v>7250</v>
      </c>
      <c r="X28" s="391"/>
      <c r="Y28" s="391">
        <f>$E$28</f>
        <v>7250</v>
      </c>
      <c r="Z28" s="391"/>
      <c r="AA28" s="391">
        <f>$E$28</f>
        <v>7250</v>
      </c>
      <c r="AB28" s="391"/>
      <c r="AC28" s="391">
        <f>$E$28</f>
        <v>7250</v>
      </c>
      <c r="AD28" s="391"/>
      <c r="AE28" s="391">
        <f>$E$28</f>
        <v>7250</v>
      </c>
      <c r="AF28" s="391"/>
      <c r="AG28" s="391">
        <f>$E$28</f>
        <v>7250</v>
      </c>
    </row>
    <row r="29" spans="1:34" ht="13.8">
      <c r="A29" s="606" t="s">
        <v>2030</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3.8">
      <c r="A30" s="606" t="s">
        <v>1128</v>
      </c>
      <c r="B30" s="380"/>
      <c r="C30" s="411">
        <v>1.02</v>
      </c>
      <c r="D30" s="380"/>
      <c r="E30" s="391">
        <f>Application!AC855</f>
        <v>5000</v>
      </c>
      <c r="F30" s="391"/>
      <c r="G30" s="391">
        <f>E30*$C$30</f>
        <v>5100</v>
      </c>
      <c r="H30" s="391"/>
      <c r="I30" s="391">
        <f>G30*$C$30</f>
        <v>5202</v>
      </c>
      <c r="J30" s="391"/>
      <c r="K30" s="391">
        <f>I30*$C$30</f>
        <v>5306.04</v>
      </c>
      <c r="L30" s="391"/>
      <c r="M30" s="391">
        <f>K30*$C$30</f>
        <v>5412.1607999999997</v>
      </c>
      <c r="N30" s="391"/>
      <c r="O30" s="391">
        <f>M30*$C$30</f>
        <v>5520.4040159999995</v>
      </c>
      <c r="P30" s="391"/>
      <c r="Q30" s="391">
        <f>O30*$C$30</f>
        <v>5630.8120963199999</v>
      </c>
      <c r="R30" s="391"/>
      <c r="S30" s="391">
        <f>Q30*$C$30</f>
        <v>5743.4283382464</v>
      </c>
      <c r="T30" s="391"/>
      <c r="U30" s="391">
        <f>S30*$C$30</f>
        <v>5858.2969050113279</v>
      </c>
      <c r="V30" s="391"/>
      <c r="W30" s="391">
        <f>U30*$C$30</f>
        <v>5975.4628431115543</v>
      </c>
      <c r="X30" s="391"/>
      <c r="Y30" s="391">
        <f>W30*$C$30</f>
        <v>6094.9720999737856</v>
      </c>
      <c r="Z30" s="391"/>
      <c r="AA30" s="391">
        <f>Y30*$C$30</f>
        <v>6216.8715419732616</v>
      </c>
      <c r="AB30" s="391"/>
      <c r="AC30" s="391">
        <f>AA30*$C$30</f>
        <v>6341.2089728127266</v>
      </c>
      <c r="AD30" s="391"/>
      <c r="AE30" s="391">
        <f>AC30*$C$30</f>
        <v>6468.0331522689812</v>
      </c>
      <c r="AF30" s="391"/>
      <c r="AG30" s="391">
        <f>AE30*$C$30</f>
        <v>6597.3938153143608</v>
      </c>
    </row>
    <row r="31" spans="1:34" ht="13.8">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3.8">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3.8">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3.8">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3.8">
      <c r="A35" s="392" t="s">
        <v>158</v>
      </c>
      <c r="B35" s="392"/>
      <c r="C35" s="393"/>
      <c r="D35" s="392"/>
      <c r="E35" s="392">
        <f>SUM(E22:E33)</f>
        <v>191525</v>
      </c>
      <c r="F35" s="392"/>
      <c r="G35" s="392">
        <f>SUM(G22:G33)</f>
        <v>197899.625</v>
      </c>
      <c r="H35" s="392"/>
      <c r="I35" s="392">
        <f>SUM(I22:I33)</f>
        <v>204495.861875</v>
      </c>
      <c r="J35" s="392"/>
      <c r="K35" s="392">
        <f>SUM(K22:K33)</f>
        <v>211321.43704062497</v>
      </c>
      <c r="L35" s="392"/>
      <c r="M35" s="392">
        <f>SUM(M22:M33)</f>
        <v>218384.34673704684</v>
      </c>
      <c r="N35" s="392"/>
      <c r="O35" s="392">
        <f>SUM(O22:O33)</f>
        <v>225692.86646084345</v>
      </c>
      <c r="P35" s="392"/>
      <c r="Q35" s="392">
        <f>SUM(Q22:Q33)</f>
        <v>233255.56072673298</v>
      </c>
      <c r="R35" s="392"/>
      <c r="S35" s="392">
        <f>SUM(S22:S33)</f>
        <v>241081.2931707238</v>
      </c>
      <c r="T35" s="392"/>
      <c r="U35" s="392">
        <f>SUM(U22:U33)</f>
        <v>249179.23700662542</v>
      </c>
      <c r="V35" s="392"/>
      <c r="W35" s="392">
        <f>SUM(W22:W33)</f>
        <v>257558.88584828211</v>
      </c>
      <c r="X35" s="392"/>
      <c r="Y35" s="392">
        <f>SUM(Y22:Y33)</f>
        <v>266230.06491032528</v>
      </c>
      <c r="Z35" s="392"/>
      <c r="AA35" s="392">
        <f>SUM(AA22:AA33)</f>
        <v>275202.94260068703</v>
      </c>
      <c r="AB35" s="392"/>
      <c r="AC35" s="392">
        <f>SUM(AC22:AC33)</f>
        <v>284488.0425185815</v>
      </c>
      <c r="AD35" s="392"/>
      <c r="AE35" s="392">
        <f>SUM(AE22:AE33)</f>
        <v>294096.25587213959</v>
      </c>
      <c r="AF35" s="392"/>
      <c r="AG35" s="392">
        <f>SUM(AG22:AG33)</f>
        <v>304038.85433038045</v>
      </c>
    </row>
    <row r="36" spans="1:35" ht="13.8">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3.8">
      <c r="A37" s="392" t="s">
        <v>1129</v>
      </c>
      <c r="B37" s="392"/>
      <c r="C37" s="393"/>
      <c r="D37" s="392"/>
      <c r="E37" s="392">
        <f>E11-E35</f>
        <v>144357.95000000001</v>
      </c>
      <c r="F37" s="392"/>
      <c r="G37" s="392">
        <f>G11-G35</f>
        <v>146380.39874999999</v>
      </c>
      <c r="H37" s="392"/>
      <c r="I37" s="392">
        <f>I11-I35</f>
        <v>148391.16246875003</v>
      </c>
      <c r="J37" s="392"/>
      <c r="K37" s="392">
        <f>K11-K35</f>
        <v>150387.76291171875</v>
      </c>
      <c r="L37" s="392"/>
      <c r="M37" s="392">
        <f>M11-M35</f>
        <v>152367.58321410546</v>
      </c>
      <c r="N37" s="392"/>
      <c r="O37" s="392">
        <f>O11-O35</f>
        <v>154327.86173908759</v>
      </c>
      <c r="P37" s="392"/>
      <c r="Q37" s="392">
        <f>Q11-Q35</f>
        <v>156265.6856781964</v>
      </c>
      <c r="R37" s="392"/>
      <c r="S37" s="392">
        <f>S11-S35</f>
        <v>158177.98439432876</v>
      </c>
      <c r="T37" s="392"/>
      <c r="U37" s="392">
        <f>U11-U35</f>
        <v>160061.52249755341</v>
      </c>
      <c r="V37" s="392"/>
      <c r="W37" s="392">
        <f>W11-W35</f>
        <v>161912.89264350108</v>
      </c>
      <c r="X37" s="392"/>
      <c r="Y37" s="392">
        <f>Y11-Y35</f>
        <v>163728.50804375246</v>
      </c>
      <c r="Z37" s="392"/>
      <c r="AA37" s="392">
        <f>AA11-AA35</f>
        <v>165504.59467724263</v>
      </c>
      <c r="AB37" s="392"/>
      <c r="AC37" s="392">
        <f>AC11-AC35</f>
        <v>167237.18319129635</v>
      </c>
      <c r="AD37" s="392"/>
      <c r="AE37" s="392">
        <f>AE11-AE35</f>
        <v>168922.10048048518</v>
      </c>
      <c r="AF37" s="392"/>
      <c r="AG37" s="392">
        <f>AG11-AG35</f>
        <v>170554.9609310599</v>
      </c>
    </row>
    <row r="38" spans="1:35" ht="13.8">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3.8">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3.8">
      <c r="A40" s="394" t="str">
        <f>Application!C618</f>
        <v xml:space="preserve">Lument </v>
      </c>
      <c r="B40" s="395"/>
      <c r="C40" s="389"/>
      <c r="D40" s="380"/>
      <c r="E40" s="388">
        <f>Application!AF618</f>
        <v>120299</v>
      </c>
      <c r="F40" s="388"/>
      <c r="G40" s="388">
        <f>$E$40</f>
        <v>120299</v>
      </c>
      <c r="H40" s="388"/>
      <c r="I40" s="388">
        <f>$E$40</f>
        <v>120299</v>
      </c>
      <c r="J40" s="388"/>
      <c r="K40" s="388">
        <f>$E$40</f>
        <v>120299</v>
      </c>
      <c r="L40" s="388"/>
      <c r="M40" s="388">
        <f>$E$40</f>
        <v>120299</v>
      </c>
      <c r="N40" s="388"/>
      <c r="O40" s="388">
        <f>$E$40</f>
        <v>120299</v>
      </c>
      <c r="P40" s="388"/>
      <c r="Q40" s="388">
        <f>$E$40</f>
        <v>120299</v>
      </c>
      <c r="R40" s="388"/>
      <c r="S40" s="388">
        <f>$E$40</f>
        <v>120299</v>
      </c>
      <c r="T40" s="388"/>
      <c r="U40" s="388">
        <f>$E$40</f>
        <v>120299</v>
      </c>
      <c r="V40" s="388"/>
      <c r="W40" s="388">
        <f>$E$40</f>
        <v>120299</v>
      </c>
      <c r="X40" s="388"/>
      <c r="Y40" s="388">
        <f>$E$40</f>
        <v>120299</v>
      </c>
      <c r="Z40" s="388"/>
      <c r="AA40" s="388">
        <f>$E$40</f>
        <v>120299</v>
      </c>
      <c r="AB40" s="388"/>
      <c r="AC40" s="388">
        <f>$E$40</f>
        <v>120299</v>
      </c>
      <c r="AD40" s="388"/>
      <c r="AE40" s="388">
        <f>$E$40</f>
        <v>120299</v>
      </c>
      <c r="AF40" s="388"/>
      <c r="AG40" s="388">
        <f>$E$40</f>
        <v>120299</v>
      </c>
      <c r="AH40" s="380"/>
      <c r="AI40" s="380"/>
    </row>
    <row r="41" spans="1:35" ht="13.8">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3.8">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3.8">
      <c r="A43" s="392" t="s">
        <v>1131</v>
      </c>
      <c r="B43" s="392"/>
      <c r="C43" s="393"/>
      <c r="D43" s="392"/>
      <c r="E43" s="392">
        <f>SUM(E40:E42)</f>
        <v>120299</v>
      </c>
      <c r="F43" s="392"/>
      <c r="G43" s="392">
        <f>SUM(G40:G42)</f>
        <v>120299</v>
      </c>
      <c r="H43" s="392"/>
      <c r="I43" s="392">
        <f>SUM(I40:I42)</f>
        <v>120299</v>
      </c>
      <c r="J43" s="392"/>
      <c r="K43" s="392">
        <f>SUM(K40:K42)</f>
        <v>120299</v>
      </c>
      <c r="L43" s="392"/>
      <c r="M43" s="392">
        <f>SUM(M40:M42)</f>
        <v>120299</v>
      </c>
      <c r="N43" s="392"/>
      <c r="O43" s="392">
        <f>SUM(O40:O42)</f>
        <v>120299</v>
      </c>
      <c r="P43" s="392"/>
      <c r="Q43" s="392">
        <f>SUM(Q40:Q42)</f>
        <v>120299</v>
      </c>
      <c r="R43" s="392"/>
      <c r="S43" s="392">
        <f>SUM(S40:S42)</f>
        <v>120299</v>
      </c>
      <c r="T43" s="392"/>
      <c r="U43" s="392">
        <f>SUM(U40:U42)</f>
        <v>120299</v>
      </c>
      <c r="V43" s="392"/>
      <c r="W43" s="392">
        <f>SUM(W40:W42)</f>
        <v>120299</v>
      </c>
      <c r="X43" s="392"/>
      <c r="Y43" s="392">
        <f>SUM(Y40:Y42)</f>
        <v>120299</v>
      </c>
      <c r="Z43" s="392"/>
      <c r="AA43" s="392">
        <f>SUM(AA40:AA42)</f>
        <v>120299</v>
      </c>
      <c r="AB43" s="392"/>
      <c r="AC43" s="392">
        <f>SUM(AC40:AC42)</f>
        <v>120299</v>
      </c>
      <c r="AD43" s="392"/>
      <c r="AE43" s="392">
        <f>SUM(AE40:AE42)</f>
        <v>120299</v>
      </c>
      <c r="AF43" s="392"/>
      <c r="AG43" s="392">
        <f>SUM(AG40:AG42)</f>
        <v>120299</v>
      </c>
      <c r="AH43" s="392"/>
      <c r="AI43" s="392"/>
    </row>
    <row r="44" spans="1:35" ht="13.8">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3.8">
      <c r="A45" s="392" t="s">
        <v>1132</v>
      </c>
      <c r="B45" s="392"/>
      <c r="C45" s="393"/>
      <c r="D45" s="392"/>
      <c r="E45" s="392">
        <f>E37-E43</f>
        <v>24058.950000000012</v>
      </c>
      <c r="F45" s="392"/>
      <c r="G45" s="392">
        <f>G37-G43</f>
        <v>26081.398749999993</v>
      </c>
      <c r="H45" s="392"/>
      <c r="I45" s="392">
        <f>I37-I43</f>
        <v>28092.16246875003</v>
      </c>
      <c r="J45" s="392"/>
      <c r="K45" s="392">
        <f>K37-K43</f>
        <v>30088.762911718746</v>
      </c>
      <c r="L45" s="392"/>
      <c r="M45" s="392">
        <f>M37-M43</f>
        <v>32068.583214105456</v>
      </c>
      <c r="N45" s="392"/>
      <c r="O45" s="392">
        <f>O37-O43</f>
        <v>34028.861739087588</v>
      </c>
      <c r="P45" s="392"/>
      <c r="Q45" s="392">
        <f>Q37-Q43</f>
        <v>35966.685678196402</v>
      </c>
      <c r="R45" s="392"/>
      <c r="S45" s="392">
        <f>S37-S43</f>
        <v>37878.984394328756</v>
      </c>
      <c r="T45" s="392"/>
      <c r="U45" s="392">
        <f>U37-U43</f>
        <v>39762.522497553407</v>
      </c>
      <c r="V45" s="392"/>
      <c r="W45" s="392">
        <f>W37-W43</f>
        <v>41613.89264350108</v>
      </c>
      <c r="X45" s="392"/>
      <c r="Y45" s="392">
        <f>Y37-Y43</f>
        <v>43429.508043752459</v>
      </c>
      <c r="Z45" s="392"/>
      <c r="AA45" s="392">
        <f>AA37-AA43</f>
        <v>45205.594677242625</v>
      </c>
      <c r="AB45" s="392"/>
      <c r="AC45" s="392">
        <f>AC37-AC43</f>
        <v>46938.183191296353</v>
      </c>
      <c r="AD45" s="392"/>
      <c r="AE45" s="392">
        <f>AE37-AE43</f>
        <v>48623.100480485184</v>
      </c>
      <c r="AF45" s="392"/>
      <c r="AG45" s="392">
        <f>AG37-AG43</f>
        <v>50255.960931059904</v>
      </c>
      <c r="AH45" s="392"/>
      <c r="AI45" s="392"/>
    </row>
    <row r="46" spans="1:35" ht="13.8">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3.8">
      <c r="A47" s="396" t="s">
        <v>1133</v>
      </c>
      <c r="B47" s="396"/>
      <c r="C47" s="389"/>
      <c r="D47" s="396"/>
      <c r="E47" s="396">
        <f>E45/(E4+E6+E8)</f>
        <v>6.8047522209746011E-2</v>
      </c>
      <c r="F47" s="396"/>
      <c r="G47" s="396">
        <f>G45/(G4+G6+G8)</f>
        <v>7.1968534632413442E-2</v>
      </c>
      <c r="H47" s="396"/>
      <c r="I47" s="396">
        <f>I45/(I4+I6+I8)</f>
        <v>7.5626340738774153E-2</v>
      </c>
      <c r="J47" s="396"/>
      <c r="K47" s="396">
        <f>K45/(K4+K6+K8)</f>
        <v>7.9025705649452327E-2</v>
      </c>
      <c r="L47" s="396"/>
      <c r="M47" s="396">
        <f>M45/(M4+M6+M8)</f>
        <v>8.2171262216798338E-2</v>
      </c>
      <c r="N47" s="396"/>
      <c r="O47" s="396">
        <f>O45/(O4+O6+O8)</f>
        <v>8.5067514093930083E-2</v>
      </c>
      <c r="P47" s="396"/>
      <c r="Q47" s="396">
        <f>Q45/(Q4+Q6+Q8)</f>
        <v>8.7718838727391654E-2</v>
      </c>
      <c r="R47" s="396"/>
      <c r="S47" s="396">
        <f>S45/(S4+S6+S8)</f>
        <v>9.0129490275273977E-2</v>
      </c>
      <c r="T47" s="396"/>
      <c r="U47" s="396">
        <f>U45/(U4+U6+U8)</f>
        <v>9.2303602452604716E-2</v>
      </c>
      <c r="V47" s="396"/>
      <c r="W47" s="396">
        <f>W45/(W4+W6+W8)</f>
        <v>9.4245191305761269E-2</v>
      </c>
      <c r="X47" s="396"/>
      <c r="Y47" s="396">
        <f>Y45/(Y4+Y6+Y8)</f>
        <v>9.5958157917626741E-2</v>
      </c>
      <c r="Z47" s="396"/>
      <c r="AA47" s="396">
        <f>AA45/(AA4+AA6+AA8)</f>
        <v>9.7446291045159228E-2</v>
      </c>
      <c r="AB47" s="396"/>
      <c r="AC47" s="396">
        <f>AC45/(AC4+AC6+AC8)</f>
        <v>9.8713269691010005E-2</v>
      </c>
      <c r="AD47" s="396"/>
      <c r="AE47" s="396">
        <f>AE45/(AE4+AE6+AE8)</f>
        <v>9.9762665610782258E-2</v>
      </c>
      <c r="AF47" s="396"/>
      <c r="AG47" s="396">
        <f>AG45/(AG4+AG6+AG8)</f>
        <v>0.10059794575748221</v>
      </c>
      <c r="AH47" s="396"/>
      <c r="AI47" s="396"/>
    </row>
    <row r="48" spans="1:35" ht="13.8">
      <c r="A48" s="396" t="s">
        <v>1134</v>
      </c>
      <c r="B48" s="396"/>
      <c r="C48" s="389"/>
      <c r="D48" s="396"/>
      <c r="E48" s="396">
        <f>E45/E43</f>
        <v>0.19999293427210543</v>
      </c>
      <c r="F48" s="396"/>
      <c r="G48" s="396">
        <f>G45/G43</f>
        <v>0.21680478432904673</v>
      </c>
      <c r="H48" s="396"/>
      <c r="I48" s="396">
        <f>I45/I43</f>
        <v>0.2335195011492201</v>
      </c>
      <c r="J48" s="396"/>
      <c r="K48" s="396">
        <f>K45/K43</f>
        <v>0.25011648402496067</v>
      </c>
      <c r="L48" s="396"/>
      <c r="M48" s="396">
        <f>M45/M43</f>
        <v>0.26657397995083465</v>
      </c>
      <c r="N48" s="396"/>
      <c r="O48" s="396">
        <f>O45/O43</f>
        <v>0.28286903248645118</v>
      </c>
      <c r="P48" s="396"/>
      <c r="Q48" s="396">
        <f>Q45/Q43</f>
        <v>0.29897742855881099</v>
      </c>
      <c r="R48" s="396"/>
      <c r="S48" s="396">
        <f>S45/S43</f>
        <v>0.31487364312528582</v>
      </c>
      <c r="T48" s="396"/>
      <c r="U48" s="396">
        <f>U45/U43</f>
        <v>0.33053078161541999</v>
      </c>
      <c r="V48" s="396"/>
      <c r="W48" s="396">
        <f>W45/W43</f>
        <v>0.34592052006667617</v>
      </c>
      <c r="X48" s="396"/>
      <c r="Y48" s="396">
        <f>Y45/Y43</f>
        <v>0.36101304286612906</v>
      </c>
      <c r="Z48" s="396"/>
      <c r="AA48" s="396">
        <f>AA45/AA43</f>
        <v>0.37577697800682153</v>
      </c>
      <c r="AB48" s="396"/>
      <c r="AC48" s="396">
        <f>AC45/AC43</f>
        <v>0.3901793297641406</v>
      </c>
      <c r="AD48" s="396"/>
      <c r="AE48" s="396">
        <f>AE45/AE43</f>
        <v>0.40418540869404718</v>
      </c>
      <c r="AF48" s="396"/>
      <c r="AG48" s="396">
        <f>AG45/AG43</f>
        <v>0.41775875885136121</v>
      </c>
      <c r="AH48" s="396"/>
      <c r="AI48" s="396"/>
    </row>
    <row r="49" spans="1:35" ht="13.8">
      <c r="A49" s="397" t="s">
        <v>1135</v>
      </c>
      <c r="B49" s="397"/>
      <c r="C49" s="398"/>
      <c r="D49" s="397"/>
      <c r="E49" s="397">
        <f>E37/E43</f>
        <v>1.1999929342721054</v>
      </c>
      <c r="F49" s="397"/>
      <c r="G49" s="397">
        <f>G37/G43</f>
        <v>1.2168047843290468</v>
      </c>
      <c r="H49" s="397"/>
      <c r="I49" s="397">
        <f>I37/I43</f>
        <v>1.2335195011492202</v>
      </c>
      <c r="J49" s="397"/>
      <c r="K49" s="397">
        <f>K37/K43</f>
        <v>1.2501164840249608</v>
      </c>
      <c r="L49" s="397"/>
      <c r="M49" s="397">
        <f>M37/M43</f>
        <v>1.2665739799508346</v>
      </c>
      <c r="N49" s="397"/>
      <c r="O49" s="397">
        <f>O37/O43</f>
        <v>1.2828690324864511</v>
      </c>
      <c r="P49" s="397"/>
      <c r="Q49" s="397">
        <f>Q37/Q43</f>
        <v>1.2989774285588109</v>
      </c>
      <c r="R49" s="397"/>
      <c r="S49" s="397">
        <f>S37/S43</f>
        <v>1.3148736431252859</v>
      </c>
      <c r="T49" s="397"/>
      <c r="U49" s="397">
        <f>U37/U43</f>
        <v>1.3305307816154199</v>
      </c>
      <c r="V49" s="397"/>
      <c r="W49" s="397">
        <f>W37/W43</f>
        <v>1.3459205200666762</v>
      </c>
      <c r="X49" s="397"/>
      <c r="Y49" s="397">
        <f>Y37/Y43</f>
        <v>1.3610130428661291</v>
      </c>
      <c r="Z49" s="397"/>
      <c r="AA49" s="397">
        <f>AA37/AA43</f>
        <v>1.3757769780068216</v>
      </c>
      <c r="AB49" s="397"/>
      <c r="AC49" s="397">
        <f>AC37/AC43</f>
        <v>1.3901793297641407</v>
      </c>
      <c r="AD49" s="397"/>
      <c r="AE49" s="397">
        <f>AE37/AE43</f>
        <v>1.4041854086940473</v>
      </c>
      <c r="AF49" s="397"/>
      <c r="AG49" s="397">
        <f>AG37/AG43</f>
        <v>1.4177587588513612</v>
      </c>
      <c r="AH49" s="397"/>
      <c r="AI49" s="397"/>
    </row>
    <row r="50" spans="1:35" ht="13.8">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1138</v>
      </c>
      <c r="B54" s="365"/>
      <c r="C54" s="413"/>
      <c r="D54" s="365"/>
      <c r="E54" s="406">
        <v>5000</v>
      </c>
      <c r="F54" s="384"/>
      <c r="G54" s="825">
        <f>E54*1.03</f>
        <v>5150</v>
      </c>
      <c r="H54" s="825"/>
      <c r="I54" s="825">
        <f>G54*1.03</f>
        <v>5304.5</v>
      </c>
      <c r="J54" s="825"/>
      <c r="K54" s="825">
        <f>I54*1.03</f>
        <v>5463.6350000000002</v>
      </c>
      <c r="L54" s="825"/>
      <c r="M54" s="825">
        <f>K54*1.03</f>
        <v>5627.5440500000004</v>
      </c>
      <c r="N54" s="825"/>
      <c r="O54" s="825">
        <f>M54*1.03</f>
        <v>5796.3703715000001</v>
      </c>
      <c r="P54" s="825"/>
      <c r="Q54" s="825">
        <f>O54*1.03</f>
        <v>5970.2614826449999</v>
      </c>
      <c r="R54" s="825"/>
      <c r="S54" s="825">
        <f>Q54*1.03</f>
        <v>6149.3693271243501</v>
      </c>
      <c r="T54" s="825"/>
      <c r="U54" s="825">
        <f>S54*1.03</f>
        <v>6333.8504069380806</v>
      </c>
      <c r="V54" s="825"/>
      <c r="W54" s="825">
        <f>U54*1.03</f>
        <v>6523.865919146223</v>
      </c>
      <c r="X54" s="825"/>
      <c r="Y54" s="825">
        <f>W54*1.03</f>
        <v>6719.5818967206096</v>
      </c>
      <c r="Z54" s="825"/>
      <c r="AA54" s="825">
        <f>Y54*1.03</f>
        <v>6921.1693536222283</v>
      </c>
      <c r="AB54" s="825"/>
      <c r="AC54" s="825">
        <f>AA54*1.03</f>
        <v>7128.8044342308949</v>
      </c>
      <c r="AD54" s="825"/>
      <c r="AE54" s="825">
        <f>AC54*1.03</f>
        <v>7342.6685672578224</v>
      </c>
      <c r="AF54" s="825"/>
      <c r="AG54" s="825">
        <f>AE54*1.03</f>
        <v>7562.9486242755574</v>
      </c>
      <c r="AH54" s="384"/>
      <c r="AI54" s="384"/>
    </row>
    <row r="55" spans="1:35">
      <c r="A55" s="365" t="s">
        <v>1139</v>
      </c>
      <c r="B55" s="365"/>
      <c r="C55" s="413"/>
      <c r="D55" s="365"/>
      <c r="E55" s="406"/>
      <c r="F55" s="384"/>
      <c r="G55" s="825">
        <f t="shared" ref="G55:AG57" si="14">E55*$C$53</f>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5000</v>
      </c>
      <c r="F58" s="384"/>
      <c r="G58" s="384">
        <f>SUM(G53:G57)</f>
        <v>5150</v>
      </c>
      <c r="H58" s="384"/>
      <c r="I58" s="384">
        <f>SUM(I53:I57)</f>
        <v>5304.5</v>
      </c>
      <c r="J58" s="384"/>
      <c r="K58" s="384">
        <f>SUM(K53:K57)</f>
        <v>5463.6350000000002</v>
      </c>
      <c r="L58" s="384"/>
      <c r="M58" s="384">
        <f>SUM(M53:M57)</f>
        <v>5627.5440500000004</v>
      </c>
      <c r="N58" s="384"/>
      <c r="O58" s="384">
        <f>SUM(O53:O57)</f>
        <v>5796.3703715000001</v>
      </c>
      <c r="P58" s="384"/>
      <c r="Q58" s="384">
        <f>SUM(Q53:Q57)</f>
        <v>5970.2614826449999</v>
      </c>
      <c r="R58" s="384"/>
      <c r="S58" s="384">
        <f>SUM(S53:S57)</f>
        <v>6149.3693271243501</v>
      </c>
      <c r="T58" s="384"/>
      <c r="U58" s="384">
        <f>SUM(U53:U57)</f>
        <v>6333.8504069380806</v>
      </c>
      <c r="V58" s="384"/>
      <c r="W58" s="384">
        <f>SUM(W53:W57)</f>
        <v>6523.865919146223</v>
      </c>
      <c r="X58" s="384"/>
      <c r="Y58" s="384">
        <f>SUM(Y53:Y57)</f>
        <v>6719.5818967206096</v>
      </c>
      <c r="Z58" s="384"/>
      <c r="AA58" s="384">
        <f>SUM(AA53:AA57)</f>
        <v>6921.1693536222283</v>
      </c>
      <c r="AB58" s="384"/>
      <c r="AC58" s="384">
        <f>SUM(AC53:AC57)</f>
        <v>7128.8044342308949</v>
      </c>
      <c r="AD58" s="384"/>
      <c r="AE58" s="384">
        <f>SUM(AE53:AE57)</f>
        <v>7342.6685672578224</v>
      </c>
      <c r="AF58" s="384"/>
      <c r="AG58" s="384">
        <f>SUM(AG53:AG57)</f>
        <v>7562.9486242755574</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19058.950000000012</v>
      </c>
      <c r="F60" s="378"/>
      <c r="G60" s="378">
        <f>G45-G58</f>
        <v>20931.398749999993</v>
      </c>
      <c r="H60" s="378"/>
      <c r="I60" s="378">
        <f>I45-I58</f>
        <v>22787.66246875003</v>
      </c>
      <c r="J60" s="378"/>
      <c r="K60" s="378">
        <f>K45-K58</f>
        <v>24625.127911718744</v>
      </c>
      <c r="L60" s="378"/>
      <c r="M60" s="378">
        <f>M45-M58</f>
        <v>26441.039164105456</v>
      </c>
      <c r="N60" s="378"/>
      <c r="O60" s="378">
        <f>O45-O58</f>
        <v>28232.491367587587</v>
      </c>
      <c r="P60" s="378"/>
      <c r="Q60" s="378">
        <f>Q45-Q58</f>
        <v>29996.424195551401</v>
      </c>
      <c r="R60" s="378"/>
      <c r="S60" s="378">
        <f>S45-S58</f>
        <v>31729.615067204406</v>
      </c>
      <c r="T60" s="378"/>
      <c r="U60" s="378">
        <f>U45-U58</f>
        <v>33428.672090615328</v>
      </c>
      <c r="V60" s="378"/>
      <c r="W60" s="378">
        <f>W45-W58</f>
        <v>35090.026724354859</v>
      </c>
      <c r="X60" s="378"/>
      <c r="Y60" s="378">
        <f>Y45-Y58</f>
        <v>36709.926147031852</v>
      </c>
      <c r="Z60" s="378"/>
      <c r="AA60" s="378">
        <f>AA45-AA58</f>
        <v>38284.425323620395</v>
      </c>
      <c r="AB60" s="378"/>
      <c r="AC60" s="378">
        <f>AC45-AC58</f>
        <v>39809.37875706546</v>
      </c>
      <c r="AD60" s="378"/>
      <c r="AE60" s="378">
        <f>AE45-AE58</f>
        <v>41280.431913227359</v>
      </c>
      <c r="AF60" s="378"/>
      <c r="AG60" s="378">
        <f>AG45-AG58</f>
        <v>42693.012306784345</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f>E60</f>
        <v>19058.950000000012</v>
      </c>
      <c r="F62" s="378"/>
      <c r="G62" s="378">
        <f>G60</f>
        <v>20931.398749999993</v>
      </c>
      <c r="H62" s="378"/>
      <c r="I62" s="378">
        <f>I60</f>
        <v>22787.66246875003</v>
      </c>
      <c r="J62" s="378"/>
      <c r="K62" s="378">
        <f>K60</f>
        <v>24625.127911718744</v>
      </c>
      <c r="L62" s="378"/>
      <c r="M62" s="378">
        <f>M60</f>
        <v>26441.039164105456</v>
      </c>
      <c r="N62" s="378"/>
      <c r="O62" s="378">
        <f>O60</f>
        <v>28232.491367587587</v>
      </c>
      <c r="P62" s="378"/>
      <c r="Q62" s="378">
        <f>Q60</f>
        <v>29996.424195551401</v>
      </c>
      <c r="R62" s="378"/>
      <c r="S62" s="378">
        <f>S60</f>
        <v>31729.615067204406</v>
      </c>
      <c r="T62" s="378"/>
      <c r="U62" s="378">
        <f>U60</f>
        <v>33428.672090615328</v>
      </c>
      <c r="V62" s="378"/>
      <c r="W62" s="378">
        <f>W60</f>
        <v>35090.026724354859</v>
      </c>
      <c r="X62" s="378"/>
      <c r="Y62" s="378">
        <f>Y60</f>
        <v>36709.926147031852</v>
      </c>
      <c r="Z62" s="378"/>
      <c r="AA62" s="378">
        <f>AA60</f>
        <v>38284.425323620395</v>
      </c>
      <c r="AB62" s="378"/>
      <c r="AC62" s="378">
        <f>AC60</f>
        <v>39809.37875706546</v>
      </c>
      <c r="AD62" s="378"/>
      <c r="AE62" s="378">
        <f>AE60</f>
        <v>41280.431913227359</v>
      </c>
      <c r="AF62" s="378"/>
      <c r="AG62" s="378">
        <f>AG60</f>
        <v>42693.012306784345</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2032</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0</v>
      </c>
      <c r="X72" s="384"/>
      <c r="Y72" s="378">
        <f>Y60-Y62-Y70</f>
        <v>0</v>
      </c>
      <c r="Z72" s="384"/>
      <c r="AA72" s="378">
        <f>AA60-AA62-AA70</f>
        <v>0</v>
      </c>
      <c r="AB72" s="384"/>
      <c r="AC72" s="378">
        <f>AC60-AC62-AC70</f>
        <v>0</v>
      </c>
      <c r="AD72" s="384"/>
      <c r="AE72" s="378">
        <f>AE60-AE62-AE70</f>
        <v>0</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7" t="s">
        <v>1144</v>
      </c>
      <c r="B77" s="1937"/>
      <c r="C77" s="1937"/>
      <c r="D77" s="1937"/>
      <c r="E77" s="1937"/>
      <c r="F77" s="1937"/>
      <c r="G77" s="1937"/>
      <c r="H77" s="1937"/>
      <c r="I77" s="1937"/>
      <c r="J77" s="1937"/>
      <c r="K77" s="1937"/>
      <c r="L77" s="1937"/>
      <c r="M77" s="1937"/>
      <c r="N77" s="1937"/>
      <c r="O77" s="1937"/>
      <c r="P77" s="1937"/>
      <c r="Q77" s="1937"/>
      <c r="R77" s="1937"/>
      <c r="S77" s="1937"/>
      <c r="T77" s="1937"/>
      <c r="U77" s="1937"/>
      <c r="V77" s="1937"/>
      <c r="W77" s="1937"/>
      <c r="X77" s="1937"/>
      <c r="Y77" s="1937"/>
      <c r="Z77" s="1937"/>
      <c r="AA77" s="1937"/>
      <c r="AB77" s="1937"/>
      <c r="AC77" s="1937"/>
      <c r="AD77" s="1937"/>
      <c r="AE77" s="1937"/>
      <c r="AF77" s="1937"/>
      <c r="AG77" s="1937"/>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38" t="s">
        <v>1216</v>
      </c>
      <c r="B1" s="1938"/>
      <c r="C1" s="1938"/>
      <c r="D1" s="1938"/>
      <c r="E1" s="1938"/>
      <c r="F1" s="1938"/>
      <c r="G1" s="1938"/>
      <c r="H1" s="1938"/>
      <c r="I1" s="1938"/>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1 Bedroom</v>
      </c>
      <c r="B4" s="951">
        <f>Application!$G692</f>
        <v>1</v>
      </c>
      <c r="C4" s="609">
        <f>Application!$O692</f>
        <v>512</v>
      </c>
      <c r="D4" s="610"/>
      <c r="E4" s="949"/>
      <c r="F4" s="609">
        <f>$E4*$B4</f>
        <v>0</v>
      </c>
      <c r="G4" s="610"/>
      <c r="H4" s="609">
        <f>IF($E4=0,0,MAX($E4-$C4,0))</f>
        <v>0</v>
      </c>
      <c r="I4" s="609">
        <f>IF($H4=0,0,($H4*$B4))</f>
        <v>0</v>
      </c>
    </row>
    <row r="5" spans="1:9">
      <c r="A5" s="609" t="str">
        <f>Application!$B693</f>
        <v>1 Bedroom</v>
      </c>
      <c r="B5" s="950">
        <f>Application!$G693</f>
        <v>2</v>
      </c>
      <c r="C5" s="609">
        <f>Application!$O693</f>
        <v>713</v>
      </c>
      <c r="D5" s="610"/>
      <c r="E5" s="949"/>
      <c r="F5" s="609">
        <f t="shared" ref="F5:F28" si="0">$E5*$B5</f>
        <v>0</v>
      </c>
      <c r="G5" s="610"/>
      <c r="H5" s="609">
        <f t="shared" ref="H5:H28" si="1">IF($E5=0,0,MAX($E5-$C5,0))</f>
        <v>0</v>
      </c>
      <c r="I5" s="609">
        <f t="shared" ref="I5:I28" si="2">IF($H5=0,0,($H5*$B5))</f>
        <v>0</v>
      </c>
    </row>
    <row r="6" spans="1:9">
      <c r="A6" s="609" t="str">
        <f>Application!$B694</f>
        <v>1 Bedroom</v>
      </c>
      <c r="B6" s="950">
        <f>Application!$G694</f>
        <v>5</v>
      </c>
      <c r="C6" s="609">
        <f>Application!$O694</f>
        <v>914</v>
      </c>
      <c r="D6" s="610"/>
      <c r="E6" s="949"/>
      <c r="F6" s="609">
        <f t="shared" si="0"/>
        <v>0</v>
      </c>
      <c r="G6" s="610"/>
      <c r="H6" s="609">
        <f t="shared" si="1"/>
        <v>0</v>
      </c>
      <c r="I6" s="609">
        <f t="shared" si="2"/>
        <v>0</v>
      </c>
    </row>
    <row r="7" spans="1:9">
      <c r="A7" s="609" t="str">
        <f>Application!$B695</f>
        <v>1 Bedroom</v>
      </c>
      <c r="B7" s="950">
        <f>Application!$G695</f>
        <v>4</v>
      </c>
      <c r="C7" s="609">
        <f>Application!$O695</f>
        <v>1115</v>
      </c>
      <c r="D7" s="610"/>
      <c r="E7" s="949"/>
      <c r="F7" s="609">
        <f t="shared" si="0"/>
        <v>0</v>
      </c>
      <c r="G7" s="610"/>
      <c r="H7" s="609">
        <f t="shared" si="1"/>
        <v>0</v>
      </c>
      <c r="I7" s="609">
        <f t="shared" si="2"/>
        <v>0</v>
      </c>
    </row>
    <row r="8" spans="1:9">
      <c r="A8" s="609" t="str">
        <f>Application!$B696</f>
        <v>2 Bedrooms</v>
      </c>
      <c r="B8" s="950">
        <f>Application!$G696</f>
        <v>1</v>
      </c>
      <c r="C8" s="609">
        <f>Application!$O696</f>
        <v>609</v>
      </c>
      <c r="D8" s="610"/>
      <c r="E8" s="949"/>
      <c r="F8" s="609">
        <f t="shared" si="0"/>
        <v>0</v>
      </c>
      <c r="G8" s="610"/>
      <c r="H8" s="609">
        <f t="shared" si="1"/>
        <v>0</v>
      </c>
      <c r="I8" s="609">
        <f t="shared" si="2"/>
        <v>0</v>
      </c>
    </row>
    <row r="9" spans="1:9">
      <c r="A9" s="609" t="str">
        <f>Application!$B697</f>
        <v>2 Bedrooms</v>
      </c>
      <c r="B9" s="950">
        <f>Application!$G697</f>
        <v>1</v>
      </c>
      <c r="C9" s="609">
        <f>Application!$O697</f>
        <v>851</v>
      </c>
      <c r="D9" s="610"/>
      <c r="E9" s="949"/>
      <c r="F9" s="609">
        <f t="shared" si="0"/>
        <v>0</v>
      </c>
      <c r="G9" s="610"/>
      <c r="H9" s="609">
        <f t="shared" si="1"/>
        <v>0</v>
      </c>
      <c r="I9" s="609">
        <f t="shared" si="2"/>
        <v>0</v>
      </c>
    </row>
    <row r="10" spans="1:9">
      <c r="A10" s="609" t="str">
        <f>Application!$B698</f>
        <v>2 Bedrooms</v>
      </c>
      <c r="B10" s="950">
        <f>Application!$G698</f>
        <v>3</v>
      </c>
      <c r="C10" s="609">
        <f>Application!$O698</f>
        <v>1092</v>
      </c>
      <c r="D10" s="610"/>
      <c r="E10" s="949"/>
      <c r="F10" s="609">
        <f t="shared" si="0"/>
        <v>0</v>
      </c>
      <c r="G10" s="610"/>
      <c r="H10" s="609">
        <f t="shared" si="1"/>
        <v>0</v>
      </c>
      <c r="I10" s="609">
        <f t="shared" si="2"/>
        <v>0</v>
      </c>
    </row>
    <row r="11" spans="1:9">
      <c r="A11" s="609" t="str">
        <f>Application!$B699</f>
        <v>2 Bedrooms</v>
      </c>
      <c r="B11" s="950">
        <f>Application!$G699</f>
        <v>2</v>
      </c>
      <c r="C11" s="609">
        <f>Application!$O699</f>
        <v>1333</v>
      </c>
      <c r="D11" s="610"/>
      <c r="E11" s="949"/>
      <c r="F11" s="609">
        <f t="shared" si="0"/>
        <v>0</v>
      </c>
      <c r="G11" s="610"/>
      <c r="H11" s="609">
        <f t="shared" si="1"/>
        <v>0</v>
      </c>
      <c r="I11" s="609">
        <f t="shared" si="2"/>
        <v>0</v>
      </c>
    </row>
    <row r="12" spans="1:9">
      <c r="A12" s="609" t="str">
        <f>Application!$B700</f>
        <v>3 Bedrooms</v>
      </c>
      <c r="B12" s="950">
        <f>Application!$G700</f>
        <v>1</v>
      </c>
      <c r="C12" s="609">
        <f>Application!$O700</f>
        <v>697</v>
      </c>
      <c r="D12" s="610"/>
      <c r="E12" s="949"/>
      <c r="F12" s="609">
        <f t="shared" si="0"/>
        <v>0</v>
      </c>
      <c r="G12" s="610"/>
      <c r="H12" s="609">
        <f t="shared" si="1"/>
        <v>0</v>
      </c>
      <c r="I12" s="609">
        <f t="shared" si="2"/>
        <v>0</v>
      </c>
    </row>
    <row r="13" spans="1:9">
      <c r="A13" s="609" t="str">
        <f>Application!$B701</f>
        <v>3 Bedrooms</v>
      </c>
      <c r="B13" s="950">
        <f>Application!$G701</f>
        <v>2</v>
      </c>
      <c r="C13" s="609">
        <f>Application!$O701</f>
        <v>976</v>
      </c>
      <c r="D13" s="610"/>
      <c r="E13" s="949"/>
      <c r="F13" s="609">
        <f t="shared" si="0"/>
        <v>0</v>
      </c>
      <c r="G13" s="610"/>
      <c r="H13" s="609">
        <f t="shared" si="1"/>
        <v>0</v>
      </c>
      <c r="I13" s="609">
        <f t="shared" si="2"/>
        <v>0</v>
      </c>
    </row>
    <row r="14" spans="1:9">
      <c r="A14" s="609" t="str">
        <f>Application!$B702</f>
        <v>3 Bedrooms</v>
      </c>
      <c r="B14" s="950">
        <f>Application!$G702</f>
        <v>4</v>
      </c>
      <c r="C14" s="609">
        <f>Application!$O702</f>
        <v>1254</v>
      </c>
      <c r="D14" s="610"/>
      <c r="E14" s="949"/>
      <c r="F14" s="609">
        <f t="shared" si="0"/>
        <v>0</v>
      </c>
      <c r="G14" s="610"/>
      <c r="H14" s="609">
        <f t="shared" si="1"/>
        <v>0</v>
      </c>
      <c r="I14" s="609">
        <f t="shared" si="2"/>
        <v>0</v>
      </c>
    </row>
    <row r="15" spans="1:9">
      <c r="A15" s="609" t="str">
        <f>Application!$B703</f>
        <v>3 Bedrooms</v>
      </c>
      <c r="B15" s="950">
        <f>Application!$G703</f>
        <v>2</v>
      </c>
      <c r="C15" s="609">
        <f>Application!$O703</f>
        <v>1533</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1215</v>
      </c>
      <c r="B30" s="612"/>
      <c r="C30" s="613">
        <f>Application!$T$717*12</f>
        <v>349212</v>
      </c>
      <c r="D30" s="610"/>
      <c r="E30" s="610"/>
      <c r="F30" s="613">
        <f>SUM(F4:F28)*12</f>
        <v>0</v>
      </c>
      <c r="G30" s="614"/>
      <c r="H30" s="612"/>
      <c r="I30" s="613">
        <f>SUM(I4:I28)*12</f>
        <v>0</v>
      </c>
    </row>
    <row r="31" spans="1:9">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2241</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93" t="s">
        <v>1279</v>
      </c>
    </row>
    <row r="2" spans="1:1" ht="15.6">
      <c r="A2" s="491"/>
    </row>
    <row r="3" spans="1:1" ht="15.6">
      <c r="A3" s="492" t="s">
        <v>1274</v>
      </c>
    </row>
    <row r="4" spans="1:1" ht="15.6">
      <c r="A4" s="492" t="s">
        <v>1275</v>
      </c>
    </row>
    <row r="5" spans="1:1" ht="15.6">
      <c r="A5" s="492" t="s">
        <v>1276</v>
      </c>
    </row>
    <row r="6" spans="1:1" ht="15.6">
      <c r="A6" s="492" t="s">
        <v>1277</v>
      </c>
    </row>
    <row r="7" spans="1:1" ht="15.6">
      <c r="A7" s="492" t="s">
        <v>1278</v>
      </c>
    </row>
    <row r="8" spans="1:1" ht="15.6">
      <c r="A8" s="571" t="s">
        <v>1395</v>
      </c>
    </row>
    <row r="9" spans="1:1" ht="15.6">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7" t="s">
        <v>1145</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c r="AA1" s="1282"/>
      <c r="AB1" s="1282"/>
      <c r="AC1" s="1282"/>
      <c r="AD1" s="1282"/>
      <c r="AE1" s="1282"/>
      <c r="AF1" s="1282"/>
      <c r="AG1" s="1282"/>
      <c r="AH1" s="1282"/>
      <c r="AI1" s="1282"/>
      <c r="AJ1" s="1282"/>
      <c r="AK1" s="1282"/>
      <c r="AL1" s="1282"/>
      <c r="AM1" s="1282"/>
      <c r="AN1" s="1282"/>
    </row>
    <row r="2" spans="1:40" ht="12.9" customHeight="1" thickBot="1">
      <c r="A2" s="1283"/>
      <c r="B2" s="1283"/>
      <c r="C2" s="1283"/>
      <c r="D2" s="1283"/>
      <c r="E2" s="1283"/>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83"/>
      <c r="AF2" s="1283"/>
      <c r="AG2" s="1283"/>
      <c r="AH2" s="1283"/>
      <c r="AI2" s="1283"/>
      <c r="AJ2" s="1283"/>
      <c r="AK2" s="1283"/>
      <c r="AL2" s="1283"/>
      <c r="AM2" s="1283"/>
      <c r="AN2" s="1283"/>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687</v>
      </c>
      <c r="C5" s="3" t="s">
        <v>219</v>
      </c>
      <c r="F5" s="3"/>
    </row>
    <row r="6" spans="1:40" ht="12.9" customHeight="1">
      <c r="B6" s="90"/>
    </row>
    <row r="7" spans="1:40" ht="12.9" customHeight="1">
      <c r="B7" s="6"/>
      <c r="C7" s="7"/>
      <c r="D7" s="7"/>
      <c r="E7" s="7"/>
      <c r="F7" s="7"/>
      <c r="G7" s="7"/>
      <c r="H7" s="7"/>
      <c r="I7" s="7"/>
      <c r="J7" s="7"/>
      <c r="K7" s="7"/>
      <c r="L7" s="7"/>
      <c r="M7" s="7"/>
      <c r="N7" s="7"/>
      <c r="O7" s="7"/>
      <c r="P7" s="7"/>
      <c r="Q7" s="7"/>
      <c r="R7" s="7"/>
      <c r="S7" s="7"/>
      <c r="T7" s="1582" t="s">
        <v>1675</v>
      </c>
      <c r="U7" s="1582"/>
      <c r="V7" s="1582"/>
      <c r="W7" s="1582"/>
      <c r="X7" s="1582"/>
      <c r="Y7" s="1582" t="s">
        <v>1819</v>
      </c>
      <c r="Z7" s="1582"/>
      <c r="AA7" s="1582"/>
      <c r="AB7" s="1582"/>
      <c r="AC7" s="1582"/>
      <c r="AD7" s="1582" t="s">
        <v>1421</v>
      </c>
      <c r="AE7" s="1582"/>
      <c r="AF7" s="1582"/>
      <c r="AG7" s="1582"/>
      <c r="AH7" s="1582"/>
      <c r="AI7" s="1582" t="s">
        <v>1820</v>
      </c>
      <c r="AJ7" s="1582"/>
      <c r="AK7" s="1582"/>
      <c r="AL7" s="1582"/>
      <c r="AM7" s="1582"/>
    </row>
    <row r="8" spans="1:40" ht="12.9" customHeight="1">
      <c r="B8" s="204"/>
      <c r="T8" s="1582"/>
      <c r="U8" s="1582"/>
      <c r="V8" s="1582"/>
      <c r="W8" s="1582"/>
      <c r="X8" s="1582"/>
      <c r="Y8" s="1582"/>
      <c r="Z8" s="1582"/>
      <c r="AA8" s="1582"/>
      <c r="AB8" s="1582"/>
      <c r="AC8" s="1582"/>
      <c r="AD8" s="1582"/>
      <c r="AE8" s="1582"/>
      <c r="AF8" s="1582"/>
      <c r="AG8" s="1582"/>
      <c r="AH8" s="1582"/>
      <c r="AI8" s="1582"/>
      <c r="AJ8" s="1582"/>
      <c r="AK8" s="1582"/>
      <c r="AL8" s="1582"/>
      <c r="AM8" s="1582"/>
    </row>
    <row r="9" spans="1:40" ht="12.9" customHeight="1">
      <c r="B9" s="204"/>
      <c r="T9" s="1582"/>
      <c r="U9" s="1582"/>
      <c r="V9" s="1582"/>
      <c r="W9" s="1582"/>
      <c r="X9" s="1582"/>
      <c r="Y9" s="1582"/>
      <c r="Z9" s="1582"/>
      <c r="AA9" s="1582"/>
      <c r="AB9" s="1582"/>
      <c r="AC9" s="1582"/>
      <c r="AD9" s="1582"/>
      <c r="AE9" s="1582"/>
      <c r="AF9" s="1582"/>
      <c r="AG9" s="1582"/>
      <c r="AH9" s="1582"/>
      <c r="AI9" s="1582"/>
      <c r="AJ9" s="1582"/>
      <c r="AK9" s="1582"/>
      <c r="AL9" s="1582"/>
      <c r="AM9" s="1582"/>
    </row>
    <row r="10" spans="1:40" ht="12.9" customHeight="1">
      <c r="B10" s="53"/>
      <c r="C10" s="54"/>
      <c r="D10" s="54"/>
      <c r="E10" s="54"/>
      <c r="F10" s="54"/>
      <c r="G10" s="54"/>
      <c r="H10" s="54"/>
      <c r="I10" s="54"/>
      <c r="J10" s="54"/>
      <c r="K10" s="54"/>
      <c r="L10" s="54"/>
      <c r="M10" s="54"/>
      <c r="N10" s="54"/>
      <c r="O10" s="54"/>
      <c r="P10" s="54"/>
      <c r="Q10" s="54"/>
      <c r="R10" s="54"/>
      <c r="S10" s="54"/>
      <c r="T10" s="1582"/>
      <c r="U10" s="1582"/>
      <c r="V10" s="1582"/>
      <c r="W10" s="1582"/>
      <c r="X10" s="1582"/>
      <c r="Y10" s="1582"/>
      <c r="Z10" s="1582"/>
      <c r="AA10" s="1582"/>
      <c r="AB10" s="1582"/>
      <c r="AC10" s="1582"/>
      <c r="AD10" s="1582"/>
      <c r="AE10" s="1582"/>
      <c r="AF10" s="1582"/>
      <c r="AG10" s="1582"/>
      <c r="AH10" s="1582"/>
      <c r="AI10" s="1582"/>
      <c r="AJ10" s="1582"/>
      <c r="AK10" s="1582"/>
      <c r="AL10" s="1582"/>
      <c r="AM10" s="1582"/>
    </row>
    <row r="11" spans="1:40" ht="12.9" customHeight="1">
      <c r="B11" s="1089" t="s">
        <v>537</v>
      </c>
      <c r="C11" s="1090"/>
      <c r="D11" s="1090"/>
      <c r="E11" s="1090"/>
      <c r="F11" s="1090"/>
      <c r="G11" s="1090"/>
      <c r="H11" s="1090"/>
      <c r="I11" s="1090"/>
      <c r="J11" s="1090"/>
      <c r="K11" s="1090"/>
      <c r="L11" s="1090"/>
      <c r="M11" s="1090"/>
      <c r="N11" s="1090"/>
      <c r="O11" s="1090"/>
      <c r="P11" s="1090"/>
      <c r="Q11" s="1090"/>
      <c r="R11" s="1090"/>
      <c r="S11" s="1092"/>
      <c r="T11" s="1613">
        <f>IF('Sources and Basis Breakdown'!F105=0,'Sources and Basis Breakdown'!E105,'Sources and Basis Breakdown'!F105)</f>
        <v>12895105</v>
      </c>
      <c r="U11" s="1600"/>
      <c r="V11" s="1600"/>
      <c r="W11" s="1600"/>
      <c r="X11" s="1600"/>
      <c r="Y11" s="1599">
        <f>IF('Sources and Basis Breakdown'!G105+'Sources and Basis Breakdown'!F105='Sources and Basis Breakdown'!E105,'Sources and Basis Breakdown'!G105,0)</f>
        <v>0</v>
      </c>
      <c r="Z11" s="1600"/>
      <c r="AA11" s="1600"/>
      <c r="AB11" s="1600"/>
      <c r="AC11" s="1600"/>
      <c r="AD11" s="1600">
        <f>IF('Sources and Basis Breakdown'!I105=0,'Sources and Basis Breakdown'!H105,'Sources and Basis Breakdown'!I105)</f>
        <v>0</v>
      </c>
      <c r="AE11" s="1600"/>
      <c r="AF11" s="1600"/>
      <c r="AG11" s="1600"/>
      <c r="AH11" s="1600"/>
      <c r="AI11" s="1600">
        <f>IF('Sources and Basis Breakdown'!I105+'Sources and Basis Breakdown'!J105='Sources and Basis Breakdown'!H105,'Sources and Basis Breakdown'!J105,0)</f>
        <v>0</v>
      </c>
      <c r="AJ11" s="1600"/>
      <c r="AK11" s="1600"/>
      <c r="AL11" s="1600"/>
      <c r="AM11" s="1600"/>
    </row>
    <row r="12" spans="1:40" ht="12.9" customHeight="1">
      <c r="B12" s="1607" t="s">
        <v>474</v>
      </c>
      <c r="C12" s="1000"/>
      <c r="D12" s="1000"/>
      <c r="E12" s="1000"/>
      <c r="F12" s="1000"/>
      <c r="G12" s="1000"/>
      <c r="H12" s="1000"/>
      <c r="I12" s="1000"/>
      <c r="J12" s="1000"/>
      <c r="K12" s="1000"/>
      <c r="L12" s="1000"/>
      <c r="M12" s="1000"/>
      <c r="N12" s="1000"/>
      <c r="O12" s="1000"/>
      <c r="P12" s="1000"/>
      <c r="Q12" s="1000"/>
      <c r="R12" s="1000"/>
      <c r="S12" s="1608"/>
      <c r="T12" s="1602"/>
      <c r="U12" s="1603"/>
      <c r="V12" s="1603"/>
      <c r="W12" s="1603"/>
      <c r="X12" s="1604"/>
      <c r="Y12" s="1602"/>
      <c r="Z12" s="1603"/>
      <c r="AA12" s="1603"/>
      <c r="AB12" s="1603"/>
      <c r="AC12" s="1604"/>
      <c r="AD12" s="1602"/>
      <c r="AE12" s="1603"/>
      <c r="AF12" s="1603"/>
      <c r="AG12" s="1603"/>
      <c r="AH12" s="1604"/>
      <c r="AI12" s="1602"/>
      <c r="AJ12" s="1603"/>
      <c r="AK12" s="1603"/>
      <c r="AL12" s="1603"/>
      <c r="AM12" s="1604"/>
    </row>
    <row r="13" spans="1:40" ht="12.9" customHeight="1">
      <c r="B13" s="8"/>
      <c r="C13" s="1609" t="s">
        <v>1783</v>
      </c>
      <c r="D13" s="1610"/>
      <c r="E13" s="1610"/>
      <c r="F13" s="1610"/>
      <c r="G13" s="1610"/>
      <c r="H13" s="1610"/>
      <c r="I13" s="1610"/>
      <c r="J13" s="1610"/>
      <c r="K13" s="1610"/>
      <c r="L13" s="1610"/>
      <c r="M13" s="1610"/>
      <c r="N13" s="1610"/>
      <c r="O13" s="1610"/>
      <c r="P13" s="1610"/>
      <c r="Q13" s="1610"/>
      <c r="R13" s="1610"/>
      <c r="S13" s="1611"/>
      <c r="T13" s="1601">
        <f>'Basis &amp; Credits'!T13</f>
        <v>0</v>
      </c>
      <c r="U13" s="1598"/>
      <c r="V13" s="1598"/>
      <c r="W13" s="1598"/>
      <c r="X13" s="1598"/>
      <c r="Y13" s="1601">
        <f>'Basis &amp; Credits'!Y13</f>
        <v>0</v>
      </c>
      <c r="Z13" s="1598"/>
      <c r="AA13" s="1598"/>
      <c r="AB13" s="1598"/>
      <c r="AC13" s="1598"/>
      <c r="AD13" s="1598">
        <f>'Basis &amp; Credits'!AD13</f>
        <v>0</v>
      </c>
      <c r="AE13" s="1598"/>
      <c r="AF13" s="1598"/>
      <c r="AG13" s="1598"/>
      <c r="AH13" s="1598"/>
      <c r="AI13" s="1598">
        <f>'Basis &amp; Credits'!AI13</f>
        <v>0</v>
      </c>
      <c r="AJ13" s="1598"/>
      <c r="AK13" s="1598"/>
      <c r="AL13" s="1598"/>
      <c r="AM13" s="1598"/>
    </row>
    <row r="14" spans="1:40" ht="12.9" customHeight="1">
      <c r="B14" s="8"/>
      <c r="C14" s="1610" t="s">
        <v>803</v>
      </c>
      <c r="D14" s="1610"/>
      <c r="E14" s="1610"/>
      <c r="F14" s="1610"/>
      <c r="G14" s="1610"/>
      <c r="H14" s="1610"/>
      <c r="I14" s="1610"/>
      <c r="J14" s="1610"/>
      <c r="K14" s="1610"/>
      <c r="L14" s="1610"/>
      <c r="M14" s="1610"/>
      <c r="N14" s="1610"/>
      <c r="O14" s="1610"/>
      <c r="P14" s="1610"/>
      <c r="Q14" s="1610"/>
      <c r="R14" s="1610"/>
      <c r="S14" s="1611"/>
      <c r="T14" s="1060">
        <f>'Basis &amp; Credits'!T14</f>
        <v>0</v>
      </c>
      <c r="U14" s="1236"/>
      <c r="V14" s="1236"/>
      <c r="W14" s="1236"/>
      <c r="X14" s="1236"/>
      <c r="Y14" s="1060">
        <f>'Basis &amp; Credits'!Y14</f>
        <v>0</v>
      </c>
      <c r="Z14" s="1236"/>
      <c r="AA14" s="1236"/>
      <c r="AB14" s="1236"/>
      <c r="AC14" s="1236"/>
      <c r="AD14" s="1236">
        <f>'Basis &amp; Credits'!AD14</f>
        <v>0</v>
      </c>
      <c r="AE14" s="1236"/>
      <c r="AF14" s="1236"/>
      <c r="AG14" s="1236"/>
      <c r="AH14" s="1236"/>
      <c r="AI14" s="1236">
        <f>'Basis &amp; Credits'!AI14</f>
        <v>0</v>
      </c>
      <c r="AJ14" s="1236"/>
      <c r="AK14" s="1236"/>
      <c r="AL14" s="1236"/>
      <c r="AM14" s="1236"/>
    </row>
    <row r="15" spans="1:40" ht="12.9" customHeight="1">
      <c r="B15" s="8"/>
      <c r="C15" s="1610" t="s">
        <v>804</v>
      </c>
      <c r="D15" s="1610"/>
      <c r="E15" s="1610"/>
      <c r="F15" s="1610"/>
      <c r="G15" s="1610"/>
      <c r="H15" s="1610"/>
      <c r="I15" s="1610"/>
      <c r="J15" s="1610"/>
      <c r="K15" s="1610"/>
      <c r="L15" s="1610"/>
      <c r="M15" s="1610"/>
      <c r="N15" s="1610"/>
      <c r="O15" s="1610"/>
      <c r="P15" s="1610"/>
      <c r="Q15" s="1610"/>
      <c r="R15" s="1610"/>
      <c r="S15" s="1611"/>
      <c r="T15" s="1060">
        <f>'Basis &amp; Credits'!T15</f>
        <v>0</v>
      </c>
      <c r="U15" s="1236"/>
      <c r="V15" s="1236"/>
      <c r="W15" s="1236"/>
      <c r="X15" s="1236"/>
      <c r="Y15" s="1060">
        <f>'Basis &amp; Credits'!Y15</f>
        <v>0</v>
      </c>
      <c r="Z15" s="1236"/>
      <c r="AA15" s="1236"/>
      <c r="AB15" s="1236"/>
      <c r="AC15" s="1236"/>
      <c r="AD15" s="1236">
        <f>'Basis &amp; Credits'!AD15</f>
        <v>0</v>
      </c>
      <c r="AE15" s="1236"/>
      <c r="AF15" s="1236"/>
      <c r="AG15" s="1236"/>
      <c r="AH15" s="1236"/>
      <c r="AI15" s="1236">
        <f>'Basis &amp; Credits'!AI15</f>
        <v>0</v>
      </c>
      <c r="AJ15" s="1236"/>
      <c r="AK15" s="1236"/>
      <c r="AL15" s="1236"/>
      <c r="AM15" s="1236"/>
    </row>
    <row r="16" spans="1:40" ht="12.9" customHeight="1">
      <c r="B16" s="8"/>
      <c r="C16" s="1609" t="s">
        <v>1055</v>
      </c>
      <c r="D16" s="1609"/>
      <c r="E16" s="1609"/>
      <c r="F16" s="1609"/>
      <c r="G16" s="1609"/>
      <c r="H16" s="1609"/>
      <c r="I16" s="1609"/>
      <c r="J16" s="1609"/>
      <c r="K16" s="1609"/>
      <c r="L16" s="1609"/>
      <c r="M16" s="1609"/>
      <c r="N16" s="1609"/>
      <c r="O16" s="1609"/>
      <c r="P16" s="1609"/>
      <c r="Q16" s="1609"/>
      <c r="R16" s="1609"/>
      <c r="S16" s="1612"/>
      <c r="T16" s="1060">
        <f>'Basis &amp; Credits'!T16</f>
        <v>0</v>
      </c>
      <c r="U16" s="1236"/>
      <c r="V16" s="1236"/>
      <c r="W16" s="1236"/>
      <c r="X16" s="1236"/>
      <c r="Y16" s="1060">
        <f>'Basis &amp; Credits'!Y16</f>
        <v>0</v>
      </c>
      <c r="Z16" s="1236"/>
      <c r="AA16" s="1236"/>
      <c r="AB16" s="1236"/>
      <c r="AC16" s="1236"/>
      <c r="AD16" s="1236">
        <f>'Basis &amp; Credits'!AD16</f>
        <v>0</v>
      </c>
      <c r="AE16" s="1236"/>
      <c r="AF16" s="1236"/>
      <c r="AG16" s="1236"/>
      <c r="AH16" s="1236"/>
      <c r="AI16" s="1236">
        <f>'Basis &amp; Credits'!AI16</f>
        <v>0</v>
      </c>
      <c r="AJ16" s="1236"/>
      <c r="AK16" s="1236"/>
      <c r="AL16" s="1236"/>
      <c r="AM16" s="1236"/>
    </row>
    <row r="17" spans="1:39" ht="12.9" customHeight="1">
      <c r="B17" s="8"/>
      <c r="C17" s="1610" t="s">
        <v>805</v>
      </c>
      <c r="D17" s="1610"/>
      <c r="E17" s="1610"/>
      <c r="F17" s="1610"/>
      <c r="G17" s="1610"/>
      <c r="H17" s="1610"/>
      <c r="I17" s="1610"/>
      <c r="J17" s="1610"/>
      <c r="K17" s="1610"/>
      <c r="L17" s="1610"/>
      <c r="M17" s="1610"/>
      <c r="N17" s="1610"/>
      <c r="O17" s="1610"/>
      <c r="P17" s="1610"/>
      <c r="Q17" s="1610"/>
      <c r="R17" s="1610"/>
      <c r="S17" s="1611"/>
      <c r="T17" s="1060">
        <f>'Basis &amp; Credits'!T17</f>
        <v>0</v>
      </c>
      <c r="U17" s="1236"/>
      <c r="V17" s="1236"/>
      <c r="W17" s="1236"/>
      <c r="X17" s="1236"/>
      <c r="Y17" s="1060">
        <f>'Basis &amp; Credits'!Y17</f>
        <v>0</v>
      </c>
      <c r="Z17" s="1236"/>
      <c r="AA17" s="1236"/>
      <c r="AB17" s="1236"/>
      <c r="AC17" s="1236"/>
      <c r="AD17" s="1236">
        <f>'Basis &amp; Credits'!AD17</f>
        <v>0</v>
      </c>
      <c r="AE17" s="1236"/>
      <c r="AF17" s="1236"/>
      <c r="AG17" s="1236"/>
      <c r="AH17" s="1236"/>
      <c r="AI17" s="1236">
        <f>'Basis &amp; Credits'!AI17</f>
        <v>0</v>
      </c>
      <c r="AJ17" s="1236"/>
      <c r="AK17" s="1236"/>
      <c r="AL17" s="1236"/>
      <c r="AM17" s="1236"/>
    </row>
    <row r="18" spans="1:39" ht="12.9" customHeight="1">
      <c r="B18" s="600"/>
      <c r="C18" s="1609" t="s">
        <v>1425</v>
      </c>
      <c r="D18" s="1610"/>
      <c r="E18" s="1610"/>
      <c r="F18" s="1610"/>
      <c r="G18" s="1610"/>
      <c r="H18" s="1610"/>
      <c r="I18" s="1610"/>
      <c r="J18" s="1610"/>
      <c r="K18" s="1610"/>
      <c r="L18" s="1610"/>
      <c r="M18" s="1610"/>
      <c r="N18" s="1610"/>
      <c r="O18" s="1610"/>
      <c r="P18" s="1610"/>
      <c r="Q18" s="1610"/>
      <c r="R18" s="1610"/>
      <c r="S18" s="1611"/>
      <c r="T18" s="1058">
        <f>'Basis &amp; Credits'!T18</f>
        <v>0</v>
      </c>
      <c r="U18" s="1059"/>
      <c r="V18" s="1059"/>
      <c r="W18" s="1059"/>
      <c r="X18" s="1060"/>
      <c r="Y18" s="1060">
        <f>'Basis &amp; Credits'!Y18</f>
        <v>0</v>
      </c>
      <c r="Z18" s="1236"/>
      <c r="AA18" s="1236"/>
      <c r="AB18" s="1236"/>
      <c r="AC18" s="1236"/>
      <c r="AD18" s="1236">
        <f>'Basis &amp; Credits'!AD18</f>
        <v>0</v>
      </c>
      <c r="AE18" s="1236"/>
      <c r="AF18" s="1236"/>
      <c r="AG18" s="1236"/>
      <c r="AH18" s="1236"/>
      <c r="AI18" s="1236">
        <f>'Basis &amp; Credits'!AI18</f>
        <v>0</v>
      </c>
      <c r="AJ18" s="1236"/>
      <c r="AK18" s="1236"/>
      <c r="AL18" s="1236"/>
      <c r="AM18" s="1236"/>
    </row>
    <row r="19" spans="1:39" ht="12.9" customHeight="1">
      <c r="B19" s="490"/>
      <c r="C19" s="1605" t="str">
        <f>'Basis &amp; Credits'!C19:S19</f>
        <v>Subtract (specify other ineligible amounts):</v>
      </c>
      <c r="D19" s="1605"/>
      <c r="E19" s="1605"/>
      <c r="F19" s="1605"/>
      <c r="G19" s="1605"/>
      <c r="H19" s="1605"/>
      <c r="I19" s="1605"/>
      <c r="J19" s="1605"/>
      <c r="K19" s="1605"/>
      <c r="L19" s="1605"/>
      <c r="M19" s="1605"/>
      <c r="N19" s="1605"/>
      <c r="O19" s="1605"/>
      <c r="P19" s="1605"/>
      <c r="Q19" s="1605"/>
      <c r="R19" s="1605"/>
      <c r="S19" s="1606"/>
      <c r="T19" s="1060">
        <f>'Basis &amp; Credits'!T19</f>
        <v>0</v>
      </c>
      <c r="U19" s="1236"/>
      <c r="V19" s="1236"/>
      <c r="W19" s="1236"/>
      <c r="X19" s="1236"/>
      <c r="Y19" s="1060">
        <f>'Basis &amp; Credits'!Y19</f>
        <v>0</v>
      </c>
      <c r="Z19" s="1236"/>
      <c r="AA19" s="1236"/>
      <c r="AB19" s="1236"/>
      <c r="AC19" s="1236"/>
      <c r="AD19" s="1236">
        <f>'Basis &amp; Credits'!AD19</f>
        <v>0</v>
      </c>
      <c r="AE19" s="1236"/>
      <c r="AF19" s="1236"/>
      <c r="AG19" s="1236"/>
      <c r="AH19" s="1236"/>
      <c r="AI19" s="1236">
        <f>'Basis &amp; Credits'!AI19</f>
        <v>0</v>
      </c>
      <c r="AJ19" s="1236"/>
      <c r="AK19" s="1236"/>
      <c r="AL19" s="1236"/>
      <c r="AM19" s="1236"/>
    </row>
    <row r="20" spans="1:39" ht="12.9" customHeight="1">
      <c r="B20" s="1089" t="s">
        <v>806</v>
      </c>
      <c r="C20" s="1090"/>
      <c r="D20" s="1090"/>
      <c r="E20" s="1090"/>
      <c r="F20" s="1090"/>
      <c r="G20" s="1090"/>
      <c r="H20" s="1090"/>
      <c r="I20" s="1090"/>
      <c r="J20" s="1090"/>
      <c r="K20" s="1090"/>
      <c r="L20" s="1090"/>
      <c r="M20" s="1090"/>
      <c r="N20" s="1090"/>
      <c r="O20" s="1090"/>
      <c r="P20" s="1090"/>
      <c r="Q20" s="1090"/>
      <c r="R20" s="1090"/>
      <c r="S20" s="1092"/>
      <c r="T20" s="1579">
        <f>SUM(T13:X19)</f>
        <v>0</v>
      </c>
      <c r="U20" s="1307"/>
      <c r="V20" s="1307"/>
      <c r="W20" s="1307"/>
      <c r="X20" s="1307"/>
      <c r="Y20" s="1579">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 customHeight="1">
      <c r="B21" s="1089" t="s">
        <v>1782</v>
      </c>
      <c r="C21" s="1090"/>
      <c r="D21" s="1090"/>
      <c r="E21" s="1090"/>
      <c r="F21" s="1090"/>
      <c r="G21" s="1090"/>
      <c r="H21" s="1090"/>
      <c r="I21" s="1090"/>
      <c r="J21" s="1090"/>
      <c r="K21" s="1090"/>
      <c r="L21" s="1090"/>
      <c r="M21" s="1090"/>
      <c r="N21" s="1090"/>
      <c r="O21" s="1090"/>
      <c r="P21" s="1090"/>
      <c r="Q21" s="1090"/>
      <c r="R21" s="1090"/>
      <c r="S21" s="1092"/>
      <c r="T21" s="1060">
        <f>'Basis &amp; Credits'!E21</f>
        <v>0</v>
      </c>
      <c r="U21" s="1236"/>
      <c r="V21" s="1236"/>
      <c r="W21" s="1236"/>
      <c r="X21" s="1236"/>
      <c r="Y21" s="1060">
        <f>'Basis &amp; Credits'!J21</f>
        <v>0</v>
      </c>
      <c r="Z21" s="1236"/>
      <c r="AA21" s="1236"/>
      <c r="AB21" s="1236"/>
      <c r="AC21" s="1236"/>
      <c r="AD21" s="1236">
        <f>'Basis &amp; Credits'!O21</f>
        <v>0</v>
      </c>
      <c r="AE21" s="1236"/>
      <c r="AF21" s="1236"/>
      <c r="AG21" s="1236"/>
      <c r="AH21" s="1236"/>
      <c r="AI21" s="1236">
        <f>'Basis &amp; Credits'!T21</f>
        <v>974400</v>
      </c>
      <c r="AJ21" s="1236"/>
      <c r="AK21" s="1236"/>
      <c r="AL21" s="1236"/>
      <c r="AM21" s="1236"/>
    </row>
    <row r="22" spans="1:39" ht="12.9" customHeight="1">
      <c r="B22" s="1089" t="s">
        <v>807</v>
      </c>
      <c r="C22" s="1090"/>
      <c r="D22" s="1090"/>
      <c r="E22" s="1090"/>
      <c r="F22" s="1090"/>
      <c r="G22" s="1090"/>
      <c r="H22" s="1090"/>
      <c r="I22" s="1090"/>
      <c r="J22" s="1090"/>
      <c r="K22" s="1090"/>
      <c r="L22" s="1090"/>
      <c r="M22" s="1090"/>
      <c r="N22" s="1090"/>
      <c r="O22" s="1090"/>
      <c r="P22" s="1090"/>
      <c r="Q22" s="1090"/>
      <c r="R22" s="1090"/>
      <c r="S22" s="1092"/>
      <c r="T22" s="1614">
        <f>(T20+T21)*-1</f>
        <v>0</v>
      </c>
      <c r="U22" s="1615"/>
      <c r="V22" s="1615"/>
      <c r="W22" s="1615"/>
      <c r="X22" s="1615"/>
      <c r="Y22" s="1614">
        <f>(Y20+Y21)*-1</f>
        <v>0</v>
      </c>
      <c r="Z22" s="1615"/>
      <c r="AA22" s="1615"/>
      <c r="AB22" s="1615"/>
      <c r="AC22" s="1615"/>
      <c r="AD22" s="1614">
        <f>(AD20+AD21)*-1</f>
        <v>0</v>
      </c>
      <c r="AE22" s="1615"/>
      <c r="AF22" s="1615"/>
      <c r="AG22" s="1615"/>
      <c r="AH22" s="1615"/>
      <c r="AI22" s="1614">
        <f>(AI20+AI21)*-1</f>
        <v>-974400</v>
      </c>
      <c r="AJ22" s="1615"/>
      <c r="AK22" s="1615"/>
      <c r="AL22" s="1615"/>
      <c r="AM22" s="1615"/>
    </row>
    <row r="23" spans="1:39" ht="12.9" customHeight="1">
      <c r="B23" s="1089" t="s">
        <v>808</v>
      </c>
      <c r="C23" s="1090"/>
      <c r="D23" s="1090"/>
      <c r="E23" s="1090"/>
      <c r="F23" s="1090"/>
      <c r="G23" s="1090"/>
      <c r="H23" s="1090"/>
      <c r="I23" s="1090"/>
      <c r="J23" s="1090"/>
      <c r="K23" s="1090"/>
      <c r="L23" s="1090"/>
      <c r="M23" s="1090"/>
      <c r="N23" s="1090"/>
      <c r="O23" s="1090"/>
      <c r="P23" s="1090"/>
      <c r="Q23" s="1090"/>
      <c r="R23" s="1090"/>
      <c r="S23" s="1092"/>
      <c r="T23" s="1579">
        <f>T11+T22</f>
        <v>12895105</v>
      </c>
      <c r="U23" s="1307"/>
      <c r="V23" s="1307"/>
      <c r="W23" s="1307"/>
      <c r="X23" s="1307"/>
      <c r="Y23" s="1579">
        <f>Y11+Y22</f>
        <v>0</v>
      </c>
      <c r="Z23" s="1307"/>
      <c r="AA23" s="1307"/>
      <c r="AB23" s="1307"/>
      <c r="AC23" s="1307"/>
      <c r="AD23" s="1579">
        <f>AD11+AD22</f>
        <v>0</v>
      </c>
      <c r="AE23" s="1307"/>
      <c r="AF23" s="1307"/>
      <c r="AG23" s="1307"/>
      <c r="AH23" s="1307"/>
      <c r="AI23" s="1579">
        <f>AI11+AI22</f>
        <v>-974400</v>
      </c>
      <c r="AJ23" s="1307"/>
      <c r="AK23" s="1307"/>
      <c r="AL23" s="1307"/>
      <c r="AM23" s="1307"/>
    </row>
    <row r="24" spans="1:39" ht="12.9" customHeight="1">
      <c r="B24" s="1089" t="s">
        <v>1268</v>
      </c>
      <c r="C24" s="1090"/>
      <c r="D24" s="1090"/>
      <c r="E24" s="1090"/>
      <c r="F24" s="1090"/>
      <c r="G24" s="1090"/>
      <c r="H24" s="1090"/>
      <c r="I24" s="1090"/>
      <c r="J24" s="1090"/>
      <c r="K24" s="1090"/>
      <c r="L24" s="1090"/>
      <c r="M24" s="1090"/>
      <c r="N24" s="1090"/>
      <c r="O24" s="1090"/>
      <c r="P24" s="1090"/>
      <c r="Q24" s="1090"/>
      <c r="R24" s="1090"/>
      <c r="S24" s="1092"/>
      <c r="T24" s="1580">
        <f>Application!AD979</f>
        <v>0</v>
      </c>
      <c r="U24" s="1581"/>
      <c r="V24" s="1581"/>
      <c r="W24" s="1581"/>
      <c r="X24" s="1581"/>
      <c r="Y24" s="1581"/>
      <c r="Z24" s="1581"/>
      <c r="AA24" s="1581"/>
      <c r="AB24" s="1581"/>
      <c r="AC24" s="1581"/>
      <c r="AD24" s="1581"/>
      <c r="AE24" s="1581"/>
      <c r="AF24" s="1581"/>
      <c r="AG24" s="1581"/>
      <c r="AH24" s="1581"/>
      <c r="AI24" s="1581"/>
      <c r="AJ24" s="1581"/>
      <c r="AK24" s="1581"/>
      <c r="AL24" s="1581"/>
      <c r="AM24" s="1579"/>
    </row>
    <row r="25" spans="1:39" ht="12.9" customHeight="1">
      <c r="B25" s="1621" t="s">
        <v>1818</v>
      </c>
      <c r="C25" s="1622"/>
      <c r="D25" s="1622"/>
      <c r="E25" s="1622"/>
      <c r="F25" s="1622"/>
      <c r="G25" s="1622"/>
      <c r="H25" s="1622"/>
      <c r="I25" s="1622"/>
      <c r="J25" s="1622"/>
      <c r="K25" s="1622"/>
      <c r="L25" s="1622"/>
      <c r="M25" s="1622"/>
      <c r="N25" s="1622"/>
      <c r="O25" s="1622"/>
      <c r="P25" s="1622"/>
      <c r="Q25" s="1622"/>
      <c r="R25" s="1622"/>
      <c r="S25" s="1623"/>
      <c r="T25" s="1616">
        <v>1</v>
      </c>
      <c r="U25" s="1617"/>
      <c r="V25" s="1617"/>
      <c r="W25" s="1617"/>
      <c r="X25" s="1620"/>
      <c r="Y25" s="1616">
        <v>1</v>
      </c>
      <c r="Z25" s="1617"/>
      <c r="AA25" s="1617"/>
      <c r="AB25" s="1617"/>
      <c r="AC25" s="1620"/>
      <c r="AD25" s="1616">
        <v>1</v>
      </c>
      <c r="AE25" s="1617"/>
      <c r="AF25" s="1617"/>
      <c r="AG25" s="1617"/>
      <c r="AH25" s="1620"/>
      <c r="AI25" s="1616">
        <v>1</v>
      </c>
      <c r="AJ25" s="1617"/>
      <c r="AK25" s="1617"/>
      <c r="AL25" s="1617"/>
      <c r="AM25" s="1620"/>
    </row>
    <row r="26" spans="1:39" ht="12.9" customHeight="1">
      <c r="B26" s="1089" t="s">
        <v>809</v>
      </c>
      <c r="C26" s="1090"/>
      <c r="D26" s="1090"/>
      <c r="E26" s="1090"/>
      <c r="F26" s="1090"/>
      <c r="G26" s="1090"/>
      <c r="H26" s="1090"/>
      <c r="I26" s="1090"/>
      <c r="J26" s="1090"/>
      <c r="K26" s="1090"/>
      <c r="L26" s="1090"/>
      <c r="M26" s="1090"/>
      <c r="N26" s="1090"/>
      <c r="O26" s="1090"/>
      <c r="P26" s="1090"/>
      <c r="Q26" s="1090"/>
      <c r="R26" s="1090"/>
      <c r="S26" s="1092"/>
      <c r="T26" s="1232">
        <f>T23*T25</f>
        <v>12895105</v>
      </c>
      <c r="U26" s="1591"/>
      <c r="V26" s="1591"/>
      <c r="W26" s="1591"/>
      <c r="X26" s="1591"/>
      <c r="Y26" s="1232">
        <f>Y23*Y25</f>
        <v>0</v>
      </c>
      <c r="Z26" s="1591"/>
      <c r="AA26" s="1591"/>
      <c r="AB26" s="1591"/>
      <c r="AC26" s="1591"/>
      <c r="AD26" s="1232">
        <f>AD23*AD25</f>
        <v>0</v>
      </c>
      <c r="AE26" s="1591"/>
      <c r="AF26" s="1591"/>
      <c r="AG26" s="1591"/>
      <c r="AH26" s="1591"/>
      <c r="AI26" s="1232">
        <f>AI23*AI25</f>
        <v>-974400</v>
      </c>
      <c r="AJ26" s="1591"/>
      <c r="AK26" s="1591"/>
      <c r="AL26" s="1591"/>
      <c r="AM26" s="1591"/>
    </row>
    <row r="27" spans="1:39" ht="12.9" customHeight="1">
      <c r="A27" s="4"/>
      <c r="B27" s="1624" t="s">
        <v>918</v>
      </c>
      <c r="C27" s="1625"/>
      <c r="D27" s="1625"/>
      <c r="E27" s="1625"/>
      <c r="F27" s="1625"/>
      <c r="G27" s="1625"/>
      <c r="H27" s="1625"/>
      <c r="I27" s="1625"/>
      <c r="J27" s="1625"/>
      <c r="K27" s="1625"/>
      <c r="L27" s="1625"/>
      <c r="M27" s="1625"/>
      <c r="N27" s="1625"/>
      <c r="O27" s="1625"/>
      <c r="P27" s="1625"/>
      <c r="Q27" s="1625"/>
      <c r="R27" s="1625"/>
      <c r="S27" s="1626"/>
      <c r="T27" s="1618">
        <f>Application!AG438</f>
        <v>1</v>
      </c>
      <c r="U27" s="1619"/>
      <c r="V27" s="1619"/>
      <c r="W27" s="1619"/>
      <c r="X27" s="1619"/>
      <c r="Y27" s="1618">
        <f>Application!AG438</f>
        <v>1</v>
      </c>
      <c r="Z27" s="1619"/>
      <c r="AA27" s="1619"/>
      <c r="AB27" s="1619"/>
      <c r="AC27" s="1619"/>
      <c r="AD27" s="1618">
        <f>Application!AG438</f>
        <v>1</v>
      </c>
      <c r="AE27" s="1619"/>
      <c r="AF27" s="1619"/>
      <c r="AG27" s="1619"/>
      <c r="AH27" s="1619"/>
      <c r="AI27" s="1618">
        <f>Application!AG438</f>
        <v>1</v>
      </c>
      <c r="AJ27" s="1619"/>
      <c r="AK27" s="1619"/>
      <c r="AL27" s="1619"/>
      <c r="AM27" s="1619"/>
    </row>
    <row r="28" spans="1:39" ht="12.9" customHeight="1">
      <c r="A28" s="3"/>
      <c r="B28" s="1089" t="s">
        <v>882</v>
      </c>
      <c r="C28" s="1090"/>
      <c r="D28" s="1090"/>
      <c r="E28" s="1090"/>
      <c r="F28" s="1090"/>
      <c r="G28" s="1090"/>
      <c r="H28" s="1090"/>
      <c r="I28" s="1090"/>
      <c r="J28" s="1090"/>
      <c r="K28" s="1090"/>
      <c r="L28" s="1090"/>
      <c r="M28" s="1090"/>
      <c r="N28" s="1090"/>
      <c r="O28" s="1090"/>
      <c r="P28" s="1090"/>
      <c r="Q28" s="1090"/>
      <c r="R28" s="1090"/>
      <c r="S28" s="1092"/>
      <c r="T28" s="1232">
        <f>IF(ISERROR((T26*T27)),0,(T26*T27))</f>
        <v>12895105</v>
      </c>
      <c r="U28" s="1591"/>
      <c r="V28" s="1591"/>
      <c r="W28" s="1591"/>
      <c r="X28" s="1591"/>
      <c r="Y28" s="1232">
        <f>IF(ISERROR((Y26*Y27)),0,(Y26*Y27))</f>
        <v>0</v>
      </c>
      <c r="Z28" s="1591"/>
      <c r="AA28" s="1591"/>
      <c r="AB28" s="1591"/>
      <c r="AC28" s="1591"/>
      <c r="AD28" s="1232">
        <f>IF(ISERROR((AD26*AD27)),0,(AD26*AD27))</f>
        <v>0</v>
      </c>
      <c r="AE28" s="1591"/>
      <c r="AF28" s="1591"/>
      <c r="AG28" s="1591"/>
      <c r="AH28" s="1591"/>
      <c r="AI28" s="1232">
        <f>IF(ISERROR((AI26*AI27)),0,(AI26*AI27))</f>
        <v>-974400</v>
      </c>
      <c r="AJ28" s="1591"/>
      <c r="AK28" s="1591"/>
      <c r="AL28" s="1591"/>
      <c r="AM28" s="1591"/>
    </row>
    <row r="29" spans="1:39" ht="12.9" customHeight="1">
      <c r="B29" s="1089" t="s">
        <v>657</v>
      </c>
      <c r="C29" s="1090"/>
      <c r="D29" s="1090"/>
      <c r="E29" s="1090"/>
      <c r="F29" s="1090"/>
      <c r="G29" s="1090"/>
      <c r="H29" s="1090"/>
      <c r="I29" s="1090"/>
      <c r="J29" s="1090"/>
      <c r="K29" s="1090"/>
      <c r="L29" s="1090"/>
      <c r="M29" s="1090"/>
      <c r="N29" s="1090"/>
      <c r="O29" s="1090"/>
      <c r="P29" s="1090"/>
      <c r="Q29" s="1090"/>
      <c r="R29" s="1090"/>
      <c r="S29" s="1092"/>
      <c r="T29" s="1580">
        <f>T28+Y28+AD28+AI28</f>
        <v>11920705</v>
      </c>
      <c r="U29" s="1581"/>
      <c r="V29" s="1581"/>
      <c r="W29" s="1581"/>
      <c r="X29" s="1581"/>
      <c r="Y29" s="1581"/>
      <c r="Z29" s="1581"/>
      <c r="AA29" s="1581"/>
      <c r="AB29" s="1581"/>
      <c r="AC29" s="1581"/>
      <c r="AD29" s="1581"/>
      <c r="AE29" s="1581"/>
      <c r="AF29" s="1581"/>
      <c r="AG29" s="1581"/>
      <c r="AH29" s="1581"/>
      <c r="AI29" s="1581"/>
      <c r="AJ29" s="1581"/>
      <c r="AK29" s="1581"/>
      <c r="AL29" s="1581"/>
      <c r="AM29" s="1579"/>
    </row>
    <row r="30" spans="1:39" ht="12.9" customHeight="1">
      <c r="B30" s="1939"/>
      <c r="C30" s="1939"/>
      <c r="D30" s="1939"/>
      <c r="E30" s="1939"/>
      <c r="F30" s="1939"/>
      <c r="G30" s="1939"/>
      <c r="H30" s="1939"/>
      <c r="I30" s="1939"/>
      <c r="J30" s="1939"/>
      <c r="K30" s="1939"/>
      <c r="L30" s="1939"/>
      <c r="M30" s="1939"/>
      <c r="N30" s="1939"/>
      <c r="O30" s="1939"/>
      <c r="P30" s="1939"/>
      <c r="Q30" s="1939"/>
      <c r="R30" s="1939"/>
      <c r="S30" s="1939"/>
      <c r="T30" s="1939"/>
      <c r="U30" s="1939"/>
      <c r="V30" s="1939"/>
      <c r="W30" s="1939"/>
      <c r="X30" s="1939"/>
      <c r="Y30" s="1939"/>
      <c r="Z30" s="1939"/>
      <c r="AA30" s="1939"/>
      <c r="AB30" s="1939"/>
      <c r="AC30" s="1939"/>
      <c r="AD30" s="1939"/>
      <c r="AE30" s="1939"/>
      <c r="AF30" s="1939"/>
      <c r="AG30" s="1939"/>
      <c r="AH30" s="1939"/>
      <c r="AI30" s="1939"/>
      <c r="AJ30" s="1939"/>
      <c r="AK30" s="1939"/>
      <c r="AL30" s="1939"/>
      <c r="AM30" s="1939"/>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220</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2" t="s">
        <v>1674</v>
      </c>
      <c r="Z35" s="1582"/>
      <c r="AA35" s="1582"/>
      <c r="AB35" s="1582"/>
      <c r="AC35" s="1582"/>
      <c r="AD35" s="1222" t="s">
        <v>45</v>
      </c>
      <c r="AE35" s="1222"/>
      <c r="AF35" s="1222"/>
      <c r="AG35" s="1222"/>
      <c r="AH35" s="1222"/>
    </row>
    <row r="36" spans="1:40" ht="12.9" customHeight="1">
      <c r="B36" s="204"/>
      <c r="X36" s="71"/>
      <c r="Y36" s="1582"/>
      <c r="Z36" s="1582"/>
      <c r="AA36" s="1582"/>
      <c r="AB36" s="1582"/>
      <c r="AC36" s="1582"/>
      <c r="AD36" s="1222"/>
      <c r="AE36" s="1222"/>
      <c r="AF36" s="1222"/>
      <c r="AG36" s="1222"/>
      <c r="AH36" s="122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2"/>
      <c r="Z37" s="1582"/>
      <c r="AA37" s="1582"/>
      <c r="AB37" s="1582"/>
      <c r="AC37" s="1582"/>
      <c r="AD37" s="1222"/>
      <c r="AE37" s="1222"/>
      <c r="AF37" s="1222"/>
      <c r="AG37" s="1222"/>
      <c r="AH37" s="1222"/>
    </row>
    <row r="38" spans="1:40" ht="12.9" customHeight="1">
      <c r="A38" s="3"/>
      <c r="B38" s="1089" t="s">
        <v>882</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7">
        <f>IF(T24&gt;=(T23+Y23+AD23+AI23),T28+Y28,0)</f>
        <v>0</v>
      </c>
      <c r="Z38" s="1307"/>
      <c r="AA38" s="1307"/>
      <c r="AB38" s="1307"/>
      <c r="AC38" s="1307"/>
      <c r="AD38" s="1307">
        <f>IF(T24&gt;=(T23+Y23+AD23+AI23),AD28+AI28,0)</f>
        <v>0</v>
      </c>
      <c r="AE38" s="1307"/>
      <c r="AF38" s="1307"/>
      <c r="AG38" s="1307"/>
      <c r="AH38" s="1307"/>
    </row>
    <row r="39" spans="1:40" ht="12.9" customHeight="1">
      <c r="B39" s="1089" t="s">
        <v>800</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0">
        <v>0.09</v>
      </c>
      <c r="Z39" s="1940"/>
      <c r="AA39" s="1940"/>
      <c r="AB39" s="1940"/>
      <c r="AC39" s="1940"/>
      <c r="AD39" s="1578">
        <v>0.04</v>
      </c>
      <c r="AE39" s="1578"/>
      <c r="AF39" s="1578"/>
      <c r="AG39" s="1578"/>
      <c r="AH39" s="1578"/>
    </row>
    <row r="40" spans="1:40" ht="12.9"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7">
        <f>ROUND(Y38*Y39,0)</f>
        <v>0</v>
      </c>
      <c r="Z40" s="1307"/>
      <c r="AA40" s="1307"/>
      <c r="AB40" s="1307"/>
      <c r="AC40" s="1307"/>
      <c r="AD40" s="1579">
        <f>ROUND(AD38*AD39,0)</f>
        <v>0</v>
      </c>
      <c r="AE40" s="1307"/>
      <c r="AF40" s="1307"/>
      <c r="AG40" s="1307"/>
      <c r="AH40" s="1307"/>
    </row>
    <row r="41" spans="1:40" ht="12.9" customHeight="1">
      <c r="B41" s="1089" t="s">
        <v>651</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0">
        <f>IF((Y40+AD40)&gt;2500000,2500000,Y40+AD40)</f>
        <v>0</v>
      </c>
      <c r="Z41" s="1581"/>
      <c r="AA41" s="1581"/>
      <c r="AB41" s="1581"/>
      <c r="AC41" s="1581"/>
      <c r="AD41" s="1581"/>
      <c r="AE41" s="1581"/>
      <c r="AF41" s="1581"/>
      <c r="AG41" s="1581"/>
      <c r="AH41" s="1579"/>
    </row>
    <row r="42" spans="1:40" ht="12.9" customHeight="1">
      <c r="A42" s="3"/>
      <c r="B42" s="1590" t="s">
        <v>1208</v>
      </c>
      <c r="C42" s="1590"/>
      <c r="D42" s="1590"/>
      <c r="E42" s="1590"/>
      <c r="F42" s="1590"/>
      <c r="G42" s="1590"/>
      <c r="H42" s="1590"/>
      <c r="I42" s="1590"/>
      <c r="J42" s="1590"/>
      <c r="K42" s="1590"/>
      <c r="L42" s="1590"/>
      <c r="M42" s="1590"/>
      <c r="N42" s="1590"/>
      <c r="O42" s="1590"/>
      <c r="P42" s="1590"/>
      <c r="Q42" s="1590"/>
      <c r="R42" s="1590"/>
      <c r="S42" s="1590"/>
      <c r="T42" s="1590"/>
      <c r="U42" s="1590"/>
      <c r="V42" s="1590"/>
      <c r="W42" s="1590"/>
      <c r="X42" s="1590"/>
      <c r="Y42" s="1590"/>
      <c r="Z42" s="1590"/>
      <c r="AA42" s="1590"/>
      <c r="AB42" s="1590"/>
      <c r="AC42" s="1590"/>
      <c r="AD42" s="1590"/>
      <c r="AE42" s="1590"/>
      <c r="AF42" s="1590"/>
      <c r="AG42" s="1590"/>
      <c r="AH42" s="1590"/>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126</v>
      </c>
      <c r="C45" s="3" t="s">
        <v>266</v>
      </c>
    </row>
    <row r="46" spans="1:40" ht="12.9" customHeight="1">
      <c r="D46" s="3" t="s">
        <v>267</v>
      </c>
      <c r="AB46" s="1147">
        <f>'Sources and Uses Budget'!B104-'Sources and Uses Budget'!$B$15</f>
        <v>14223843</v>
      </c>
      <c r="AC46" s="1148"/>
      <c r="AD46" s="1148"/>
      <c r="AE46" s="1148"/>
      <c r="AF46" s="1149"/>
    </row>
    <row r="47" spans="1:40" ht="12.9" customHeight="1">
      <c r="D47" s="3" t="s">
        <v>876</v>
      </c>
      <c r="AB47" s="1147">
        <f>Application!AG630-MIN('Sources and Uses Budget'!B15,Application!AG385)</f>
        <v>0</v>
      </c>
      <c r="AC47" s="1148"/>
      <c r="AD47" s="1148"/>
      <c r="AE47" s="1148"/>
      <c r="AF47" s="1149"/>
    </row>
    <row r="48" spans="1:40" ht="12.9" customHeight="1">
      <c r="D48" s="3" t="s">
        <v>401</v>
      </c>
      <c r="AB48" s="1147">
        <f>AB46-AB47</f>
        <v>14223843</v>
      </c>
      <c r="AC48" s="1148"/>
      <c r="AD48" s="1148"/>
      <c r="AE48" s="1148"/>
      <c r="AF48" s="1149"/>
    </row>
    <row r="49" spans="1:40" ht="12.9" customHeight="1">
      <c r="D49" s="3" t="s">
        <v>911</v>
      </c>
      <c r="AA49" s="34"/>
      <c r="AB49" s="1585"/>
      <c r="AC49" s="1586"/>
      <c r="AD49" s="1586"/>
      <c r="AE49" s="1586"/>
      <c r="AF49" s="1587"/>
    </row>
    <row r="50" spans="1:40" s="324" customFormat="1" ht="12.9" customHeight="1">
      <c r="A50"/>
      <c r="B50"/>
      <c r="C50"/>
      <c r="D50"/>
      <c r="E50" s="1595" t="s">
        <v>1414</v>
      </c>
      <c r="F50" s="1595"/>
      <c r="G50" s="1595"/>
      <c r="H50" s="1595"/>
      <c r="I50" s="1595"/>
      <c r="J50" s="1595"/>
      <c r="K50" s="1595"/>
      <c r="L50" s="1595"/>
      <c r="M50" s="1595"/>
      <c r="N50" s="1595"/>
      <c r="O50" s="1595"/>
      <c r="P50" s="1595"/>
      <c r="Q50" s="1595"/>
      <c r="R50" s="1595"/>
      <c r="S50" s="1595"/>
      <c r="T50" s="1595"/>
      <c r="U50" s="1595"/>
      <c r="V50" s="1595"/>
      <c r="W50" s="1595"/>
      <c r="X50" s="1595"/>
      <c r="Y50" s="1595"/>
      <c r="Z50" s="1595"/>
      <c r="AA50" s="358"/>
      <c r="AB50" s="358"/>
      <c r="AC50" s="358"/>
      <c r="AD50" s="358"/>
      <c r="AE50" s="358"/>
      <c r="AF50" s="358"/>
      <c r="AG50"/>
      <c r="AH50"/>
      <c r="AI50"/>
      <c r="AJ50"/>
      <c r="AK50"/>
      <c r="AL50"/>
      <c r="AM50"/>
      <c r="AN50"/>
    </row>
    <row r="51" spans="1:40" s="324" customFormat="1" ht="12.9" customHeight="1">
      <c r="A51"/>
      <c r="B51"/>
      <c r="C51"/>
      <c r="D51"/>
      <c r="E51" s="1595"/>
      <c r="F51" s="1595"/>
      <c r="G51" s="1595"/>
      <c r="H51" s="1595"/>
      <c r="I51" s="1595"/>
      <c r="J51" s="1595"/>
      <c r="K51" s="1595"/>
      <c r="L51" s="1595"/>
      <c r="M51" s="1595"/>
      <c r="N51" s="1595"/>
      <c r="O51" s="1595"/>
      <c r="P51" s="1595"/>
      <c r="Q51" s="1595"/>
      <c r="R51" s="1595"/>
      <c r="S51" s="1595"/>
      <c r="T51" s="1595"/>
      <c r="U51" s="1595"/>
      <c r="V51" s="1595"/>
      <c r="W51" s="1595"/>
      <c r="X51" s="1595"/>
      <c r="Y51" s="1595"/>
      <c r="Z51" s="1595"/>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47">
        <f>ROUND(IF(ISERROR((AB48/AB49)),0,(AB48/AB49)),0)</f>
        <v>0</v>
      </c>
      <c r="AC53" s="1148"/>
      <c r="AD53" s="1148"/>
      <c r="AE53" s="1148"/>
      <c r="AF53" s="1149"/>
    </row>
    <row r="54" spans="1:40" ht="12.9" customHeight="1">
      <c r="D54" s="3" t="s">
        <v>590</v>
      </c>
      <c r="AB54" s="1147">
        <f>(AB53/10)</f>
        <v>0</v>
      </c>
      <c r="AC54" s="1148"/>
      <c r="AD54" s="1148"/>
      <c r="AE54" s="1148"/>
      <c r="AF54" s="1149"/>
    </row>
    <row r="55" spans="1:40" ht="12.9" customHeight="1">
      <c r="D55" s="3" t="s">
        <v>360</v>
      </c>
      <c r="AB55" s="1147">
        <f>(IF((Y41&lt;AB54),Y41,AB54))</f>
        <v>0</v>
      </c>
      <c r="AC55" s="1148"/>
      <c r="AD55" s="1148"/>
      <c r="AE55" s="1148"/>
      <c r="AF55" s="1149"/>
    </row>
    <row r="56" spans="1:40" ht="12.9" customHeight="1">
      <c r="D56" s="3" t="s">
        <v>114</v>
      </c>
      <c r="AB56" s="1147">
        <f>ROUND((10*AB55*AB49),0)</f>
        <v>0</v>
      </c>
      <c r="AC56" s="1148"/>
      <c r="AD56" s="1148"/>
      <c r="AE56" s="1148"/>
      <c r="AF56" s="1149"/>
    </row>
    <row r="57" spans="1:40" ht="12.9" customHeight="1">
      <c r="D57" s="3"/>
      <c r="AB57" s="276"/>
      <c r="AC57" s="276"/>
      <c r="AD57" s="276"/>
      <c r="AE57" s="276"/>
      <c r="AF57" s="276"/>
    </row>
    <row r="58" spans="1:40" ht="12.9" customHeight="1">
      <c r="D58" s="3" t="s">
        <v>113</v>
      </c>
      <c r="AB58" s="1153">
        <f>AB48-AB56</f>
        <v>14223843</v>
      </c>
      <c r="AC58" s="1153"/>
      <c r="AD58" s="1153"/>
      <c r="AE58" s="1153"/>
      <c r="AF58" s="115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75" t="s">
        <v>1821</v>
      </c>
      <c r="B60" s="1575"/>
      <c r="C60" s="1575"/>
      <c r="D60" s="1575"/>
      <c r="E60" s="1575"/>
      <c r="F60" s="1575"/>
      <c r="G60" s="1575"/>
      <c r="H60" s="1575"/>
      <c r="I60" s="1575"/>
      <c r="J60" s="1575"/>
      <c r="K60" s="1575"/>
      <c r="L60" s="1575"/>
      <c r="M60" s="1575"/>
      <c r="N60" s="1575"/>
      <c r="O60" s="1575"/>
      <c r="P60" s="1575"/>
      <c r="Q60" s="1575"/>
      <c r="R60" s="1575"/>
      <c r="S60" s="1575"/>
      <c r="T60" s="1575"/>
      <c r="U60" s="1575"/>
      <c r="V60" s="1575"/>
      <c r="W60" s="1575"/>
      <c r="X60" s="1575"/>
      <c r="Y60" s="1575"/>
      <c r="Z60" s="1575"/>
      <c r="AA60" s="1575"/>
      <c r="AB60" s="1575"/>
      <c r="AC60" s="1575"/>
      <c r="AD60" s="1575"/>
      <c r="AE60" s="1575"/>
      <c r="AF60" s="1575"/>
      <c r="AG60" s="1575"/>
      <c r="AH60" s="1575"/>
      <c r="AI60" s="1575"/>
      <c r="AJ60" s="1575"/>
      <c r="AK60" s="1575"/>
      <c r="AL60" s="1575"/>
      <c r="AM60" s="1575"/>
      <c r="AN60" s="1575"/>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129</v>
      </c>
      <c r="C62" s="3" t="s">
        <v>538</v>
      </c>
      <c r="Y62" s="1577" t="s">
        <v>314</v>
      </c>
      <c r="Z62" s="1577"/>
      <c r="AA62" s="1577"/>
      <c r="AB62" s="1577"/>
      <c r="AC62" s="1577"/>
      <c r="AD62" s="1577" t="s">
        <v>45</v>
      </c>
      <c r="AE62" s="1577"/>
      <c r="AF62" s="1577"/>
      <c r="AG62" s="1577"/>
      <c r="AH62" s="1577"/>
    </row>
    <row r="63" spans="1:40" ht="12.9" customHeight="1">
      <c r="C63" s="3"/>
      <c r="D63" s="128" t="s">
        <v>1292</v>
      </c>
      <c r="E63" s="15"/>
      <c r="F63" s="15"/>
      <c r="G63" s="15"/>
      <c r="H63" s="15"/>
      <c r="I63" s="15"/>
      <c r="J63" s="15"/>
      <c r="K63" s="15"/>
      <c r="L63" s="15"/>
      <c r="M63" s="15"/>
      <c r="N63" s="15"/>
      <c r="O63" s="15"/>
      <c r="P63" s="15"/>
      <c r="Q63" s="15"/>
      <c r="R63" s="15"/>
      <c r="S63" s="15"/>
      <c r="T63" s="15"/>
      <c r="U63" s="15"/>
      <c r="V63" s="15"/>
      <c r="W63" s="15"/>
      <c r="X63" s="15"/>
      <c r="Y63" s="1307">
        <f>Y28</f>
        <v>0</v>
      </c>
      <c r="Z63" s="1588"/>
      <c r="AA63" s="1588"/>
      <c r="AB63" s="1588"/>
      <c r="AC63" s="1588"/>
      <c r="AD63" s="1307">
        <f>AI28</f>
        <v>-974400</v>
      </c>
      <c r="AE63" s="1588"/>
      <c r="AF63" s="1588"/>
      <c r="AG63" s="1588"/>
      <c r="AH63" s="1588"/>
    </row>
    <row r="64" spans="1:40" ht="12.9" customHeight="1">
      <c r="C64" s="3"/>
      <c r="E64" s="1576" t="s">
        <v>1340</v>
      </c>
      <c r="F64" s="1576"/>
      <c r="G64" s="1576"/>
      <c r="H64" s="1576"/>
      <c r="I64" s="1576"/>
      <c r="J64" s="1576"/>
      <c r="K64" s="1576"/>
      <c r="L64" s="1576"/>
      <c r="M64" s="1576"/>
      <c r="N64" s="1576"/>
      <c r="O64" s="1576"/>
      <c r="P64" s="1576"/>
      <c r="Q64" s="1576"/>
      <c r="R64" s="1576"/>
      <c r="S64" s="1576"/>
      <c r="T64" s="1576"/>
      <c r="U64" s="1576"/>
      <c r="V64" s="1576"/>
      <c r="W64" s="1576"/>
      <c r="X64" s="1576"/>
      <c r="Y64" s="1576"/>
      <c r="Z64" s="1576"/>
      <c r="AA64" s="1576"/>
      <c r="AB64" s="1576"/>
      <c r="AC64" s="1576"/>
      <c r="AD64" s="1576"/>
      <c r="AE64" s="1576"/>
      <c r="AF64" s="1576"/>
      <c r="AG64" s="1576"/>
      <c r="AH64" s="1576"/>
    </row>
    <row r="65" spans="1:34" ht="32.25" customHeight="1">
      <c r="C65" s="3"/>
      <c r="E65" s="1576"/>
      <c r="F65" s="1576"/>
      <c r="G65" s="1576"/>
      <c r="H65" s="1576"/>
      <c r="I65" s="1576"/>
      <c r="J65" s="1576"/>
      <c r="K65" s="1576"/>
      <c r="L65" s="1576"/>
      <c r="M65" s="1576"/>
      <c r="N65" s="1576"/>
      <c r="O65" s="1576"/>
      <c r="P65" s="1576"/>
      <c r="Q65" s="1576"/>
      <c r="R65" s="1576"/>
      <c r="S65" s="1576"/>
      <c r="T65" s="1576"/>
      <c r="U65" s="1576"/>
      <c r="V65" s="1576"/>
      <c r="W65" s="1576"/>
      <c r="X65" s="1576"/>
      <c r="Y65" s="1576"/>
      <c r="Z65" s="1576"/>
      <c r="AA65" s="1576"/>
      <c r="AB65" s="1576"/>
      <c r="AC65" s="1576"/>
      <c r="AD65" s="1576"/>
      <c r="AE65" s="1576"/>
      <c r="AF65" s="1576"/>
      <c r="AG65" s="1576"/>
      <c r="AH65" s="1576"/>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84">
        <v>0.3</v>
      </c>
      <c r="Z66" s="1584"/>
      <c r="AA66" s="1584"/>
      <c r="AB66" s="1584"/>
      <c r="AC66" s="1584"/>
      <c r="AD66" s="1584">
        <v>0.13</v>
      </c>
      <c r="AE66" s="1584"/>
      <c r="AF66" s="1584"/>
      <c r="AG66" s="1584"/>
      <c r="AH66" s="1584"/>
    </row>
    <row r="67" spans="1:34" ht="12.9" customHeight="1">
      <c r="C67" s="3"/>
      <c r="D67" s="3" t="s">
        <v>983</v>
      </c>
      <c r="Y67" s="1307">
        <f>ROUND(Y63*Y66,0)</f>
        <v>0</v>
      </c>
      <c r="Z67" s="1588"/>
      <c r="AA67" s="1588"/>
      <c r="AB67" s="1588"/>
      <c r="AC67" s="1588"/>
      <c r="AD67" s="1307" t="str">
        <f>IF(OR(Application!D211="At-Risk",Application!D211="At-Risk/Located in Rural Census Tract",Application!D214="At-Risk"),ROUND(AD63*AD66,0),"$0")</f>
        <v>$0</v>
      </c>
      <c r="AE67" s="1307"/>
      <c r="AF67" s="1307"/>
      <c r="AG67" s="1307"/>
      <c r="AH67" s="1307"/>
    </row>
    <row r="68" spans="1:34" ht="12.9" customHeight="1">
      <c r="C68" s="3"/>
      <c r="E68" s="3"/>
      <c r="AB68" s="2"/>
      <c r="AC68" s="2"/>
      <c r="AD68" s="2"/>
      <c r="AE68" s="2"/>
      <c r="AF68" s="2"/>
    </row>
    <row r="69" spans="1:34" ht="12.9" customHeight="1">
      <c r="A69" s="3" t="s">
        <v>130</v>
      </c>
      <c r="C69" s="3" t="s">
        <v>268</v>
      </c>
    </row>
    <row r="70" spans="1:34" ht="12.9" customHeight="1">
      <c r="A70" s="3"/>
      <c r="C70" s="3"/>
      <c r="D70" s="3" t="s">
        <v>912</v>
      </c>
      <c r="AB70" s="1585"/>
      <c r="AC70" s="1586"/>
      <c r="AD70" s="1586"/>
      <c r="AE70" s="1586"/>
      <c r="AF70" s="1587"/>
    </row>
    <row r="71" spans="1:34" ht="12.9" customHeight="1">
      <c r="A71" s="3"/>
      <c r="C71" s="3"/>
      <c r="D71" s="3"/>
      <c r="E71" s="1589" t="s">
        <v>1816</v>
      </c>
      <c r="F71" s="1589"/>
      <c r="G71" s="1589"/>
      <c r="H71" s="1589"/>
      <c r="I71" s="1589"/>
      <c r="J71" s="1589"/>
      <c r="K71" s="1589"/>
      <c r="L71" s="1589"/>
      <c r="M71" s="1589"/>
      <c r="N71" s="1589"/>
      <c r="O71" s="1589"/>
      <c r="P71" s="1589"/>
      <c r="Q71" s="1589"/>
      <c r="R71" s="1589"/>
      <c r="S71" s="1589"/>
      <c r="T71" s="1589"/>
      <c r="U71" s="1589"/>
      <c r="V71" s="1589"/>
      <c r="W71" s="1589"/>
      <c r="X71" s="1589"/>
      <c r="Y71" s="1589"/>
      <c r="Z71" s="1589"/>
      <c r="AA71" s="253"/>
      <c r="AB71" s="253"/>
      <c r="AC71" s="253"/>
    </row>
    <row r="72" spans="1:34" ht="12.9" customHeight="1">
      <c r="A72" s="3"/>
      <c r="C72" s="3"/>
      <c r="D72" s="3"/>
      <c r="E72" s="1589"/>
      <c r="F72" s="1589"/>
      <c r="G72" s="1589"/>
      <c r="H72" s="1589"/>
      <c r="I72" s="1589"/>
      <c r="J72" s="1589"/>
      <c r="K72" s="1589"/>
      <c r="L72" s="1589"/>
      <c r="M72" s="1589"/>
      <c r="N72" s="1589"/>
      <c r="O72" s="1589"/>
      <c r="P72" s="1589"/>
      <c r="Q72" s="1589"/>
      <c r="R72" s="1589"/>
      <c r="S72" s="1589"/>
      <c r="T72" s="1589"/>
      <c r="U72" s="1589"/>
      <c r="V72" s="1589"/>
      <c r="W72" s="1589"/>
      <c r="X72" s="1589"/>
      <c r="Y72" s="1589"/>
      <c r="Z72" s="1589"/>
      <c r="AA72" s="253"/>
      <c r="AB72" s="253"/>
      <c r="AC72" s="253"/>
    </row>
    <row r="73" spans="1:34" ht="12.9" customHeight="1">
      <c r="A73" s="3"/>
      <c r="C73" s="3"/>
      <c r="D73" s="3"/>
      <c r="E73" s="1589"/>
      <c r="F73" s="1589"/>
      <c r="G73" s="1589"/>
      <c r="H73" s="1589"/>
      <c r="I73" s="1589"/>
      <c r="J73" s="1589"/>
      <c r="K73" s="1589"/>
      <c r="L73" s="1589"/>
      <c r="M73" s="1589"/>
      <c r="N73" s="1589"/>
      <c r="O73" s="1589"/>
      <c r="P73" s="1589"/>
      <c r="Q73" s="1589"/>
      <c r="R73" s="1589"/>
      <c r="S73" s="1589"/>
      <c r="T73" s="1589"/>
      <c r="U73" s="1589"/>
      <c r="V73" s="1589"/>
      <c r="W73" s="1589"/>
      <c r="X73" s="1589"/>
      <c r="Y73" s="1589"/>
      <c r="Z73" s="158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214">
        <f>ROUND(IF(ISERROR((AB58/AB70)),0,(AB58/AB70)),0)</f>
        <v>0</v>
      </c>
      <c r="AC75" s="1214"/>
      <c r="AD75" s="1214"/>
      <c r="AE75" s="1214"/>
      <c r="AF75" s="1214"/>
    </row>
    <row r="76" spans="1:34" ht="12.9" customHeight="1">
      <c r="C76" s="3"/>
      <c r="D76" s="3" t="s">
        <v>112</v>
      </c>
      <c r="AB76" s="1209">
        <f>IF((Y67+AD67&lt;AB75),Y67+AD67,AB75)</f>
        <v>0</v>
      </c>
      <c r="AC76" s="1210"/>
      <c r="AD76" s="1210"/>
      <c r="AE76" s="1210"/>
      <c r="AF76" s="1211"/>
    </row>
    <row r="77" spans="1:34" ht="12.9" customHeight="1">
      <c r="C77" s="3"/>
      <c r="D77" s="3" t="s">
        <v>984</v>
      </c>
      <c r="AB77" s="1583">
        <f>AB76*AB70</f>
        <v>0</v>
      </c>
      <c r="AC77" s="1583"/>
      <c r="AD77" s="1583"/>
      <c r="AE77" s="1583"/>
      <c r="AF77" s="1583"/>
    </row>
    <row r="78" spans="1:34" ht="12.9" customHeight="1">
      <c r="C78" s="3"/>
      <c r="D78" s="3"/>
      <c r="AB78" s="605"/>
      <c r="AC78" s="605"/>
      <c r="AD78" s="605"/>
      <c r="AE78" s="605"/>
      <c r="AF78" s="605"/>
    </row>
    <row r="79" spans="1:34" ht="12.9" customHeight="1">
      <c r="D79" s="3" t="s">
        <v>113</v>
      </c>
      <c r="AB79" s="1153">
        <f>AB48-(AB56+AB77)</f>
        <v>14223843</v>
      </c>
      <c r="AC79" s="1153"/>
      <c r="AD79" s="1153"/>
      <c r="AE79" s="1153"/>
      <c r="AF79" s="1153"/>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97" t="s">
        <v>1415</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c r="AA1" s="1282"/>
      <c r="AB1" s="1282"/>
      <c r="AC1" s="1282"/>
      <c r="AD1" s="1282"/>
      <c r="AE1" s="1282"/>
      <c r="AF1" s="1282"/>
      <c r="AG1" s="1282"/>
      <c r="AH1" s="1282"/>
      <c r="AI1" s="1282"/>
      <c r="AJ1" s="1282"/>
      <c r="AK1" s="1282"/>
      <c r="AL1" s="1282"/>
      <c r="AM1" s="1282"/>
      <c r="AN1" s="1282"/>
    </row>
    <row r="2" spans="1:40" ht="12.9" customHeight="1" thickBot="1">
      <c r="A2" s="1283"/>
      <c r="B2" s="1283"/>
      <c r="C2" s="1283"/>
      <c r="D2" s="1283"/>
      <c r="E2" s="1283"/>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83"/>
      <c r="AF2" s="1283"/>
      <c r="AG2" s="1283"/>
      <c r="AH2" s="1283"/>
      <c r="AI2" s="1283"/>
      <c r="AJ2" s="1283"/>
      <c r="AK2" s="1283"/>
      <c r="AL2" s="1283"/>
      <c r="AM2" s="1283"/>
      <c r="AN2" s="1283"/>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687</v>
      </c>
      <c r="C5" s="3" t="s">
        <v>219</v>
      </c>
      <c r="F5" s="3"/>
    </row>
    <row r="6" spans="1:40" ht="12.9" customHeight="1">
      <c r="B6" s="90"/>
    </row>
    <row r="7" spans="1:40" ht="12.9" customHeight="1">
      <c r="B7" s="6"/>
      <c r="C7" s="7"/>
      <c r="D7" s="7"/>
      <c r="E7" s="7"/>
      <c r="F7" s="7"/>
      <c r="G7" s="7"/>
      <c r="H7" s="7"/>
      <c r="I7" s="7"/>
      <c r="J7" s="7"/>
      <c r="K7" s="7"/>
      <c r="L7" s="7"/>
      <c r="M7" s="7"/>
      <c r="N7" s="7"/>
      <c r="O7" s="7"/>
      <c r="P7" s="7"/>
      <c r="Q7" s="7"/>
      <c r="R7" s="7"/>
      <c r="S7" s="7"/>
      <c r="T7" s="1582" t="s">
        <v>1675</v>
      </c>
      <c r="U7" s="1582"/>
      <c r="V7" s="1582"/>
      <c r="W7" s="1582"/>
      <c r="X7" s="1582"/>
      <c r="Y7" s="1582" t="s">
        <v>1819</v>
      </c>
      <c r="Z7" s="1582"/>
      <c r="AA7" s="1582"/>
      <c r="AB7" s="1582"/>
      <c r="AC7" s="1582"/>
      <c r="AD7" s="1582" t="s">
        <v>1421</v>
      </c>
      <c r="AE7" s="1582"/>
      <c r="AF7" s="1582"/>
      <c r="AG7" s="1582"/>
      <c r="AH7" s="1582"/>
      <c r="AI7" s="1582" t="s">
        <v>1820</v>
      </c>
      <c r="AJ7" s="1582"/>
      <c r="AK7" s="1582"/>
      <c r="AL7" s="1582"/>
      <c r="AM7" s="1582"/>
    </row>
    <row r="8" spans="1:40" ht="12.9" customHeight="1">
      <c r="B8" s="204"/>
      <c r="T8" s="1582"/>
      <c r="U8" s="1582"/>
      <c r="V8" s="1582"/>
      <c r="W8" s="1582"/>
      <c r="X8" s="1582"/>
      <c r="Y8" s="1582"/>
      <c r="Z8" s="1582"/>
      <c r="AA8" s="1582"/>
      <c r="AB8" s="1582"/>
      <c r="AC8" s="1582"/>
      <c r="AD8" s="1582"/>
      <c r="AE8" s="1582"/>
      <c r="AF8" s="1582"/>
      <c r="AG8" s="1582"/>
      <c r="AH8" s="1582"/>
      <c r="AI8" s="1582"/>
      <c r="AJ8" s="1582"/>
      <c r="AK8" s="1582"/>
      <c r="AL8" s="1582"/>
      <c r="AM8" s="1582"/>
    </row>
    <row r="9" spans="1:40" ht="12.9" customHeight="1">
      <c r="B9" s="204"/>
      <c r="T9" s="1582"/>
      <c r="U9" s="1582"/>
      <c r="V9" s="1582"/>
      <c r="W9" s="1582"/>
      <c r="X9" s="1582"/>
      <c r="Y9" s="1582"/>
      <c r="Z9" s="1582"/>
      <c r="AA9" s="1582"/>
      <c r="AB9" s="1582"/>
      <c r="AC9" s="1582"/>
      <c r="AD9" s="1582"/>
      <c r="AE9" s="1582"/>
      <c r="AF9" s="1582"/>
      <c r="AG9" s="1582"/>
      <c r="AH9" s="1582"/>
      <c r="AI9" s="1582"/>
      <c r="AJ9" s="1582"/>
      <c r="AK9" s="1582"/>
      <c r="AL9" s="1582"/>
      <c r="AM9" s="1582"/>
    </row>
    <row r="10" spans="1:40" ht="40.5" customHeight="1">
      <c r="B10" s="53"/>
      <c r="C10" s="54"/>
      <c r="D10" s="54"/>
      <c r="E10" s="54"/>
      <c r="F10" s="54"/>
      <c r="G10" s="54"/>
      <c r="H10" s="54"/>
      <c r="I10" s="54"/>
      <c r="J10" s="54"/>
      <c r="K10" s="54"/>
      <c r="L10" s="54"/>
      <c r="M10" s="54"/>
      <c r="N10" s="54"/>
      <c r="O10" s="54"/>
      <c r="P10" s="54"/>
      <c r="Q10" s="54"/>
      <c r="R10" s="54"/>
      <c r="S10" s="54"/>
      <c r="T10" s="1582"/>
      <c r="U10" s="1582"/>
      <c r="V10" s="1582"/>
      <c r="W10" s="1582"/>
      <c r="X10" s="1582"/>
      <c r="Y10" s="1582"/>
      <c r="Z10" s="1582"/>
      <c r="AA10" s="1582"/>
      <c r="AB10" s="1582"/>
      <c r="AC10" s="1582"/>
      <c r="AD10" s="1582"/>
      <c r="AE10" s="1582"/>
      <c r="AF10" s="1582"/>
      <c r="AG10" s="1582"/>
      <c r="AH10" s="1582"/>
      <c r="AI10" s="1582"/>
      <c r="AJ10" s="1582"/>
      <c r="AK10" s="1582"/>
      <c r="AL10" s="1582"/>
      <c r="AM10" s="1582"/>
    </row>
    <row r="11" spans="1:40" ht="12.9" customHeight="1">
      <c r="B11" s="1089" t="s">
        <v>537</v>
      </c>
      <c r="C11" s="1090"/>
      <c r="D11" s="1090"/>
      <c r="E11" s="1090"/>
      <c r="F11" s="1090"/>
      <c r="G11" s="1090"/>
      <c r="H11" s="1090"/>
      <c r="I11" s="1090"/>
      <c r="J11" s="1090"/>
      <c r="K11" s="1090"/>
      <c r="L11" s="1090"/>
      <c r="M11" s="1090"/>
      <c r="N11" s="1090"/>
      <c r="O11" s="1090"/>
      <c r="P11" s="1090"/>
      <c r="Q11" s="1090"/>
      <c r="R11" s="1090"/>
      <c r="S11" s="1092"/>
      <c r="T11" s="1613">
        <f>IF('Sources and Basis Breakdown'!F105=0,'Sources and Basis Breakdown'!E105,'Sources and Basis Breakdown'!F105)</f>
        <v>12895105</v>
      </c>
      <c r="U11" s="1600"/>
      <c r="V11" s="1600"/>
      <c r="W11" s="1600"/>
      <c r="X11" s="1600"/>
      <c r="Y11" s="1599">
        <f>IF('Sources and Basis Breakdown'!G105+'Sources and Basis Breakdown'!F105='Sources and Basis Breakdown'!E105,'Sources and Basis Breakdown'!G105,0)</f>
        <v>0</v>
      </c>
      <c r="Z11" s="1600"/>
      <c r="AA11" s="1600"/>
      <c r="AB11" s="1600"/>
      <c r="AC11" s="1600"/>
      <c r="AD11" s="1600">
        <f>IF('Sources and Basis Breakdown'!I105=0,'Sources and Basis Breakdown'!H105,'Sources and Basis Breakdown'!I105)</f>
        <v>0</v>
      </c>
      <c r="AE11" s="1600"/>
      <c r="AF11" s="1600"/>
      <c r="AG11" s="1600"/>
      <c r="AH11" s="1600"/>
      <c r="AI11" s="1600">
        <f>IF('Sources and Basis Breakdown'!I105+'Sources and Basis Breakdown'!J105='Sources and Basis Breakdown'!H105,'Sources and Basis Breakdown'!J105,0)</f>
        <v>0</v>
      </c>
      <c r="AJ11" s="1600"/>
      <c r="AK11" s="1600"/>
      <c r="AL11" s="1600"/>
      <c r="AM11" s="1600"/>
    </row>
    <row r="12" spans="1:40" ht="12.9" customHeight="1">
      <c r="B12" s="1607" t="s">
        <v>474</v>
      </c>
      <c r="C12" s="1000"/>
      <c r="D12" s="1000"/>
      <c r="E12" s="1000"/>
      <c r="F12" s="1000"/>
      <c r="G12" s="1000"/>
      <c r="H12" s="1000"/>
      <c r="I12" s="1000"/>
      <c r="J12" s="1000"/>
      <c r="K12" s="1000"/>
      <c r="L12" s="1000"/>
      <c r="M12" s="1000"/>
      <c r="N12" s="1000"/>
      <c r="O12" s="1000"/>
      <c r="P12" s="1000"/>
      <c r="Q12" s="1000"/>
      <c r="R12" s="1000"/>
      <c r="S12" s="1608"/>
      <c r="T12" s="1602"/>
      <c r="U12" s="1603"/>
      <c r="V12" s="1603"/>
      <c r="W12" s="1603"/>
      <c r="X12" s="1604"/>
      <c r="Y12" s="1602"/>
      <c r="Z12" s="1603"/>
      <c r="AA12" s="1603"/>
      <c r="AB12" s="1603"/>
      <c r="AC12" s="1604"/>
      <c r="AD12" s="1602"/>
      <c r="AE12" s="1603"/>
      <c r="AF12" s="1603"/>
      <c r="AG12" s="1603"/>
      <c r="AH12" s="1604"/>
      <c r="AI12" s="1602"/>
      <c r="AJ12" s="1603"/>
      <c r="AK12" s="1603"/>
      <c r="AL12" s="1603"/>
      <c r="AM12" s="1604"/>
    </row>
    <row r="13" spans="1:40" ht="12.9" customHeight="1">
      <c r="B13" s="8"/>
      <c r="C13" s="1609" t="s">
        <v>1783</v>
      </c>
      <c r="D13" s="1610"/>
      <c r="E13" s="1610"/>
      <c r="F13" s="1610"/>
      <c r="G13" s="1610"/>
      <c r="H13" s="1610"/>
      <c r="I13" s="1610"/>
      <c r="J13" s="1610"/>
      <c r="K13" s="1610"/>
      <c r="L13" s="1610"/>
      <c r="M13" s="1610"/>
      <c r="N13" s="1610"/>
      <c r="O13" s="1610"/>
      <c r="P13" s="1610"/>
      <c r="Q13" s="1610"/>
      <c r="R13" s="1610"/>
      <c r="S13" s="1611"/>
      <c r="T13" s="1601">
        <f>'Basis &amp; Credits'!T13</f>
        <v>0</v>
      </c>
      <c r="U13" s="1598"/>
      <c r="V13" s="1598"/>
      <c r="W13" s="1598"/>
      <c r="X13" s="1598"/>
      <c r="Y13" s="1601">
        <f>'Basis &amp; Credits'!Y13</f>
        <v>0</v>
      </c>
      <c r="Z13" s="1598"/>
      <c r="AA13" s="1598"/>
      <c r="AB13" s="1598"/>
      <c r="AC13" s="1598"/>
      <c r="AD13" s="1598">
        <f>'Basis &amp; Credits'!AD13</f>
        <v>0</v>
      </c>
      <c r="AE13" s="1598"/>
      <c r="AF13" s="1598"/>
      <c r="AG13" s="1598"/>
      <c r="AH13" s="1598"/>
      <c r="AI13" s="1598">
        <f>'Basis &amp; Credits'!AI13</f>
        <v>0</v>
      </c>
      <c r="AJ13" s="1598"/>
      <c r="AK13" s="1598"/>
      <c r="AL13" s="1598"/>
      <c r="AM13" s="1598"/>
    </row>
    <row r="14" spans="1:40" ht="12.9" customHeight="1">
      <c r="B14" s="8"/>
      <c r="C14" s="1610" t="s">
        <v>803</v>
      </c>
      <c r="D14" s="1610"/>
      <c r="E14" s="1610"/>
      <c r="F14" s="1610"/>
      <c r="G14" s="1610"/>
      <c r="H14" s="1610"/>
      <c r="I14" s="1610"/>
      <c r="J14" s="1610"/>
      <c r="K14" s="1610"/>
      <c r="L14" s="1610"/>
      <c r="M14" s="1610"/>
      <c r="N14" s="1610"/>
      <c r="O14" s="1610"/>
      <c r="P14" s="1610"/>
      <c r="Q14" s="1610"/>
      <c r="R14" s="1610"/>
      <c r="S14" s="1611"/>
      <c r="T14" s="1060">
        <f>'Basis &amp; Credits'!T14</f>
        <v>0</v>
      </c>
      <c r="U14" s="1236"/>
      <c r="V14" s="1236"/>
      <c r="W14" s="1236"/>
      <c r="X14" s="1236"/>
      <c r="Y14" s="1060">
        <f>'Basis &amp; Credits'!Y14</f>
        <v>0</v>
      </c>
      <c r="Z14" s="1236"/>
      <c r="AA14" s="1236"/>
      <c r="AB14" s="1236"/>
      <c r="AC14" s="1236"/>
      <c r="AD14" s="1236">
        <f>'Basis &amp; Credits'!AD14</f>
        <v>0</v>
      </c>
      <c r="AE14" s="1236"/>
      <c r="AF14" s="1236"/>
      <c r="AG14" s="1236"/>
      <c r="AH14" s="1236"/>
      <c r="AI14" s="1236">
        <f>'Basis &amp; Credits'!AI14</f>
        <v>0</v>
      </c>
      <c r="AJ14" s="1236"/>
      <c r="AK14" s="1236"/>
      <c r="AL14" s="1236"/>
      <c r="AM14" s="1236"/>
    </row>
    <row r="15" spans="1:40" ht="12.9" customHeight="1">
      <c r="B15" s="8"/>
      <c r="C15" s="1610" t="s">
        <v>804</v>
      </c>
      <c r="D15" s="1610"/>
      <c r="E15" s="1610"/>
      <c r="F15" s="1610"/>
      <c r="G15" s="1610"/>
      <c r="H15" s="1610"/>
      <c r="I15" s="1610"/>
      <c r="J15" s="1610"/>
      <c r="K15" s="1610"/>
      <c r="L15" s="1610"/>
      <c r="M15" s="1610"/>
      <c r="N15" s="1610"/>
      <c r="O15" s="1610"/>
      <c r="P15" s="1610"/>
      <c r="Q15" s="1610"/>
      <c r="R15" s="1610"/>
      <c r="S15" s="1611"/>
      <c r="T15" s="1060">
        <f>'Basis &amp; Credits'!T15</f>
        <v>0</v>
      </c>
      <c r="U15" s="1236"/>
      <c r="V15" s="1236"/>
      <c r="W15" s="1236"/>
      <c r="X15" s="1236"/>
      <c r="Y15" s="1060">
        <f>'Basis &amp; Credits'!Y15</f>
        <v>0</v>
      </c>
      <c r="Z15" s="1236"/>
      <c r="AA15" s="1236"/>
      <c r="AB15" s="1236"/>
      <c r="AC15" s="1236"/>
      <c r="AD15" s="1236">
        <f>'Basis &amp; Credits'!AD15</f>
        <v>0</v>
      </c>
      <c r="AE15" s="1236"/>
      <c r="AF15" s="1236"/>
      <c r="AG15" s="1236"/>
      <c r="AH15" s="1236"/>
      <c r="AI15" s="1236">
        <f>'Basis &amp; Credits'!AI15</f>
        <v>0</v>
      </c>
      <c r="AJ15" s="1236"/>
      <c r="AK15" s="1236"/>
      <c r="AL15" s="1236"/>
      <c r="AM15" s="1236"/>
    </row>
    <row r="16" spans="1:40" ht="12.9" customHeight="1">
      <c r="B16" s="8"/>
      <c r="C16" s="1609" t="s">
        <v>1055</v>
      </c>
      <c r="D16" s="1609"/>
      <c r="E16" s="1609"/>
      <c r="F16" s="1609"/>
      <c r="G16" s="1609"/>
      <c r="H16" s="1609"/>
      <c r="I16" s="1609"/>
      <c r="J16" s="1609"/>
      <c r="K16" s="1609"/>
      <c r="L16" s="1609"/>
      <c r="M16" s="1609"/>
      <c r="N16" s="1609"/>
      <c r="O16" s="1609"/>
      <c r="P16" s="1609"/>
      <c r="Q16" s="1609"/>
      <c r="R16" s="1609"/>
      <c r="S16" s="1612"/>
      <c r="T16" s="1060">
        <f>'Basis &amp; Credits'!T16</f>
        <v>0</v>
      </c>
      <c r="U16" s="1236"/>
      <c r="V16" s="1236"/>
      <c r="W16" s="1236"/>
      <c r="X16" s="1236"/>
      <c r="Y16" s="1060">
        <f>'Basis &amp; Credits'!Y16</f>
        <v>0</v>
      </c>
      <c r="Z16" s="1236"/>
      <c r="AA16" s="1236"/>
      <c r="AB16" s="1236"/>
      <c r="AC16" s="1236"/>
      <c r="AD16" s="1236">
        <f>'Basis &amp; Credits'!AD16</f>
        <v>0</v>
      </c>
      <c r="AE16" s="1236"/>
      <c r="AF16" s="1236"/>
      <c r="AG16" s="1236"/>
      <c r="AH16" s="1236"/>
      <c r="AI16" s="1236">
        <f>'Basis &amp; Credits'!AI16</f>
        <v>0</v>
      </c>
      <c r="AJ16" s="1236"/>
      <c r="AK16" s="1236"/>
      <c r="AL16" s="1236"/>
      <c r="AM16" s="1236"/>
    </row>
    <row r="17" spans="1:39" ht="12.9" customHeight="1">
      <c r="B17" s="8"/>
      <c r="C17" s="1610" t="s">
        <v>805</v>
      </c>
      <c r="D17" s="1610"/>
      <c r="E17" s="1610"/>
      <c r="F17" s="1610"/>
      <c r="G17" s="1610"/>
      <c r="H17" s="1610"/>
      <c r="I17" s="1610"/>
      <c r="J17" s="1610"/>
      <c r="K17" s="1610"/>
      <c r="L17" s="1610"/>
      <c r="M17" s="1610"/>
      <c r="N17" s="1610"/>
      <c r="O17" s="1610"/>
      <c r="P17" s="1610"/>
      <c r="Q17" s="1610"/>
      <c r="R17" s="1610"/>
      <c r="S17" s="1611"/>
      <c r="T17" s="1060">
        <f>'Basis &amp; Credits'!T17</f>
        <v>0</v>
      </c>
      <c r="U17" s="1236"/>
      <c r="V17" s="1236"/>
      <c r="W17" s="1236"/>
      <c r="X17" s="1236"/>
      <c r="Y17" s="1060">
        <f>'Basis &amp; Credits'!Y17</f>
        <v>0</v>
      </c>
      <c r="Z17" s="1236"/>
      <c r="AA17" s="1236"/>
      <c r="AB17" s="1236"/>
      <c r="AC17" s="1236"/>
      <c r="AD17" s="1236">
        <f>'Basis &amp; Credits'!AD17</f>
        <v>0</v>
      </c>
      <c r="AE17" s="1236"/>
      <c r="AF17" s="1236"/>
      <c r="AG17" s="1236"/>
      <c r="AH17" s="1236"/>
      <c r="AI17" s="1236">
        <f>'Basis &amp; Credits'!AI17</f>
        <v>0</v>
      </c>
      <c r="AJ17" s="1236"/>
      <c r="AK17" s="1236"/>
      <c r="AL17" s="1236"/>
      <c r="AM17" s="1236"/>
    </row>
    <row r="18" spans="1:39" ht="12.9" customHeight="1">
      <c r="B18" s="600"/>
      <c r="C18" s="1609" t="s">
        <v>1425</v>
      </c>
      <c r="D18" s="1610"/>
      <c r="E18" s="1610"/>
      <c r="F18" s="1610"/>
      <c r="G18" s="1610"/>
      <c r="H18" s="1610"/>
      <c r="I18" s="1610"/>
      <c r="J18" s="1610"/>
      <c r="K18" s="1610"/>
      <c r="L18" s="1610"/>
      <c r="M18" s="1610"/>
      <c r="N18" s="1610"/>
      <c r="O18" s="1610"/>
      <c r="P18" s="1610"/>
      <c r="Q18" s="1610"/>
      <c r="R18" s="1610"/>
      <c r="S18" s="1611"/>
      <c r="T18" s="1058">
        <f>'Basis &amp; Credits'!T18</f>
        <v>0</v>
      </c>
      <c r="U18" s="1059"/>
      <c r="V18" s="1059"/>
      <c r="W18" s="1059"/>
      <c r="X18" s="1060"/>
      <c r="Y18" s="1060">
        <f>'Basis &amp; Credits'!Y18</f>
        <v>0</v>
      </c>
      <c r="Z18" s="1236"/>
      <c r="AA18" s="1236"/>
      <c r="AB18" s="1236"/>
      <c r="AC18" s="1236"/>
      <c r="AD18" s="1236">
        <f>'Basis &amp; Credits'!AD18</f>
        <v>0</v>
      </c>
      <c r="AE18" s="1236"/>
      <c r="AF18" s="1236"/>
      <c r="AG18" s="1236"/>
      <c r="AH18" s="1236"/>
      <c r="AI18" s="1236">
        <f>'Basis &amp; Credits'!AI18</f>
        <v>0</v>
      </c>
      <c r="AJ18" s="1236"/>
      <c r="AK18" s="1236"/>
      <c r="AL18" s="1236"/>
      <c r="AM18" s="1236"/>
    </row>
    <row r="19" spans="1:39" ht="12.9" customHeight="1">
      <c r="B19" s="490"/>
      <c r="C19" s="1605" t="str">
        <f>'Basis &amp; Credits'!C19:S19</f>
        <v>Subtract (specify other ineligible amounts):</v>
      </c>
      <c r="D19" s="1605"/>
      <c r="E19" s="1605"/>
      <c r="F19" s="1605"/>
      <c r="G19" s="1605"/>
      <c r="H19" s="1605"/>
      <c r="I19" s="1605"/>
      <c r="J19" s="1605"/>
      <c r="K19" s="1605"/>
      <c r="L19" s="1605"/>
      <c r="M19" s="1605"/>
      <c r="N19" s="1605"/>
      <c r="O19" s="1605"/>
      <c r="P19" s="1605"/>
      <c r="Q19" s="1605"/>
      <c r="R19" s="1605"/>
      <c r="S19" s="1606"/>
      <c r="T19" s="1060">
        <f>'Basis &amp; Credits'!T19</f>
        <v>0</v>
      </c>
      <c r="U19" s="1236"/>
      <c r="V19" s="1236"/>
      <c r="W19" s="1236"/>
      <c r="X19" s="1236"/>
      <c r="Y19" s="1060">
        <f>'Basis &amp; Credits'!Y19</f>
        <v>0</v>
      </c>
      <c r="Z19" s="1236"/>
      <c r="AA19" s="1236"/>
      <c r="AB19" s="1236"/>
      <c r="AC19" s="1236"/>
      <c r="AD19" s="1236">
        <f>'Basis &amp; Credits'!AD19</f>
        <v>0</v>
      </c>
      <c r="AE19" s="1236"/>
      <c r="AF19" s="1236"/>
      <c r="AG19" s="1236"/>
      <c r="AH19" s="1236"/>
      <c r="AI19" s="1236">
        <f>'Basis &amp; Credits'!AI19</f>
        <v>0</v>
      </c>
      <c r="AJ19" s="1236"/>
      <c r="AK19" s="1236"/>
      <c r="AL19" s="1236"/>
      <c r="AM19" s="1236"/>
    </row>
    <row r="20" spans="1:39" ht="12.9" customHeight="1">
      <c r="B20" s="1089" t="s">
        <v>806</v>
      </c>
      <c r="C20" s="1090"/>
      <c r="D20" s="1090"/>
      <c r="E20" s="1090"/>
      <c r="F20" s="1090"/>
      <c r="G20" s="1090"/>
      <c r="H20" s="1090"/>
      <c r="I20" s="1090"/>
      <c r="J20" s="1090"/>
      <c r="K20" s="1090"/>
      <c r="L20" s="1090"/>
      <c r="M20" s="1090"/>
      <c r="N20" s="1090"/>
      <c r="O20" s="1090"/>
      <c r="P20" s="1090"/>
      <c r="Q20" s="1090"/>
      <c r="R20" s="1090"/>
      <c r="S20" s="1092"/>
      <c r="T20" s="1579">
        <f>SUM(T13:X19)</f>
        <v>0</v>
      </c>
      <c r="U20" s="1307"/>
      <c r="V20" s="1307"/>
      <c r="W20" s="1307"/>
      <c r="X20" s="1307"/>
      <c r="Y20" s="1579">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 customHeight="1">
      <c r="B21" s="1089" t="s">
        <v>1782</v>
      </c>
      <c r="C21" s="1090"/>
      <c r="D21" s="1090"/>
      <c r="E21" s="1090"/>
      <c r="F21" s="1090"/>
      <c r="G21" s="1090"/>
      <c r="H21" s="1090"/>
      <c r="I21" s="1090"/>
      <c r="J21" s="1090"/>
      <c r="K21" s="1090"/>
      <c r="L21" s="1090"/>
      <c r="M21" s="1090"/>
      <c r="N21" s="1090"/>
      <c r="O21" s="1090"/>
      <c r="P21" s="1090"/>
      <c r="Q21" s="1090"/>
      <c r="R21" s="1090"/>
      <c r="S21" s="1092"/>
      <c r="T21" s="1060">
        <f>'Basis &amp; Credits'!T21</f>
        <v>974400</v>
      </c>
      <c r="U21" s="1236"/>
      <c r="V21" s="1236"/>
      <c r="W21" s="1236"/>
      <c r="X21" s="1236"/>
      <c r="Y21" s="1060">
        <f>'Basis &amp; Credits'!Y21</f>
        <v>0</v>
      </c>
      <c r="Z21" s="1236"/>
      <c r="AA21" s="1236"/>
      <c r="AB21" s="1236"/>
      <c r="AC21" s="1236"/>
      <c r="AD21" s="1236">
        <f>'Basis &amp; Credits'!AD21</f>
        <v>0</v>
      </c>
      <c r="AE21" s="1236"/>
      <c r="AF21" s="1236"/>
      <c r="AG21" s="1236"/>
      <c r="AH21" s="1236"/>
      <c r="AI21" s="1236">
        <f>'Basis &amp; Credits'!AI21</f>
        <v>0</v>
      </c>
      <c r="AJ21" s="1236"/>
      <c r="AK21" s="1236"/>
      <c r="AL21" s="1236"/>
      <c r="AM21" s="1236"/>
    </row>
    <row r="22" spans="1:39" ht="12.9" customHeight="1">
      <c r="B22" s="1089" t="s">
        <v>807</v>
      </c>
      <c r="C22" s="1090"/>
      <c r="D22" s="1090"/>
      <c r="E22" s="1090"/>
      <c r="F22" s="1090"/>
      <c r="G22" s="1090"/>
      <c r="H22" s="1090"/>
      <c r="I22" s="1090"/>
      <c r="J22" s="1090"/>
      <c r="K22" s="1090"/>
      <c r="L22" s="1090"/>
      <c r="M22" s="1090"/>
      <c r="N22" s="1090"/>
      <c r="O22" s="1090"/>
      <c r="P22" s="1090"/>
      <c r="Q22" s="1090"/>
      <c r="R22" s="1090"/>
      <c r="S22" s="1092"/>
      <c r="T22" s="1614">
        <f>(T20+T21)*-1</f>
        <v>-974400</v>
      </c>
      <c r="U22" s="1615"/>
      <c r="V22" s="1615"/>
      <c r="W22" s="1615"/>
      <c r="X22" s="1615"/>
      <c r="Y22" s="1614">
        <f>(Y20+Y21)*-1</f>
        <v>0</v>
      </c>
      <c r="Z22" s="1615"/>
      <c r="AA22" s="1615"/>
      <c r="AB22" s="1615"/>
      <c r="AC22" s="1615"/>
      <c r="AD22" s="1614">
        <f>(AD20+AD21)*-1</f>
        <v>0</v>
      </c>
      <c r="AE22" s="1615"/>
      <c r="AF22" s="1615"/>
      <c r="AG22" s="1615"/>
      <c r="AH22" s="1615"/>
      <c r="AI22" s="1614">
        <f>(AI20+AI21)*-1</f>
        <v>0</v>
      </c>
      <c r="AJ22" s="1615"/>
      <c r="AK22" s="1615"/>
      <c r="AL22" s="1615"/>
      <c r="AM22" s="1615"/>
    </row>
    <row r="23" spans="1:39" ht="12.9" customHeight="1">
      <c r="B23" s="1089" t="s">
        <v>808</v>
      </c>
      <c r="C23" s="1090"/>
      <c r="D23" s="1090"/>
      <c r="E23" s="1090"/>
      <c r="F23" s="1090"/>
      <c r="G23" s="1090"/>
      <c r="H23" s="1090"/>
      <c r="I23" s="1090"/>
      <c r="J23" s="1090"/>
      <c r="K23" s="1090"/>
      <c r="L23" s="1090"/>
      <c r="M23" s="1090"/>
      <c r="N23" s="1090"/>
      <c r="O23" s="1090"/>
      <c r="P23" s="1090"/>
      <c r="Q23" s="1090"/>
      <c r="R23" s="1090"/>
      <c r="S23" s="1092"/>
      <c r="T23" s="1579">
        <f>T11+T22</f>
        <v>11920705</v>
      </c>
      <c r="U23" s="1307"/>
      <c r="V23" s="1307"/>
      <c r="W23" s="1307"/>
      <c r="X23" s="1307"/>
      <c r="Y23" s="1579">
        <f>Y11+Y22</f>
        <v>0</v>
      </c>
      <c r="Z23" s="1307"/>
      <c r="AA23" s="1307"/>
      <c r="AB23" s="1307"/>
      <c r="AC23" s="1307"/>
      <c r="AD23" s="1579">
        <f>AD11+AD22</f>
        <v>0</v>
      </c>
      <c r="AE23" s="1307"/>
      <c r="AF23" s="1307"/>
      <c r="AG23" s="1307"/>
      <c r="AH23" s="1307"/>
      <c r="AI23" s="1579">
        <f>AI11+AI22</f>
        <v>0</v>
      </c>
      <c r="AJ23" s="1307"/>
      <c r="AK23" s="1307"/>
      <c r="AL23" s="1307"/>
      <c r="AM23" s="1307"/>
    </row>
    <row r="24" spans="1:39" ht="12.9" customHeight="1">
      <c r="B24" s="1089" t="s">
        <v>1268</v>
      </c>
      <c r="C24" s="1090"/>
      <c r="D24" s="1090"/>
      <c r="E24" s="1090"/>
      <c r="F24" s="1090"/>
      <c r="G24" s="1090"/>
      <c r="H24" s="1090"/>
      <c r="I24" s="1090"/>
      <c r="J24" s="1090"/>
      <c r="K24" s="1090"/>
      <c r="L24" s="1090"/>
      <c r="M24" s="1090"/>
      <c r="N24" s="1090"/>
      <c r="O24" s="1090"/>
      <c r="P24" s="1090"/>
      <c r="Q24" s="1090"/>
      <c r="R24" s="1090"/>
      <c r="S24" s="1092"/>
      <c r="T24" s="1580">
        <f>Application!AD979</f>
        <v>0</v>
      </c>
      <c r="U24" s="1581"/>
      <c r="V24" s="1581"/>
      <c r="W24" s="1581"/>
      <c r="X24" s="1581"/>
      <c r="Y24" s="1581"/>
      <c r="Z24" s="1581"/>
      <c r="AA24" s="1581"/>
      <c r="AB24" s="1581"/>
      <c r="AC24" s="1581"/>
      <c r="AD24" s="1581"/>
      <c r="AE24" s="1581"/>
      <c r="AF24" s="1581"/>
      <c r="AG24" s="1581"/>
      <c r="AH24" s="1581"/>
      <c r="AI24" s="1581"/>
      <c r="AJ24" s="1581"/>
      <c r="AK24" s="1581"/>
      <c r="AL24" s="1581"/>
      <c r="AM24" s="1579"/>
    </row>
    <row r="25" spans="1:39" ht="12.9" customHeight="1">
      <c r="B25" s="1621" t="s">
        <v>1818</v>
      </c>
      <c r="C25" s="1622"/>
      <c r="D25" s="1622"/>
      <c r="E25" s="1622"/>
      <c r="F25" s="1622"/>
      <c r="G25" s="1622"/>
      <c r="H25" s="1622"/>
      <c r="I25" s="1622"/>
      <c r="J25" s="1622"/>
      <c r="K25" s="1622"/>
      <c r="L25" s="1622"/>
      <c r="M25" s="1622"/>
      <c r="N25" s="1622"/>
      <c r="O25" s="1622"/>
      <c r="P25" s="1622"/>
      <c r="Q25" s="1622"/>
      <c r="R25" s="1622"/>
      <c r="S25" s="1623"/>
      <c r="T25" s="1616">
        <v>1</v>
      </c>
      <c r="U25" s="1617"/>
      <c r="V25" s="1617"/>
      <c r="W25" s="1617"/>
      <c r="X25" s="1617"/>
      <c r="Y25" s="1616">
        <v>1</v>
      </c>
      <c r="Z25" s="1617"/>
      <c r="AA25" s="1617"/>
      <c r="AB25" s="1617"/>
      <c r="AC25" s="1620"/>
      <c r="AD25" s="1616">
        <v>1</v>
      </c>
      <c r="AE25" s="1617"/>
      <c r="AF25" s="1617"/>
      <c r="AG25" s="1617"/>
      <c r="AH25" s="1620"/>
      <c r="AI25" s="1616">
        <v>1</v>
      </c>
      <c r="AJ25" s="1617"/>
      <c r="AK25" s="1617"/>
      <c r="AL25" s="1617"/>
      <c r="AM25" s="1620"/>
    </row>
    <row r="26" spans="1:39" ht="12.9" customHeight="1">
      <c r="B26" s="1089" t="s">
        <v>809</v>
      </c>
      <c r="C26" s="1090"/>
      <c r="D26" s="1090"/>
      <c r="E26" s="1090"/>
      <c r="F26" s="1090"/>
      <c r="G26" s="1090"/>
      <c r="H26" s="1090"/>
      <c r="I26" s="1090"/>
      <c r="J26" s="1090"/>
      <c r="K26" s="1090"/>
      <c r="L26" s="1090"/>
      <c r="M26" s="1090"/>
      <c r="N26" s="1090"/>
      <c r="O26" s="1090"/>
      <c r="P26" s="1090"/>
      <c r="Q26" s="1090"/>
      <c r="R26" s="1090"/>
      <c r="S26" s="1092"/>
      <c r="T26" s="1232">
        <f>T23*T25</f>
        <v>11920705</v>
      </c>
      <c r="U26" s="1591"/>
      <c r="V26" s="1591"/>
      <c r="W26" s="1591"/>
      <c r="X26" s="1591"/>
      <c r="Y26" s="1232">
        <f>Y23*Y25</f>
        <v>0</v>
      </c>
      <c r="Z26" s="1591"/>
      <c r="AA26" s="1591"/>
      <c r="AB26" s="1591"/>
      <c r="AC26" s="1591"/>
      <c r="AD26" s="1232">
        <f>AD23*AD25</f>
        <v>0</v>
      </c>
      <c r="AE26" s="1591"/>
      <c r="AF26" s="1591"/>
      <c r="AG26" s="1591"/>
      <c r="AH26" s="1591"/>
      <c r="AI26" s="1232">
        <f>AI23*AI25</f>
        <v>0</v>
      </c>
      <c r="AJ26" s="1591"/>
      <c r="AK26" s="1591"/>
      <c r="AL26" s="1591"/>
      <c r="AM26" s="1591"/>
    </row>
    <row r="27" spans="1:39" ht="12.9" customHeight="1">
      <c r="A27" s="4"/>
      <c r="B27" s="1624" t="s">
        <v>918</v>
      </c>
      <c r="C27" s="1625"/>
      <c r="D27" s="1625"/>
      <c r="E27" s="1625"/>
      <c r="F27" s="1625"/>
      <c r="G27" s="1625"/>
      <c r="H27" s="1625"/>
      <c r="I27" s="1625"/>
      <c r="J27" s="1625"/>
      <c r="K27" s="1625"/>
      <c r="L27" s="1625"/>
      <c r="M27" s="1625"/>
      <c r="N27" s="1625"/>
      <c r="O27" s="1625"/>
      <c r="P27" s="1625"/>
      <c r="Q27" s="1625"/>
      <c r="R27" s="1625"/>
      <c r="S27" s="1626"/>
      <c r="T27" s="1618">
        <f>Application!AG438</f>
        <v>1</v>
      </c>
      <c r="U27" s="1619"/>
      <c r="V27" s="1619"/>
      <c r="W27" s="1619"/>
      <c r="X27" s="1619"/>
      <c r="Y27" s="1618">
        <f>Application!AG438</f>
        <v>1</v>
      </c>
      <c r="Z27" s="1619"/>
      <c r="AA27" s="1619"/>
      <c r="AB27" s="1619"/>
      <c r="AC27" s="1619"/>
      <c r="AD27" s="1618">
        <f>Application!AG438</f>
        <v>1</v>
      </c>
      <c r="AE27" s="1619"/>
      <c r="AF27" s="1619"/>
      <c r="AG27" s="1619"/>
      <c r="AH27" s="1619"/>
      <c r="AI27" s="1618">
        <f>Application!AG438</f>
        <v>1</v>
      </c>
      <c r="AJ27" s="1619"/>
      <c r="AK27" s="1619"/>
      <c r="AL27" s="1619"/>
      <c r="AM27" s="1619"/>
    </row>
    <row r="28" spans="1:39" ht="12.9" customHeight="1">
      <c r="A28" s="3"/>
      <c r="B28" s="1089" t="s">
        <v>882</v>
      </c>
      <c r="C28" s="1090"/>
      <c r="D28" s="1090"/>
      <c r="E28" s="1090"/>
      <c r="F28" s="1090"/>
      <c r="G28" s="1090"/>
      <c r="H28" s="1090"/>
      <c r="I28" s="1090"/>
      <c r="J28" s="1090"/>
      <c r="K28" s="1090"/>
      <c r="L28" s="1090"/>
      <c r="M28" s="1090"/>
      <c r="N28" s="1090"/>
      <c r="O28" s="1090"/>
      <c r="P28" s="1090"/>
      <c r="Q28" s="1090"/>
      <c r="R28" s="1090"/>
      <c r="S28" s="1092"/>
      <c r="T28" s="1232">
        <f>IF(ISERROR((T26*T27)),0,(T26*T27))</f>
        <v>11920705</v>
      </c>
      <c r="U28" s="1591"/>
      <c r="V28" s="1591"/>
      <c r="W28" s="1591"/>
      <c r="X28" s="1591"/>
      <c r="Y28" s="1232">
        <f>IF(ISERROR((Y26*Y27)),0,(Y26*Y27))</f>
        <v>0</v>
      </c>
      <c r="Z28" s="1591"/>
      <c r="AA28" s="1591"/>
      <c r="AB28" s="1591"/>
      <c r="AC28" s="1591"/>
      <c r="AD28" s="1232">
        <f>IF(ISERROR((AD26*AD27)),0,(AD26*AD27))</f>
        <v>0</v>
      </c>
      <c r="AE28" s="1591"/>
      <c r="AF28" s="1591"/>
      <c r="AG28" s="1591"/>
      <c r="AH28" s="1591"/>
      <c r="AI28" s="1232">
        <f>IF(ISERROR((AI26*AI27)),0,(AI26*AI27))</f>
        <v>0</v>
      </c>
      <c r="AJ28" s="1591"/>
      <c r="AK28" s="1591"/>
      <c r="AL28" s="1591"/>
      <c r="AM28" s="1591"/>
    </row>
    <row r="29" spans="1:39" ht="12.9" customHeight="1">
      <c r="B29" s="1089" t="s">
        <v>657</v>
      </c>
      <c r="C29" s="1090"/>
      <c r="D29" s="1090"/>
      <c r="E29" s="1090"/>
      <c r="F29" s="1090"/>
      <c r="G29" s="1090"/>
      <c r="H29" s="1090"/>
      <c r="I29" s="1090"/>
      <c r="J29" s="1090"/>
      <c r="K29" s="1090"/>
      <c r="L29" s="1090"/>
      <c r="M29" s="1090"/>
      <c r="N29" s="1090"/>
      <c r="O29" s="1090"/>
      <c r="P29" s="1090"/>
      <c r="Q29" s="1090"/>
      <c r="R29" s="1090"/>
      <c r="S29" s="1092"/>
      <c r="T29" s="1580">
        <f>T28+Y28+AD28+AI28</f>
        <v>11920705</v>
      </c>
      <c r="U29" s="1581"/>
      <c r="V29" s="1581"/>
      <c r="W29" s="1581"/>
      <c r="X29" s="1581"/>
      <c r="Y29" s="1581"/>
      <c r="Z29" s="1581"/>
      <c r="AA29" s="1581"/>
      <c r="AB29" s="1581"/>
      <c r="AC29" s="1581"/>
      <c r="AD29" s="1581"/>
      <c r="AE29" s="1581"/>
      <c r="AF29" s="1581"/>
      <c r="AG29" s="1581"/>
      <c r="AH29" s="1581"/>
      <c r="AI29" s="1581"/>
      <c r="AJ29" s="1581"/>
      <c r="AK29" s="1581"/>
      <c r="AL29" s="1581"/>
      <c r="AM29" s="1579"/>
    </row>
    <row r="30" spans="1:39" ht="12.9" customHeight="1">
      <c r="B30" s="1939"/>
      <c r="C30" s="1939"/>
      <c r="D30" s="1939"/>
      <c r="E30" s="1939"/>
      <c r="F30" s="1939"/>
      <c r="G30" s="1939"/>
      <c r="H30" s="1939"/>
      <c r="I30" s="1939"/>
      <c r="J30" s="1939"/>
      <c r="K30" s="1939"/>
      <c r="L30" s="1939"/>
      <c r="M30" s="1939"/>
      <c r="N30" s="1939"/>
      <c r="O30" s="1939"/>
      <c r="P30" s="1939"/>
      <c r="Q30" s="1939"/>
      <c r="R30" s="1939"/>
      <c r="S30" s="1939"/>
      <c r="T30" s="1939"/>
      <c r="U30" s="1939"/>
      <c r="V30" s="1939"/>
      <c r="W30" s="1939"/>
      <c r="X30" s="1939"/>
      <c r="Y30" s="1939"/>
      <c r="Z30" s="1939"/>
      <c r="AA30" s="1939"/>
      <c r="AB30" s="1939"/>
      <c r="AC30" s="1939"/>
      <c r="AD30" s="1939"/>
      <c r="AE30" s="1939"/>
      <c r="AF30" s="1939"/>
      <c r="AG30" s="1939"/>
      <c r="AH30" s="1939"/>
      <c r="AI30" s="1939"/>
      <c r="AJ30" s="1939"/>
      <c r="AK30" s="1939"/>
      <c r="AL30" s="1939"/>
      <c r="AM30" s="1939"/>
    </row>
    <row r="31" spans="1:39" ht="12.9" customHeight="1">
      <c r="C31" s="343"/>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220</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82" t="s">
        <v>1674</v>
      </c>
      <c r="Z35" s="1582"/>
      <c r="AA35" s="1582"/>
      <c r="AB35" s="1582"/>
      <c r="AC35" s="1582"/>
      <c r="AD35" s="1222" t="s">
        <v>45</v>
      </c>
      <c r="AE35" s="1222"/>
      <c r="AF35" s="1222"/>
      <c r="AG35" s="1222"/>
      <c r="AH35" s="1222"/>
    </row>
    <row r="36" spans="1:40" ht="12.9" customHeight="1">
      <c r="B36" s="204"/>
      <c r="X36" s="71"/>
      <c r="Y36" s="1582"/>
      <c r="Z36" s="1582"/>
      <c r="AA36" s="1582"/>
      <c r="AB36" s="1582"/>
      <c r="AC36" s="1582"/>
      <c r="AD36" s="1222"/>
      <c r="AE36" s="1222"/>
      <c r="AF36" s="1222"/>
      <c r="AG36" s="1222"/>
      <c r="AH36" s="122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2"/>
      <c r="Z37" s="1582"/>
      <c r="AA37" s="1582"/>
      <c r="AB37" s="1582"/>
      <c r="AC37" s="1582"/>
      <c r="AD37" s="1222"/>
      <c r="AE37" s="1222"/>
      <c r="AF37" s="1222"/>
      <c r="AG37" s="1222"/>
      <c r="AH37" s="1222"/>
    </row>
    <row r="38" spans="1:40" ht="12.9" customHeight="1">
      <c r="A38" s="3"/>
      <c r="B38" s="1089" t="s">
        <v>882</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7">
        <f>IF(T24&gt;=(T23+Y23+AD23+AI23),T28+Y28,0)</f>
        <v>0</v>
      </c>
      <c r="Z38" s="1307"/>
      <c r="AA38" s="1307"/>
      <c r="AB38" s="1307"/>
      <c r="AC38" s="1307"/>
      <c r="AD38" s="1307">
        <f>IF(T24&gt;=(T23+Y23+AD23+AI23),AD28+AI28,0)</f>
        <v>0</v>
      </c>
      <c r="AE38" s="1307"/>
      <c r="AF38" s="1307"/>
      <c r="AG38" s="1307"/>
      <c r="AH38" s="1307"/>
    </row>
    <row r="39" spans="1:40" ht="12.9" customHeight="1">
      <c r="B39" s="1089" t="s">
        <v>800</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0">
        <v>0.09</v>
      </c>
      <c r="Z39" s="1940"/>
      <c r="AA39" s="1940"/>
      <c r="AB39" s="1940"/>
      <c r="AC39" s="1940"/>
      <c r="AD39" s="1940">
        <f>'Basis &amp; Credits'!AD39:AH39</f>
        <v>0.04</v>
      </c>
      <c r="AE39" s="1940"/>
      <c r="AF39" s="1940"/>
      <c r="AG39" s="1940"/>
      <c r="AH39" s="1940"/>
    </row>
    <row r="40" spans="1:40" ht="12.9"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7">
        <f>ROUND(Y38*Y39,0)</f>
        <v>0</v>
      </c>
      <c r="Z40" s="1307"/>
      <c r="AA40" s="1307"/>
      <c r="AB40" s="1307"/>
      <c r="AC40" s="1307"/>
      <c r="AD40" s="1579">
        <f>ROUND(AD38*AD39,0)</f>
        <v>0</v>
      </c>
      <c r="AE40" s="1307"/>
      <c r="AF40" s="1307"/>
      <c r="AG40" s="1307"/>
      <c r="AH40" s="1307"/>
    </row>
    <row r="41" spans="1:40" ht="12.9" customHeight="1">
      <c r="B41" s="1089" t="s">
        <v>651</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0">
        <f>IF((Y40+AD40)&gt;2500000,2500000,Y40+AD40)</f>
        <v>0</v>
      </c>
      <c r="Z41" s="1581"/>
      <c r="AA41" s="1581"/>
      <c r="AB41" s="1581"/>
      <c r="AC41" s="1581"/>
      <c r="AD41" s="1581"/>
      <c r="AE41" s="1581"/>
      <c r="AF41" s="1581"/>
      <c r="AG41" s="1581"/>
      <c r="AH41" s="1579"/>
    </row>
    <row r="42" spans="1:40" ht="12.9" customHeight="1">
      <c r="A42" s="3"/>
      <c r="B42" s="1590" t="s">
        <v>1208</v>
      </c>
      <c r="C42" s="1590"/>
      <c r="D42" s="1590"/>
      <c r="E42" s="1590"/>
      <c r="F42" s="1590"/>
      <c r="G42" s="1590"/>
      <c r="H42" s="1590"/>
      <c r="I42" s="1590"/>
      <c r="J42" s="1590"/>
      <c r="K42" s="1590"/>
      <c r="L42" s="1590"/>
      <c r="M42" s="1590"/>
      <c r="N42" s="1590"/>
      <c r="O42" s="1590"/>
      <c r="P42" s="1590"/>
      <c r="Q42" s="1590"/>
      <c r="R42" s="1590"/>
      <c r="S42" s="1590"/>
      <c r="T42" s="1590"/>
      <c r="U42" s="1590"/>
      <c r="V42" s="1590"/>
      <c r="W42" s="1590"/>
      <c r="X42" s="1590"/>
      <c r="Y42" s="1590"/>
      <c r="Z42" s="1590"/>
      <c r="AA42" s="1590"/>
      <c r="AB42" s="1590"/>
      <c r="AC42" s="1590"/>
      <c r="AD42" s="1590"/>
      <c r="AE42" s="1590"/>
      <c r="AF42" s="1590"/>
      <c r="AG42" s="1590"/>
      <c r="AH42" s="1590"/>
      <c r="AI42" s="26"/>
      <c r="AJ42" s="26"/>
      <c r="AK42" s="26"/>
      <c r="AL42" s="26"/>
      <c r="AM42" s="26"/>
      <c r="AN42" s="26"/>
    </row>
    <row r="43" spans="1:40"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 customHeight="1">
      <c r="A45" s="3" t="s">
        <v>126</v>
      </c>
      <c r="C45" s="3" t="s">
        <v>266</v>
      </c>
    </row>
    <row r="46" spans="1:40" ht="12.9" customHeight="1">
      <c r="D46" s="3" t="s">
        <v>267</v>
      </c>
      <c r="AB46" s="1147">
        <f>'Sources and Uses Budget'!B104-'Sources and Uses Budget'!$B$15</f>
        <v>14223843</v>
      </c>
      <c r="AC46" s="1148"/>
      <c r="AD46" s="1148"/>
      <c r="AE46" s="1148"/>
      <c r="AF46" s="1149"/>
    </row>
    <row r="47" spans="1:40" ht="12.9" customHeight="1">
      <c r="D47" s="3" t="s">
        <v>876</v>
      </c>
      <c r="AB47" s="1147">
        <f>Application!AG630-MIN('Sources and Uses Budget'!B15,Application!AG385)</f>
        <v>0</v>
      </c>
      <c r="AC47" s="1148"/>
      <c r="AD47" s="1148"/>
      <c r="AE47" s="1148"/>
      <c r="AF47" s="1149"/>
    </row>
    <row r="48" spans="1:40" ht="12.9" customHeight="1">
      <c r="D48" s="3" t="s">
        <v>401</v>
      </c>
      <c r="AB48" s="1147">
        <f>AB46-AB47</f>
        <v>14223843</v>
      </c>
      <c r="AC48" s="1148"/>
      <c r="AD48" s="1148"/>
      <c r="AE48" s="1148"/>
      <c r="AF48" s="1149"/>
    </row>
    <row r="49" spans="1:40" ht="12.9" customHeight="1">
      <c r="D49" s="3" t="s">
        <v>911</v>
      </c>
      <c r="AA49" s="34"/>
      <c r="AB49" s="1585"/>
      <c r="AC49" s="1586"/>
      <c r="AD49" s="1586"/>
      <c r="AE49" s="1586"/>
      <c r="AF49" s="1587"/>
    </row>
    <row r="50" spans="1:40" s="324" customFormat="1" ht="12.9" customHeight="1">
      <c r="A50"/>
      <c r="B50"/>
      <c r="C50"/>
      <c r="D50"/>
      <c r="E50" s="1595" t="s">
        <v>1414</v>
      </c>
      <c r="F50" s="1595"/>
      <c r="G50" s="1595"/>
      <c r="H50" s="1595"/>
      <c r="I50" s="1595"/>
      <c r="J50" s="1595"/>
      <c r="K50" s="1595"/>
      <c r="L50" s="1595"/>
      <c r="M50" s="1595"/>
      <c r="N50" s="1595"/>
      <c r="O50" s="1595"/>
      <c r="P50" s="1595"/>
      <c r="Q50" s="1595"/>
      <c r="R50" s="1595"/>
      <c r="S50" s="1595"/>
      <c r="T50" s="1595"/>
      <c r="U50" s="1595"/>
      <c r="V50" s="1595"/>
      <c r="W50" s="1595"/>
      <c r="X50" s="1595"/>
      <c r="Y50" s="1595"/>
      <c r="Z50" s="1595"/>
      <c r="AA50" s="358"/>
      <c r="AB50" s="358"/>
      <c r="AC50" s="358"/>
      <c r="AD50" s="358"/>
      <c r="AE50" s="358"/>
      <c r="AF50" s="358"/>
      <c r="AG50"/>
      <c r="AH50"/>
      <c r="AI50"/>
      <c r="AJ50"/>
      <c r="AK50"/>
      <c r="AL50"/>
      <c r="AM50"/>
      <c r="AN50"/>
    </row>
    <row r="51" spans="1:40" s="324" customFormat="1" ht="12.9" customHeight="1">
      <c r="A51"/>
      <c r="B51"/>
      <c r="C51"/>
      <c r="D51"/>
      <c r="E51" s="1595"/>
      <c r="F51" s="1595"/>
      <c r="G51" s="1595"/>
      <c r="H51" s="1595"/>
      <c r="I51" s="1595"/>
      <c r="J51" s="1595"/>
      <c r="K51" s="1595"/>
      <c r="L51" s="1595"/>
      <c r="M51" s="1595"/>
      <c r="N51" s="1595"/>
      <c r="O51" s="1595"/>
      <c r="P51" s="1595"/>
      <c r="Q51" s="1595"/>
      <c r="R51" s="1595"/>
      <c r="S51" s="1595"/>
      <c r="T51" s="1595"/>
      <c r="U51" s="1595"/>
      <c r="V51" s="1595"/>
      <c r="W51" s="1595"/>
      <c r="X51" s="1595"/>
      <c r="Y51" s="1595"/>
      <c r="Z51" s="1595"/>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47">
        <f>ROUND(IF(ISERROR((AB48/AB49)),0,(AB48/AB49)),0)</f>
        <v>0</v>
      </c>
      <c r="AC53" s="1148"/>
      <c r="AD53" s="1148"/>
      <c r="AE53" s="1148"/>
      <c r="AF53" s="1149"/>
    </row>
    <row r="54" spans="1:40" ht="12.9" customHeight="1">
      <c r="D54" s="3" t="s">
        <v>590</v>
      </c>
      <c r="AB54" s="1147">
        <f>(AB53/10)</f>
        <v>0</v>
      </c>
      <c r="AC54" s="1148"/>
      <c r="AD54" s="1148"/>
      <c r="AE54" s="1148"/>
      <c r="AF54" s="1149"/>
    </row>
    <row r="55" spans="1:40" ht="12.9" customHeight="1">
      <c r="D55" s="3" t="s">
        <v>360</v>
      </c>
      <c r="AB55" s="1592">
        <f>(IF((Y41&lt;AB54),Y41,AB54))</f>
        <v>0</v>
      </c>
      <c r="AC55" s="1593"/>
      <c r="AD55" s="1593"/>
      <c r="AE55" s="1593"/>
      <c r="AF55" s="1594"/>
    </row>
    <row r="56" spans="1:40" ht="12.9" customHeight="1">
      <c r="D56" s="3" t="s">
        <v>114</v>
      </c>
      <c r="AB56" s="1147">
        <f>ROUND((10*AB55*AB49),0)</f>
        <v>0</v>
      </c>
      <c r="AC56" s="1148"/>
      <c r="AD56" s="1148"/>
      <c r="AE56" s="1148"/>
      <c r="AF56" s="1149"/>
    </row>
    <row r="57" spans="1:40" ht="12.9" customHeight="1">
      <c r="D57" s="3"/>
      <c r="AB57" s="276"/>
      <c r="AC57" s="276"/>
      <c r="AD57" s="276"/>
      <c r="AE57" s="276"/>
      <c r="AF57" s="276"/>
    </row>
    <row r="58" spans="1:40" ht="12.9" customHeight="1">
      <c r="D58" s="3" t="s">
        <v>113</v>
      </c>
      <c r="AB58" s="1153">
        <f>AB48-AB56</f>
        <v>14223843</v>
      </c>
      <c r="AC58" s="1153"/>
      <c r="AD58" s="1153"/>
      <c r="AE58" s="1153"/>
      <c r="AF58" s="115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75" t="s">
        <v>1821</v>
      </c>
      <c r="B60" s="1575"/>
      <c r="C60" s="1575"/>
      <c r="D60" s="1575"/>
      <c r="E60" s="1575"/>
      <c r="F60" s="1575"/>
      <c r="G60" s="1575"/>
      <c r="H60" s="1575"/>
      <c r="I60" s="1575"/>
      <c r="J60" s="1575"/>
      <c r="K60" s="1575"/>
      <c r="L60" s="1575"/>
      <c r="M60" s="1575"/>
      <c r="N60" s="1575"/>
      <c r="O60" s="1575"/>
      <c r="P60" s="1575"/>
      <c r="Q60" s="1575"/>
      <c r="R60" s="1575"/>
      <c r="S60" s="1575"/>
      <c r="T60" s="1575"/>
      <c r="U60" s="1575"/>
      <c r="V60" s="1575"/>
      <c r="W60" s="1575"/>
      <c r="X60" s="1575"/>
      <c r="Y60" s="1575"/>
      <c r="Z60" s="1575"/>
      <c r="AA60" s="1575"/>
      <c r="AB60" s="1575"/>
      <c r="AC60" s="1575"/>
      <c r="AD60" s="1575"/>
      <c r="AE60" s="1575"/>
      <c r="AF60" s="1575"/>
      <c r="AG60" s="1575"/>
      <c r="AH60" s="1575"/>
      <c r="AI60" s="1575"/>
      <c r="AJ60" s="1575"/>
      <c r="AK60" s="1575"/>
      <c r="AL60" s="1575"/>
      <c r="AM60" s="1575"/>
      <c r="AN60" s="1575"/>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129</v>
      </c>
      <c r="C62" s="3" t="s">
        <v>538</v>
      </c>
      <c r="Y62" s="1577" t="s">
        <v>314</v>
      </c>
      <c r="Z62" s="1577"/>
      <c r="AA62" s="1577"/>
      <c r="AB62" s="1577"/>
      <c r="AC62" s="1577"/>
      <c r="AD62" s="1577" t="s">
        <v>45</v>
      </c>
      <c r="AE62" s="1577"/>
      <c r="AF62" s="1577"/>
      <c r="AG62" s="1577"/>
      <c r="AH62" s="1577"/>
    </row>
    <row r="63" spans="1:40" ht="12.9" customHeight="1">
      <c r="C63" s="3"/>
      <c r="D63" s="128" t="s">
        <v>1292</v>
      </c>
      <c r="E63" s="15"/>
      <c r="F63" s="15"/>
      <c r="G63" s="15"/>
      <c r="H63" s="15"/>
      <c r="I63" s="15"/>
      <c r="J63" s="15"/>
      <c r="K63" s="15"/>
      <c r="L63" s="15"/>
      <c r="M63" s="15"/>
      <c r="N63" s="15"/>
      <c r="O63" s="15"/>
      <c r="P63" s="15"/>
      <c r="Q63" s="15"/>
      <c r="R63" s="15"/>
      <c r="S63" s="15"/>
      <c r="T63" s="15"/>
      <c r="U63" s="15"/>
      <c r="V63" s="15"/>
      <c r="W63" s="15"/>
      <c r="X63" s="15"/>
      <c r="Y63" s="1307">
        <f>Y28</f>
        <v>0</v>
      </c>
      <c r="Z63" s="1588"/>
      <c r="AA63" s="1588"/>
      <c r="AB63" s="1588"/>
      <c r="AC63" s="1588"/>
      <c r="AD63" s="1307">
        <f>AI28</f>
        <v>0</v>
      </c>
      <c r="AE63" s="1588"/>
      <c r="AF63" s="1588"/>
      <c r="AG63" s="1588"/>
      <c r="AH63" s="1588"/>
    </row>
    <row r="64" spans="1:40" ht="12.9" customHeight="1">
      <c r="C64" s="3"/>
      <c r="E64" s="1576" t="s">
        <v>1340</v>
      </c>
      <c r="F64" s="1576"/>
      <c r="G64" s="1576"/>
      <c r="H64" s="1576"/>
      <c r="I64" s="1576"/>
      <c r="J64" s="1576"/>
      <c r="K64" s="1576"/>
      <c r="L64" s="1576"/>
      <c r="M64" s="1576"/>
      <c r="N64" s="1576"/>
      <c r="O64" s="1576"/>
      <c r="P64" s="1576"/>
      <c r="Q64" s="1576"/>
      <c r="R64" s="1576"/>
      <c r="S64" s="1576"/>
      <c r="T64" s="1576"/>
      <c r="U64" s="1576"/>
      <c r="V64" s="1576"/>
      <c r="W64" s="1576"/>
      <c r="X64" s="1576"/>
      <c r="Y64" s="1576"/>
      <c r="Z64" s="1576"/>
      <c r="AA64" s="1576"/>
      <c r="AB64" s="1576"/>
      <c r="AC64" s="1576"/>
      <c r="AD64" s="1576"/>
      <c r="AE64" s="1576"/>
      <c r="AF64" s="1576"/>
      <c r="AG64" s="1576"/>
      <c r="AH64" s="1576"/>
    </row>
    <row r="65" spans="1:34" ht="30.75" customHeight="1">
      <c r="C65" s="3"/>
      <c r="E65" s="1576"/>
      <c r="F65" s="1576"/>
      <c r="G65" s="1576"/>
      <c r="H65" s="1576"/>
      <c r="I65" s="1576"/>
      <c r="J65" s="1576"/>
      <c r="K65" s="1576"/>
      <c r="L65" s="1576"/>
      <c r="M65" s="1576"/>
      <c r="N65" s="1576"/>
      <c r="O65" s="1576"/>
      <c r="P65" s="1576"/>
      <c r="Q65" s="1576"/>
      <c r="R65" s="1576"/>
      <c r="S65" s="1576"/>
      <c r="T65" s="1576"/>
      <c r="U65" s="1576"/>
      <c r="V65" s="1576"/>
      <c r="W65" s="1576"/>
      <c r="X65" s="1576"/>
      <c r="Y65" s="1576"/>
      <c r="Z65" s="1576"/>
      <c r="AA65" s="1576"/>
      <c r="AB65" s="1576"/>
      <c r="AC65" s="1576"/>
      <c r="AD65" s="1576"/>
      <c r="AE65" s="1576"/>
      <c r="AF65" s="1576"/>
      <c r="AG65" s="1576"/>
      <c r="AH65" s="1576"/>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84">
        <v>0.3</v>
      </c>
      <c r="Z66" s="1584"/>
      <c r="AA66" s="1584"/>
      <c r="AB66" s="1584"/>
      <c r="AC66" s="1584"/>
      <c r="AD66" s="1584">
        <v>0.13</v>
      </c>
      <c r="AE66" s="1584"/>
      <c r="AF66" s="1584"/>
      <c r="AG66" s="1584"/>
      <c r="AH66" s="1584"/>
    </row>
    <row r="67" spans="1:34" ht="12.9" customHeight="1">
      <c r="C67" s="3"/>
      <c r="D67" s="3" t="s">
        <v>983</v>
      </c>
      <c r="Y67" s="1307">
        <f>ROUND(Y63*Y66,0)</f>
        <v>0</v>
      </c>
      <c r="Z67" s="1588"/>
      <c r="AA67" s="1588"/>
      <c r="AB67" s="1588"/>
      <c r="AC67" s="1588"/>
      <c r="AD67" s="1307" t="str">
        <f>IF(OR(Application!D211="At-Risk",Application!D211="At-Risk/Located in Rural Census Tract",Application!D214="At-Risk"),ROUND(AD63*AD66,0),"$0")</f>
        <v>$0</v>
      </c>
      <c r="AE67" s="1307"/>
      <c r="AF67" s="1307"/>
      <c r="AG67" s="1307"/>
      <c r="AH67" s="1307"/>
    </row>
    <row r="68" spans="1:34" ht="12.9" customHeight="1">
      <c r="C68" s="3"/>
      <c r="E68" s="3"/>
      <c r="AB68" s="2"/>
      <c r="AC68" s="2"/>
      <c r="AD68" s="2"/>
      <c r="AE68" s="2"/>
      <c r="AF68" s="2"/>
    </row>
    <row r="69" spans="1:34" ht="12.9" customHeight="1">
      <c r="A69" s="3" t="s">
        <v>130</v>
      </c>
      <c r="C69" s="3" t="s">
        <v>268</v>
      </c>
    </row>
    <row r="70" spans="1:34" ht="12.9" customHeight="1">
      <c r="A70" s="3"/>
      <c r="C70" s="3"/>
      <c r="D70" s="3" t="s">
        <v>912</v>
      </c>
      <c r="AB70" s="1585"/>
      <c r="AC70" s="1586"/>
      <c r="AD70" s="1586"/>
      <c r="AE70" s="1586"/>
      <c r="AF70" s="1587"/>
    </row>
    <row r="71" spans="1:34" ht="12.9" customHeight="1">
      <c r="A71" s="3"/>
      <c r="C71" s="3"/>
      <c r="D71" s="3"/>
      <c r="E71" s="1589" t="s">
        <v>1816</v>
      </c>
      <c r="F71" s="1589"/>
      <c r="G71" s="1589"/>
      <c r="H71" s="1589"/>
      <c r="I71" s="1589"/>
      <c r="J71" s="1589"/>
      <c r="K71" s="1589"/>
      <c r="L71" s="1589"/>
      <c r="M71" s="1589"/>
      <c r="N71" s="1589"/>
      <c r="O71" s="1589"/>
      <c r="P71" s="1589"/>
      <c r="Q71" s="1589"/>
      <c r="R71" s="1589"/>
      <c r="S71" s="1589"/>
      <c r="T71" s="1589"/>
      <c r="U71" s="1589"/>
      <c r="V71" s="1589"/>
      <c r="W71" s="1589"/>
      <c r="X71" s="1589"/>
      <c r="Y71" s="1589"/>
      <c r="Z71" s="1589"/>
      <c r="AA71" s="253"/>
      <c r="AB71" s="253"/>
      <c r="AC71" s="253"/>
    </row>
    <row r="72" spans="1:34" ht="12.9" customHeight="1">
      <c r="A72" s="3"/>
      <c r="C72" s="3"/>
      <c r="D72" s="3"/>
      <c r="E72" s="1589"/>
      <c r="F72" s="1589"/>
      <c r="G72" s="1589"/>
      <c r="H72" s="1589"/>
      <c r="I72" s="1589"/>
      <c r="J72" s="1589"/>
      <c r="K72" s="1589"/>
      <c r="L72" s="1589"/>
      <c r="M72" s="1589"/>
      <c r="N72" s="1589"/>
      <c r="O72" s="1589"/>
      <c r="P72" s="1589"/>
      <c r="Q72" s="1589"/>
      <c r="R72" s="1589"/>
      <c r="S72" s="1589"/>
      <c r="T72" s="1589"/>
      <c r="U72" s="1589"/>
      <c r="V72" s="1589"/>
      <c r="W72" s="1589"/>
      <c r="X72" s="1589"/>
      <c r="Y72" s="1589"/>
      <c r="Z72" s="1589"/>
      <c r="AA72" s="253"/>
      <c r="AB72" s="253"/>
      <c r="AC72" s="253"/>
    </row>
    <row r="73" spans="1:34" ht="12.9" customHeight="1">
      <c r="A73" s="3"/>
      <c r="C73" s="3"/>
      <c r="D73" s="3"/>
      <c r="E73" s="1589"/>
      <c r="F73" s="1589"/>
      <c r="G73" s="1589"/>
      <c r="H73" s="1589"/>
      <c r="I73" s="1589"/>
      <c r="J73" s="1589"/>
      <c r="K73" s="1589"/>
      <c r="L73" s="1589"/>
      <c r="M73" s="1589"/>
      <c r="N73" s="1589"/>
      <c r="O73" s="1589"/>
      <c r="P73" s="1589"/>
      <c r="Q73" s="1589"/>
      <c r="R73" s="1589"/>
      <c r="S73" s="1589"/>
      <c r="T73" s="1589"/>
      <c r="U73" s="1589"/>
      <c r="V73" s="1589"/>
      <c r="W73" s="1589"/>
      <c r="X73" s="1589"/>
      <c r="Y73" s="1589"/>
      <c r="Z73" s="158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214">
        <f>ROUND(IF(ISERROR((AB58/AB70)),0,(AB58/AB70)),0)</f>
        <v>0</v>
      </c>
      <c r="AC75" s="1214"/>
      <c r="AD75" s="1214"/>
      <c r="AE75" s="1214"/>
      <c r="AF75" s="1214"/>
    </row>
    <row r="76" spans="1:34" ht="12.9" customHeight="1">
      <c r="C76" s="3"/>
      <c r="D76" s="3" t="s">
        <v>112</v>
      </c>
      <c r="AB76" s="1209">
        <f>IF((Y67+AD67&lt;AB75),Y67+AD67,AB75)</f>
        <v>0</v>
      </c>
      <c r="AC76" s="1210"/>
      <c r="AD76" s="1210"/>
      <c r="AE76" s="1210"/>
      <c r="AF76" s="1211"/>
    </row>
    <row r="77" spans="1:34" ht="12.9" customHeight="1">
      <c r="C77" s="3"/>
      <c r="D77" s="3" t="s">
        <v>984</v>
      </c>
      <c r="AB77" s="1583">
        <f>AB76*AB70</f>
        <v>0</v>
      </c>
      <c r="AC77" s="1583"/>
      <c r="AD77" s="1583"/>
      <c r="AE77" s="1583"/>
      <c r="AF77" s="1583"/>
    </row>
    <row r="78" spans="1:34" ht="12.9" customHeight="1">
      <c r="C78" s="3"/>
      <c r="D78" s="3"/>
      <c r="AB78" s="605"/>
      <c r="AC78" s="605"/>
      <c r="AD78" s="605"/>
      <c r="AE78" s="605"/>
      <c r="AF78" s="605"/>
    </row>
    <row r="79" spans="1:34" ht="12.9" customHeight="1">
      <c r="D79" s="3" t="s">
        <v>113</v>
      </c>
      <c r="AB79" s="1153">
        <f>AB48-(AB56+AB77)</f>
        <v>14223843</v>
      </c>
      <c r="AC79" s="1153"/>
      <c r="AD79" s="1153"/>
      <c r="AE79" s="1153"/>
      <c r="AF79" s="1153"/>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4" customWidth="1"/>
    <col min="2" max="2" width="14.5546875" style="356" customWidth="1"/>
    <col min="3" max="4" width="14.5546875" style="335" customWidth="1"/>
    <col min="5" max="5" width="14.5546875" style="356" customWidth="1"/>
    <col min="6" max="6" width="50.5546875" style="335" customWidth="1"/>
    <col min="7" max="7" width="9.109375" style="335" customWidth="1"/>
    <col min="8" max="8" width="0.44140625" style="335" hidden="1" customWidth="1"/>
    <col min="9" max="16383" width="11.44140625" style="335" hidden="1"/>
    <col min="16384" max="16384" width="0.44140625" style="335" customWidth="1"/>
  </cols>
  <sheetData>
    <row r="1" spans="1:7" ht="18" customHeight="1">
      <c r="A1" s="672" t="s">
        <v>1280</v>
      </c>
      <c r="G1" s="573"/>
    </row>
    <row r="2" spans="1:7" ht="13.2">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3.2">
      <c r="A4" s="890" t="s">
        <v>362</v>
      </c>
      <c r="B4" s="328"/>
      <c r="C4" s="328"/>
      <c r="D4" s="328"/>
      <c r="E4" s="328"/>
      <c r="F4" s="328"/>
      <c r="G4" s="328"/>
    </row>
    <row r="5" spans="1:7" s="575" customFormat="1" ht="13.2">
      <c r="A5" s="891" t="s">
        <v>998</v>
      </c>
      <c r="B5" s="330">
        <f>'Sources and Uses Budget'!C4</f>
        <v>725000</v>
      </c>
      <c r="C5" s="330">
        <f>'Sources and Uses Budget'!C4</f>
        <v>725000</v>
      </c>
      <c r="D5" s="330">
        <f>'Sources and Uses Budget'!C4</f>
        <v>725000</v>
      </c>
      <c r="E5" s="332">
        <f>C5-B5</f>
        <v>0</v>
      </c>
      <c r="F5" s="331"/>
      <c r="G5" s="331"/>
    </row>
    <row r="6" spans="1:7" s="575" customFormat="1" ht="13.2">
      <c r="A6" s="891" t="s">
        <v>999</v>
      </c>
      <c r="B6" s="330">
        <f>'Sources and Uses Budget'!C5</f>
        <v>0</v>
      </c>
      <c r="C6" s="330">
        <f>'Sources and Uses Budget'!C5</f>
        <v>0</v>
      </c>
      <c r="D6" s="330">
        <f>'Sources and Uses Budget'!C5</f>
        <v>0</v>
      </c>
      <c r="E6" s="332">
        <f t="shared" ref="E6:E73" si="0">C6-B6</f>
        <v>0</v>
      </c>
      <c r="F6" s="331"/>
      <c r="G6" s="331"/>
    </row>
    <row r="7" spans="1:7" s="575" customFormat="1" ht="13.2">
      <c r="A7" s="891" t="s">
        <v>363</v>
      </c>
      <c r="B7" s="330">
        <f>'Sources and Uses Budget'!C6</f>
        <v>0</v>
      </c>
      <c r="C7" s="330">
        <f>'Sources and Uses Budget'!C6</f>
        <v>0</v>
      </c>
      <c r="D7" s="330">
        <f>'Sources and Uses Budget'!C6</f>
        <v>0</v>
      </c>
      <c r="E7" s="332">
        <f t="shared" si="0"/>
        <v>0</v>
      </c>
      <c r="F7" s="331"/>
      <c r="G7" s="331"/>
    </row>
    <row r="8" spans="1:7" s="575" customFormat="1" ht="13.2">
      <c r="A8" s="891" t="s">
        <v>295</v>
      </c>
      <c r="B8" s="330">
        <f>'Sources and Uses Budget'!C7</f>
        <v>0</v>
      </c>
      <c r="C8" s="330">
        <f>'Sources and Uses Budget'!C7</f>
        <v>0</v>
      </c>
      <c r="D8" s="330">
        <f>'Sources and Uses Budget'!C7</f>
        <v>0</v>
      </c>
      <c r="E8" s="332">
        <f t="shared" si="0"/>
        <v>0</v>
      </c>
      <c r="F8" s="331"/>
      <c r="G8" s="331"/>
    </row>
    <row r="9" spans="1:7" s="575" customFormat="1" ht="13.2">
      <c r="A9" s="892" t="s">
        <v>1000</v>
      </c>
      <c r="B9" s="332">
        <f>SUM(B5:B8)</f>
        <v>725000</v>
      </c>
      <c r="C9" s="332">
        <f>SUM(C5:C8)</f>
        <v>725000</v>
      </c>
      <c r="D9" s="332">
        <f>SUM(D5:D8)</f>
        <v>725000</v>
      </c>
      <c r="E9" s="332">
        <f t="shared" si="0"/>
        <v>0</v>
      </c>
      <c r="F9" s="331"/>
      <c r="G9" s="331"/>
    </row>
    <row r="10" spans="1:7" s="575" customFormat="1" ht="13.2">
      <c r="A10" s="891" t="s">
        <v>614</v>
      </c>
      <c r="B10" s="330">
        <f>'Sources and Uses Budget'!C9</f>
        <v>0</v>
      </c>
      <c r="C10" s="330">
        <f>'Sources and Uses Budget'!C9</f>
        <v>0</v>
      </c>
      <c r="D10" s="330">
        <f>'Sources and Uses Budget'!C9</f>
        <v>0</v>
      </c>
      <c r="E10" s="332">
        <f t="shared" si="0"/>
        <v>0</v>
      </c>
      <c r="F10" s="331"/>
      <c r="G10" s="331"/>
    </row>
    <row r="11" spans="1:7" s="575" customFormat="1" ht="13.2">
      <c r="A11" s="891" t="s">
        <v>1001</v>
      </c>
      <c r="B11" s="330">
        <f>'Sources and Uses Budget'!C10</f>
        <v>222673</v>
      </c>
      <c r="C11" s="330">
        <f>'Sources and Uses Budget'!C10</f>
        <v>222673</v>
      </c>
      <c r="D11" s="330">
        <f>'Sources and Uses Budget'!C10</f>
        <v>222673</v>
      </c>
      <c r="E11" s="332">
        <f t="shared" si="0"/>
        <v>0</v>
      </c>
      <c r="F11" s="331"/>
      <c r="G11" s="331"/>
    </row>
    <row r="12" spans="1:7" s="575" customFormat="1" ht="13.2">
      <c r="A12" s="892" t="s">
        <v>615</v>
      </c>
      <c r="B12" s="332">
        <f>SUM(B10:B11)</f>
        <v>222673</v>
      </c>
      <c r="C12" s="332">
        <f>SUM(C10:C11)</f>
        <v>222673</v>
      </c>
      <c r="D12" s="332">
        <f>SUM(D10:D11)</f>
        <v>222673</v>
      </c>
      <c r="E12" s="332">
        <f t="shared" si="0"/>
        <v>0</v>
      </c>
      <c r="F12" s="331"/>
      <c r="G12" s="331"/>
    </row>
    <row r="13" spans="1:7" s="575" customFormat="1" ht="13.2">
      <c r="A13" s="892" t="s">
        <v>745</v>
      </c>
      <c r="B13" s="332">
        <f>SUM(B9+B12)</f>
        <v>947673</v>
      </c>
      <c r="C13" s="332">
        <f>SUM(C9+C12)</f>
        <v>947673</v>
      </c>
      <c r="D13" s="332">
        <f>SUM(D9+D12)</f>
        <v>947673</v>
      </c>
      <c r="E13" s="332">
        <f t="shared" si="0"/>
        <v>0</v>
      </c>
      <c r="F13" s="331"/>
      <c r="G13" s="331"/>
    </row>
    <row r="14" spans="1:7" s="575" customFormat="1" ht="13.2">
      <c r="A14" s="893" t="s">
        <v>1155</v>
      </c>
      <c r="B14" s="330">
        <f>'Sources and Uses Budget'!C13</f>
        <v>0</v>
      </c>
      <c r="C14" s="330">
        <f>'Sources and Uses Budget'!C13</f>
        <v>0</v>
      </c>
      <c r="D14" s="330">
        <f>'Sources and Uses Budget'!C13</f>
        <v>0</v>
      </c>
      <c r="E14" s="332">
        <f t="shared" si="0"/>
        <v>0</v>
      </c>
      <c r="F14" s="331"/>
      <c r="G14" s="331"/>
    </row>
    <row r="15" spans="1:7" s="575" customFormat="1" ht="22.8">
      <c r="A15" s="891" t="s">
        <v>1187</v>
      </c>
      <c r="B15" s="330">
        <f>'Sources and Uses Budget'!C14</f>
        <v>0</v>
      </c>
      <c r="C15" s="330">
        <f>'Sources and Uses Budget'!C14</f>
        <v>0</v>
      </c>
      <c r="D15" s="330">
        <f>'Sources and Uses Budget'!C14</f>
        <v>0</v>
      </c>
      <c r="E15" s="332">
        <f t="shared" si="0"/>
        <v>0</v>
      </c>
      <c r="F15" s="331"/>
      <c r="G15" s="331"/>
    </row>
    <row r="16" spans="1:7" s="575" customFormat="1" ht="13.2">
      <c r="A16" s="891" t="s">
        <v>1751</v>
      </c>
      <c r="B16" s="330">
        <f>'Sources and Uses Budget'!C15</f>
        <v>0</v>
      </c>
      <c r="C16" s="330">
        <f>'Sources and Uses Budget'!C15</f>
        <v>0</v>
      </c>
      <c r="D16" s="330">
        <f>'Sources and Uses Budget'!C15</f>
        <v>0</v>
      </c>
      <c r="E16" s="332">
        <f t="shared" si="0"/>
        <v>0</v>
      </c>
      <c r="F16" s="331"/>
      <c r="G16" s="331"/>
    </row>
    <row r="17" spans="1:7" s="575" customFormat="1" ht="13.2">
      <c r="A17" s="890" t="s">
        <v>951</v>
      </c>
      <c r="B17" s="328"/>
      <c r="C17" s="328"/>
      <c r="D17" s="328"/>
      <c r="E17" s="328"/>
      <c r="F17" s="328"/>
      <c r="G17" s="328"/>
    </row>
    <row r="18" spans="1:7" s="575" customFormat="1" ht="13.2">
      <c r="A18" s="239" t="s">
        <v>952</v>
      </c>
      <c r="B18" s="330">
        <f>'Sources and Uses Budget'!C17</f>
        <v>0</v>
      </c>
      <c r="C18" s="330">
        <f>'Sources and Uses Budget'!C17</f>
        <v>0</v>
      </c>
      <c r="D18" s="330">
        <f>'Sources and Uses Budget'!C17</f>
        <v>0</v>
      </c>
      <c r="E18" s="332">
        <f t="shared" si="0"/>
        <v>0</v>
      </c>
      <c r="F18" s="331"/>
      <c r="G18" s="331"/>
    </row>
    <row r="19" spans="1:7" s="575" customFormat="1" ht="13.2">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3.2">
      <c r="A20" s="239" t="s">
        <v>954</v>
      </c>
      <c r="B20" s="330">
        <f>'Sources and Uses Budget'!C19</f>
        <v>0</v>
      </c>
      <c r="C20" s="330">
        <f>'Sources and Uses Budget'!C19</f>
        <v>0</v>
      </c>
      <c r="D20" s="330">
        <f>'Sources and Uses Budget'!C19</f>
        <v>0</v>
      </c>
      <c r="E20" s="332">
        <f t="shared" si="1"/>
        <v>0</v>
      </c>
      <c r="F20" s="331"/>
      <c r="G20" s="331"/>
    </row>
    <row r="21" spans="1:7" s="575" customFormat="1" ht="13.2">
      <c r="A21" s="239" t="s">
        <v>955</v>
      </c>
      <c r="B21" s="330">
        <f>'Sources and Uses Budget'!C20</f>
        <v>0</v>
      </c>
      <c r="C21" s="330">
        <f>'Sources and Uses Budget'!C20</f>
        <v>0</v>
      </c>
      <c r="D21" s="330">
        <f>'Sources and Uses Budget'!C20</f>
        <v>0</v>
      </c>
      <c r="E21" s="332">
        <f t="shared" si="1"/>
        <v>0</v>
      </c>
      <c r="F21" s="331"/>
      <c r="G21" s="331"/>
    </row>
    <row r="22" spans="1:7" s="575" customFormat="1" ht="13.2">
      <c r="A22" s="239" t="s">
        <v>956</v>
      </c>
      <c r="B22" s="330">
        <f>'Sources and Uses Budget'!C21</f>
        <v>0</v>
      </c>
      <c r="C22" s="330">
        <f>'Sources and Uses Budget'!C21</f>
        <v>0</v>
      </c>
      <c r="D22" s="330">
        <f>'Sources and Uses Budget'!C21</f>
        <v>0</v>
      </c>
      <c r="E22" s="332">
        <f t="shared" si="1"/>
        <v>0</v>
      </c>
      <c r="F22" s="331"/>
      <c r="G22" s="331"/>
    </row>
    <row r="23" spans="1:7" s="575" customFormat="1" ht="13.2">
      <c r="A23" s="239" t="s">
        <v>957</v>
      </c>
      <c r="B23" s="330">
        <f>'Sources and Uses Budget'!C22</f>
        <v>0</v>
      </c>
      <c r="C23" s="330">
        <f>'Sources and Uses Budget'!C22</f>
        <v>0</v>
      </c>
      <c r="D23" s="330">
        <f>'Sources and Uses Budget'!C22</f>
        <v>0</v>
      </c>
      <c r="E23" s="332">
        <f t="shared" si="1"/>
        <v>0</v>
      </c>
      <c r="F23" s="331"/>
      <c r="G23" s="331"/>
    </row>
    <row r="24" spans="1:7" s="575" customFormat="1" ht="13.2">
      <c r="A24" s="239" t="s">
        <v>958</v>
      </c>
      <c r="B24" s="330">
        <f>'Sources and Uses Budget'!C23</f>
        <v>0</v>
      </c>
      <c r="C24" s="330">
        <f>'Sources and Uses Budget'!C23</f>
        <v>0</v>
      </c>
      <c r="D24" s="330">
        <f>'Sources and Uses Budget'!C23</f>
        <v>0</v>
      </c>
      <c r="E24" s="332">
        <f t="shared" si="1"/>
        <v>0</v>
      </c>
      <c r="F24" s="331"/>
      <c r="G24" s="331"/>
    </row>
    <row r="25" spans="1:7" s="575" customFormat="1" ht="13.2">
      <c r="A25" s="250" t="s">
        <v>2046</v>
      </c>
      <c r="B25" s="330">
        <f>'Sources and Uses Budget'!C24</f>
        <v>0</v>
      </c>
      <c r="C25" s="330">
        <f>'Sources and Uses Budget'!C24</f>
        <v>0</v>
      </c>
      <c r="D25" s="330">
        <f>'Sources and Uses Budget'!C24</f>
        <v>0</v>
      </c>
      <c r="E25" s="332">
        <f t="shared" si="1"/>
        <v>0</v>
      </c>
      <c r="F25" s="331"/>
      <c r="G25" s="331"/>
    </row>
    <row r="26" spans="1:7" s="575" customFormat="1" ht="13.2">
      <c r="A26" s="250" t="s">
        <v>562</v>
      </c>
      <c r="B26" s="330">
        <f>'Sources and Uses Budget'!C25</f>
        <v>0</v>
      </c>
      <c r="C26" s="330">
        <f>'Sources and Uses Budget'!C25</f>
        <v>0</v>
      </c>
      <c r="D26" s="330">
        <f>'Sources and Uses Budget'!C25</f>
        <v>0</v>
      </c>
      <c r="E26" s="332">
        <f t="shared" si="1"/>
        <v>0</v>
      </c>
      <c r="F26" s="331"/>
      <c r="G26" s="331"/>
    </row>
    <row r="27" spans="1:7" s="575" customFormat="1" ht="13.2">
      <c r="A27" s="333" t="s">
        <v>235</v>
      </c>
      <c r="B27" s="901">
        <f>'Sources and Uses Budget'!C26</f>
        <v>0</v>
      </c>
      <c r="C27" s="901">
        <f>'Sources and Uses Budget'!C26</f>
        <v>0</v>
      </c>
      <c r="D27" s="901">
        <f>'Sources and Uses Budget'!C26</f>
        <v>0</v>
      </c>
      <c r="E27" s="332">
        <f>C27-B27</f>
        <v>0</v>
      </c>
      <c r="F27" s="331"/>
      <c r="G27" s="331"/>
    </row>
    <row r="28" spans="1:7" s="575" customFormat="1" ht="13.2">
      <c r="A28" s="894" t="s">
        <v>959</v>
      </c>
      <c r="B28" s="330">
        <f>'Sources and Uses Budget'!C27</f>
        <v>0</v>
      </c>
      <c r="C28" s="330">
        <f>'Sources and Uses Budget'!C27</f>
        <v>0</v>
      </c>
      <c r="D28" s="330">
        <f>'Sources and Uses Budget'!C27</f>
        <v>0</v>
      </c>
      <c r="E28" s="332">
        <f>C28-B28</f>
        <v>0</v>
      </c>
      <c r="F28" s="331"/>
      <c r="G28" s="331"/>
    </row>
    <row r="29" spans="1:7" s="575" customFormat="1" ht="13.2">
      <c r="A29" s="890" t="s">
        <v>960</v>
      </c>
      <c r="B29" s="328"/>
      <c r="C29" s="328"/>
      <c r="D29" s="328"/>
      <c r="E29" s="328"/>
      <c r="F29" s="328"/>
      <c r="G29" s="328"/>
    </row>
    <row r="30" spans="1:7" s="575" customFormat="1" ht="13.2">
      <c r="A30" s="239" t="s">
        <v>952</v>
      </c>
      <c r="B30" s="330">
        <f>'Sources and Uses Budget'!C29</f>
        <v>1127327</v>
      </c>
      <c r="C30" s="330">
        <f>'Sources and Uses Budget'!C29</f>
        <v>1127327</v>
      </c>
      <c r="D30" s="330">
        <f>'Sources and Uses Budget'!C29</f>
        <v>1127327</v>
      </c>
      <c r="E30" s="332">
        <f t="shared" si="0"/>
        <v>0</v>
      </c>
      <c r="F30" s="331"/>
      <c r="G30" s="331"/>
    </row>
    <row r="31" spans="1:7" s="575" customFormat="1" ht="13.2">
      <c r="A31" s="239" t="s">
        <v>953</v>
      </c>
      <c r="B31" s="330">
        <f>'Sources and Uses Budget'!C30</f>
        <v>5685210</v>
      </c>
      <c r="C31" s="330">
        <f>'Sources and Uses Budget'!C30</f>
        <v>5685210</v>
      </c>
      <c r="D31" s="330">
        <f>'Sources and Uses Budget'!C30</f>
        <v>5685210</v>
      </c>
      <c r="E31" s="332">
        <f t="shared" si="0"/>
        <v>0</v>
      </c>
      <c r="F31" s="331"/>
      <c r="G31" s="331"/>
    </row>
    <row r="32" spans="1:7" s="575" customFormat="1" ht="13.2">
      <c r="A32" s="239" t="s">
        <v>954</v>
      </c>
      <c r="B32" s="330">
        <f>'Sources and Uses Budget'!C31</f>
        <v>422113</v>
      </c>
      <c r="C32" s="330">
        <f>'Sources and Uses Budget'!C31</f>
        <v>422113</v>
      </c>
      <c r="D32" s="330">
        <f>'Sources and Uses Budget'!C31</f>
        <v>422113</v>
      </c>
      <c r="E32" s="332">
        <f t="shared" si="0"/>
        <v>0</v>
      </c>
      <c r="F32" s="331"/>
      <c r="G32" s="331"/>
    </row>
    <row r="33" spans="1:7" s="575" customFormat="1" ht="13.2">
      <c r="A33" s="239" t="s">
        <v>955</v>
      </c>
      <c r="B33" s="330">
        <f>'Sources and Uses Budget'!C32</f>
        <v>140704</v>
      </c>
      <c r="C33" s="330">
        <f>'Sources and Uses Budget'!C32</f>
        <v>140704</v>
      </c>
      <c r="D33" s="330">
        <f>'Sources and Uses Budget'!C32</f>
        <v>140704</v>
      </c>
      <c r="E33" s="332">
        <f t="shared" si="0"/>
        <v>0</v>
      </c>
      <c r="F33" s="331"/>
      <c r="G33" s="331"/>
    </row>
    <row r="34" spans="1:7" s="575" customFormat="1" ht="13.2">
      <c r="A34" s="239" t="s">
        <v>956</v>
      </c>
      <c r="B34" s="330">
        <f>'Sources and Uses Budget'!C33</f>
        <v>422113</v>
      </c>
      <c r="C34" s="330">
        <f>'Sources and Uses Budget'!C33</f>
        <v>422113</v>
      </c>
      <c r="D34" s="330">
        <f>'Sources and Uses Budget'!C33</f>
        <v>422113</v>
      </c>
      <c r="E34" s="332">
        <f t="shared" si="0"/>
        <v>0</v>
      </c>
      <c r="F34" s="331"/>
      <c r="G34" s="331"/>
    </row>
    <row r="35" spans="1:7" s="575" customFormat="1" ht="13.2">
      <c r="A35" s="239" t="s">
        <v>957</v>
      </c>
      <c r="B35" s="330">
        <f>'Sources and Uses Budget'!C34</f>
        <v>0</v>
      </c>
      <c r="C35" s="330">
        <f>'Sources and Uses Budget'!C34</f>
        <v>0</v>
      </c>
      <c r="D35" s="330">
        <f>'Sources and Uses Budget'!C34</f>
        <v>0</v>
      </c>
      <c r="E35" s="332">
        <f t="shared" si="0"/>
        <v>0</v>
      </c>
      <c r="F35" s="331"/>
      <c r="G35" s="331"/>
    </row>
    <row r="36" spans="1:7" s="575" customFormat="1" ht="13.2">
      <c r="A36" s="239" t="s">
        <v>958</v>
      </c>
      <c r="B36" s="330">
        <f>'Sources and Uses Budget'!C35</f>
        <v>0</v>
      </c>
      <c r="C36" s="330">
        <f>'Sources and Uses Budget'!C35</f>
        <v>0</v>
      </c>
      <c r="D36" s="330">
        <f>'Sources and Uses Budget'!C35</f>
        <v>0</v>
      </c>
      <c r="E36" s="332">
        <f t="shared" si="0"/>
        <v>0</v>
      </c>
      <c r="F36" s="331"/>
      <c r="G36" s="331"/>
    </row>
    <row r="37" spans="1:7" s="575" customFormat="1" ht="13.2">
      <c r="A37" s="239" t="s">
        <v>2046</v>
      </c>
      <c r="B37" s="330">
        <f>'Sources and Uses Budget'!C36</f>
        <v>0</v>
      </c>
      <c r="C37" s="330">
        <f>'Sources and Uses Budget'!C36</f>
        <v>0</v>
      </c>
      <c r="D37" s="330">
        <f>'Sources and Uses Budget'!C36</f>
        <v>0</v>
      </c>
      <c r="E37" s="332">
        <f t="shared" si="0"/>
        <v>0</v>
      </c>
      <c r="F37" s="331"/>
      <c r="G37" s="331"/>
    </row>
    <row r="38" spans="1:7" s="575" customFormat="1" ht="13.2">
      <c r="A38" s="250" t="s">
        <v>562</v>
      </c>
      <c r="B38" s="330">
        <f>'Sources and Uses Budget'!C37</f>
        <v>0</v>
      </c>
      <c r="C38" s="330">
        <f>'Sources and Uses Budget'!C37</f>
        <v>0</v>
      </c>
      <c r="D38" s="330">
        <f>'Sources and Uses Budget'!C37</f>
        <v>0</v>
      </c>
      <c r="E38" s="332">
        <f>C38-B38</f>
        <v>0</v>
      </c>
      <c r="F38" s="331"/>
      <c r="G38" s="331"/>
    </row>
    <row r="39" spans="1:7" s="575" customFormat="1" ht="13.2">
      <c r="A39" s="894" t="s">
        <v>961</v>
      </c>
      <c r="B39" s="901">
        <f>'Sources and Uses Budget'!C38</f>
        <v>7797467</v>
      </c>
      <c r="C39" s="901">
        <f>'Sources and Uses Budget'!C38</f>
        <v>7797467</v>
      </c>
      <c r="D39" s="901">
        <f>'Sources and Uses Budget'!C38</f>
        <v>7797467</v>
      </c>
      <c r="E39" s="332">
        <f>C39-B39</f>
        <v>0</v>
      </c>
      <c r="F39" s="331"/>
      <c r="G39" s="331"/>
    </row>
    <row r="40" spans="1:7" s="575" customFormat="1" ht="13.2">
      <c r="A40" s="890" t="s">
        <v>962</v>
      </c>
      <c r="B40" s="328"/>
      <c r="C40" s="328"/>
      <c r="D40" s="328"/>
      <c r="E40" s="328"/>
      <c r="F40" s="328"/>
      <c r="G40" s="328"/>
    </row>
    <row r="41" spans="1:7" s="575" customFormat="1" ht="13.2">
      <c r="A41" s="895" t="s">
        <v>963</v>
      </c>
      <c r="B41" s="330">
        <f>'Sources and Uses Budget'!C40</f>
        <v>400000</v>
      </c>
      <c r="C41" s="330">
        <f>'Sources and Uses Budget'!C40</f>
        <v>400000</v>
      </c>
      <c r="D41" s="330">
        <f>'Sources and Uses Budget'!C40</f>
        <v>400000</v>
      </c>
      <c r="E41" s="332">
        <f>C41-B41</f>
        <v>0</v>
      </c>
      <c r="F41" s="331"/>
      <c r="G41" s="331"/>
    </row>
    <row r="42" spans="1:7" s="575" customFormat="1" ht="13.2">
      <c r="A42" s="895" t="s">
        <v>964</v>
      </c>
      <c r="B42" s="330">
        <f>'Sources and Uses Budget'!C41</f>
        <v>0</v>
      </c>
      <c r="C42" s="330">
        <f>'Sources and Uses Budget'!C41</f>
        <v>0</v>
      </c>
      <c r="D42" s="330">
        <f>'Sources and Uses Budget'!C41</f>
        <v>0</v>
      </c>
      <c r="E42" s="332">
        <f>C42-B42</f>
        <v>0</v>
      </c>
      <c r="F42" s="331"/>
      <c r="G42" s="331"/>
    </row>
    <row r="43" spans="1:7" s="575" customFormat="1" ht="12" customHeight="1">
      <c r="A43" s="894" t="s">
        <v>965</v>
      </c>
      <c r="B43" s="901">
        <f>'Sources and Uses Budget'!C42</f>
        <v>400000</v>
      </c>
      <c r="C43" s="901">
        <f>'Sources and Uses Budget'!C42</f>
        <v>400000</v>
      </c>
      <c r="D43" s="901">
        <f>'Sources and Uses Budget'!C42</f>
        <v>400000</v>
      </c>
      <c r="E43" s="332">
        <f>C43-B43</f>
        <v>0</v>
      </c>
      <c r="F43" s="331"/>
      <c r="G43" s="331"/>
    </row>
    <row r="44" spans="1:7" s="575" customFormat="1" ht="13.2">
      <c r="A44" s="894" t="s">
        <v>966</v>
      </c>
      <c r="B44" s="330">
        <f>'Sources and Uses Budget'!C43</f>
        <v>300000</v>
      </c>
      <c r="C44" s="330">
        <f>'Sources and Uses Budget'!C43</f>
        <v>300000</v>
      </c>
      <c r="D44" s="330">
        <f>'Sources and Uses Budget'!C43</f>
        <v>300000</v>
      </c>
      <c r="E44" s="332">
        <f>C44-B44</f>
        <v>0</v>
      </c>
      <c r="F44" s="331"/>
      <c r="G44" s="331"/>
    </row>
    <row r="45" spans="1:7" s="575" customFormat="1" ht="13.2">
      <c r="A45" s="235" t="s">
        <v>967</v>
      </c>
      <c r="B45" s="328"/>
      <c r="C45" s="328"/>
      <c r="D45" s="328"/>
      <c r="E45" s="328"/>
      <c r="F45" s="328"/>
      <c r="G45" s="328"/>
    </row>
    <row r="46" spans="1:7" s="575" customFormat="1" ht="12" customHeight="1">
      <c r="A46" s="239" t="s">
        <v>968</v>
      </c>
      <c r="B46" s="330">
        <f>'Sources and Uses Budget'!C45</f>
        <v>450000</v>
      </c>
      <c r="C46" s="330">
        <f>'Sources and Uses Budget'!C45</f>
        <v>450000</v>
      </c>
      <c r="D46" s="330">
        <f>'Sources and Uses Budget'!C45</f>
        <v>450000</v>
      </c>
      <c r="E46" s="332">
        <f t="shared" si="0"/>
        <v>0</v>
      </c>
      <c r="F46" s="331"/>
      <c r="G46" s="331"/>
    </row>
    <row r="47" spans="1:7" s="575" customFormat="1" ht="13.2">
      <c r="A47" s="239" t="s">
        <v>969</v>
      </c>
      <c r="B47" s="330">
        <f>'Sources and Uses Budget'!C46</f>
        <v>70000</v>
      </c>
      <c r="C47" s="330">
        <f>'Sources and Uses Budget'!C46</f>
        <v>70000</v>
      </c>
      <c r="D47" s="330">
        <f>'Sources and Uses Budget'!C46</f>
        <v>70000</v>
      </c>
      <c r="E47" s="332">
        <f t="shared" si="0"/>
        <v>0</v>
      </c>
      <c r="F47" s="331"/>
      <c r="G47" s="331"/>
    </row>
    <row r="48" spans="1:7" s="575" customFormat="1" ht="13.2">
      <c r="A48" s="239" t="s">
        <v>970</v>
      </c>
      <c r="B48" s="330">
        <f>'Sources and Uses Budget'!C47</f>
        <v>0</v>
      </c>
      <c r="C48" s="330">
        <f>'Sources and Uses Budget'!C47</f>
        <v>0</v>
      </c>
      <c r="D48" s="330">
        <f>'Sources and Uses Budget'!C47</f>
        <v>0</v>
      </c>
      <c r="E48" s="332">
        <f t="shared" si="0"/>
        <v>0</v>
      </c>
      <c r="F48" s="331"/>
      <c r="G48" s="331"/>
    </row>
    <row r="49" spans="1:7" s="575" customFormat="1" ht="13.2">
      <c r="A49" s="239" t="s">
        <v>971</v>
      </c>
      <c r="B49" s="330">
        <f>'Sources and Uses Budget'!C48</f>
        <v>0</v>
      </c>
      <c r="C49" s="330">
        <f>'Sources and Uses Budget'!C48</f>
        <v>0</v>
      </c>
      <c r="D49" s="330">
        <f>'Sources and Uses Budget'!C48</f>
        <v>0</v>
      </c>
      <c r="E49" s="332">
        <f t="shared" si="0"/>
        <v>0</v>
      </c>
      <c r="F49" s="331"/>
      <c r="G49" s="331"/>
    </row>
    <row r="50" spans="1:7" s="575" customFormat="1" ht="13.2">
      <c r="A50" s="239" t="s">
        <v>974</v>
      </c>
      <c r="B50" s="330">
        <f>'Sources and Uses Budget'!C49</f>
        <v>99900</v>
      </c>
      <c r="C50" s="330">
        <f>'Sources and Uses Budget'!C49</f>
        <v>99900</v>
      </c>
      <c r="D50" s="330">
        <f>'Sources and Uses Budget'!C49</f>
        <v>99900</v>
      </c>
      <c r="E50" s="332">
        <f t="shared" si="0"/>
        <v>0</v>
      </c>
      <c r="F50" s="331"/>
      <c r="G50" s="331"/>
    </row>
    <row r="51" spans="1:7" s="575" customFormat="1" ht="13.2">
      <c r="A51" s="239" t="s">
        <v>972</v>
      </c>
      <c r="B51" s="330">
        <f>'Sources and Uses Budget'!C50</f>
        <v>10000</v>
      </c>
      <c r="C51" s="330">
        <f>'Sources and Uses Budget'!C50</f>
        <v>10000</v>
      </c>
      <c r="D51" s="330">
        <f>'Sources and Uses Budget'!C50</f>
        <v>10000</v>
      </c>
      <c r="E51" s="332">
        <f t="shared" si="0"/>
        <v>0</v>
      </c>
      <c r="F51" s="331"/>
      <c r="G51" s="331"/>
    </row>
    <row r="52" spans="1:7" s="576" customFormat="1" ht="13.2">
      <c r="A52" s="239" t="s">
        <v>973</v>
      </c>
      <c r="B52" s="330">
        <f>'Sources and Uses Budget'!C51</f>
        <v>50000</v>
      </c>
      <c r="C52" s="330">
        <f>'Sources and Uses Budget'!C51</f>
        <v>50000</v>
      </c>
      <c r="D52" s="330">
        <f>'Sources and Uses Budget'!C51</f>
        <v>50000</v>
      </c>
      <c r="E52" s="332">
        <f t="shared" si="0"/>
        <v>0</v>
      </c>
      <c r="F52" s="331"/>
      <c r="G52" s="331"/>
    </row>
    <row r="53" spans="1:7" s="575" customFormat="1" ht="13.2">
      <c r="A53" s="246" t="s">
        <v>562</v>
      </c>
      <c r="B53" s="330">
        <f>'Sources and Uses Budget'!C52</f>
        <v>0</v>
      </c>
      <c r="C53" s="330">
        <f>'Sources and Uses Budget'!C52</f>
        <v>0</v>
      </c>
      <c r="D53" s="330">
        <f>'Sources and Uses Budget'!C52</f>
        <v>0</v>
      </c>
      <c r="E53" s="332">
        <f t="shared" si="0"/>
        <v>0</v>
      </c>
      <c r="F53" s="331"/>
      <c r="G53" s="331"/>
    </row>
    <row r="54" spans="1:7" s="575" customFormat="1" ht="13.2">
      <c r="A54" s="243" t="s">
        <v>975</v>
      </c>
      <c r="B54" s="901">
        <f>'Sources and Uses Budget'!C53</f>
        <v>679900</v>
      </c>
      <c r="C54" s="901">
        <f>'Sources and Uses Budget'!C53</f>
        <v>679900</v>
      </c>
      <c r="D54" s="901">
        <f>'Sources and Uses Budget'!C53</f>
        <v>679900</v>
      </c>
      <c r="E54" s="332">
        <f t="shared" si="0"/>
        <v>0</v>
      </c>
      <c r="F54" s="331"/>
      <c r="G54" s="331"/>
    </row>
    <row r="55" spans="1:7" s="575" customFormat="1" ht="12" customHeight="1">
      <c r="A55" s="890" t="s">
        <v>717</v>
      </c>
      <c r="B55" s="328"/>
      <c r="C55" s="328"/>
      <c r="D55" s="328"/>
      <c r="E55" s="328"/>
      <c r="F55" s="328"/>
      <c r="G55" s="328"/>
    </row>
    <row r="56" spans="1:7" s="575" customFormat="1" ht="13.2">
      <c r="A56" s="895" t="s">
        <v>976</v>
      </c>
      <c r="B56" s="330">
        <f>'Sources and Uses Budget'!C55</f>
        <v>40000</v>
      </c>
      <c r="C56" s="330">
        <f>'Sources and Uses Budget'!C55</f>
        <v>40000</v>
      </c>
      <c r="D56" s="330">
        <f>'Sources and Uses Budget'!C55</f>
        <v>40000</v>
      </c>
      <c r="E56" s="332">
        <f t="shared" si="0"/>
        <v>0</v>
      </c>
      <c r="F56" s="331"/>
      <c r="G56" s="331"/>
    </row>
    <row r="57" spans="1:7" s="575" customFormat="1" ht="13.2">
      <c r="A57" s="895" t="s">
        <v>970</v>
      </c>
      <c r="B57" s="330">
        <f>'Sources and Uses Budget'!C56</f>
        <v>0</v>
      </c>
      <c r="C57" s="330">
        <f>'Sources and Uses Budget'!C56</f>
        <v>0</v>
      </c>
      <c r="D57" s="330">
        <f>'Sources and Uses Budget'!C56</f>
        <v>0</v>
      </c>
      <c r="E57" s="332">
        <f t="shared" si="0"/>
        <v>0</v>
      </c>
      <c r="F57" s="331"/>
      <c r="G57" s="331"/>
    </row>
    <row r="58" spans="1:7" s="575" customFormat="1" ht="13.2">
      <c r="A58" s="895" t="s">
        <v>974</v>
      </c>
      <c r="B58" s="330">
        <f>'Sources and Uses Budget'!C57</f>
        <v>0</v>
      </c>
      <c r="C58" s="330">
        <f>'Sources and Uses Budget'!C57</f>
        <v>0</v>
      </c>
      <c r="D58" s="330">
        <f>'Sources and Uses Budget'!C57</f>
        <v>0</v>
      </c>
      <c r="E58" s="332">
        <f t="shared" si="0"/>
        <v>0</v>
      </c>
      <c r="F58" s="331"/>
      <c r="G58" s="331"/>
    </row>
    <row r="59" spans="1:7" s="575" customFormat="1" ht="13.2">
      <c r="A59" s="895" t="s">
        <v>972</v>
      </c>
      <c r="B59" s="330">
        <f>'Sources and Uses Budget'!C58</f>
        <v>0</v>
      </c>
      <c r="C59" s="330">
        <f>'Sources and Uses Budget'!C58</f>
        <v>0</v>
      </c>
      <c r="D59" s="330">
        <f>'Sources and Uses Budget'!C58</f>
        <v>0</v>
      </c>
      <c r="E59" s="332">
        <f t="shared" si="0"/>
        <v>0</v>
      </c>
      <c r="F59" s="331"/>
      <c r="G59" s="331"/>
    </row>
    <row r="60" spans="1:7" s="575" customFormat="1" ht="13.2">
      <c r="A60" s="895" t="s">
        <v>973</v>
      </c>
      <c r="B60" s="330">
        <f>'Sources and Uses Budget'!C59</f>
        <v>0</v>
      </c>
      <c r="C60" s="330">
        <f>'Sources and Uses Budget'!C59</f>
        <v>0</v>
      </c>
      <c r="D60" s="330">
        <f>'Sources and Uses Budget'!C59</f>
        <v>0</v>
      </c>
      <c r="E60" s="332">
        <f t="shared" si="0"/>
        <v>0</v>
      </c>
      <c r="F60" s="331"/>
      <c r="G60" s="331"/>
    </row>
    <row r="61" spans="1:7" s="575" customFormat="1" ht="13.95" customHeight="1">
      <c r="A61" s="896" t="s">
        <v>562</v>
      </c>
      <c r="B61" s="330">
        <f>'Sources and Uses Budget'!C60</f>
        <v>0</v>
      </c>
      <c r="C61" s="330">
        <f>'Sources and Uses Budget'!C60</f>
        <v>0</v>
      </c>
      <c r="D61" s="330">
        <f>'Sources and Uses Budget'!C60</f>
        <v>0</v>
      </c>
      <c r="E61" s="332">
        <f t="shared" si="0"/>
        <v>0</v>
      </c>
      <c r="F61" s="331"/>
      <c r="G61" s="331"/>
    </row>
    <row r="62" spans="1:7" s="575" customFormat="1" ht="13.2">
      <c r="A62" s="894" t="s">
        <v>527</v>
      </c>
      <c r="B62" s="901">
        <f>'Sources and Uses Budget'!C61</f>
        <v>40000</v>
      </c>
      <c r="C62" s="901">
        <f>'Sources and Uses Budget'!C61</f>
        <v>40000</v>
      </c>
      <c r="D62" s="901">
        <f>'Sources and Uses Budget'!C61</f>
        <v>40000</v>
      </c>
      <c r="E62" s="332">
        <f t="shared" si="0"/>
        <v>0</v>
      </c>
      <c r="F62" s="331"/>
      <c r="G62" s="331"/>
    </row>
    <row r="63" spans="1:7" s="575" customFormat="1" ht="13.2">
      <c r="A63" s="897" t="s">
        <v>528</v>
      </c>
      <c r="B63" s="901">
        <f>'Sources and Uses Budget'!C62</f>
        <v>10165040</v>
      </c>
      <c r="C63" s="901">
        <f>'Sources and Uses Budget'!C62</f>
        <v>10165040</v>
      </c>
      <c r="D63" s="901">
        <f>'Sources and Uses Budget'!C62</f>
        <v>10165040</v>
      </c>
      <c r="E63" s="332">
        <f t="shared" si="0"/>
        <v>0</v>
      </c>
      <c r="F63" s="331"/>
      <c r="G63" s="331"/>
    </row>
    <row r="64" spans="1:7" s="575" customFormat="1" ht="22.8">
      <c r="A64" s="235" t="s">
        <v>2047</v>
      </c>
      <c r="B64" s="328"/>
      <c r="C64" s="328"/>
      <c r="D64" s="328"/>
      <c r="E64" s="328"/>
      <c r="F64" s="328"/>
      <c r="G64" s="328"/>
    </row>
    <row r="65" spans="1:7" s="575" customFormat="1" ht="13.2">
      <c r="A65" s="239" t="s">
        <v>297</v>
      </c>
      <c r="B65" s="330">
        <f>'Sources and Uses Budget'!C64</f>
        <v>60000</v>
      </c>
      <c r="C65" s="330">
        <f>'Sources and Uses Budget'!C64</f>
        <v>60000</v>
      </c>
      <c r="D65" s="330">
        <f>'Sources and Uses Budget'!C64</f>
        <v>60000</v>
      </c>
      <c r="E65" s="332">
        <f t="shared" si="0"/>
        <v>0</v>
      </c>
      <c r="F65" s="331"/>
      <c r="G65" s="331"/>
    </row>
    <row r="66" spans="1:7" s="575" customFormat="1" ht="22.8">
      <c r="A66" s="239" t="s">
        <v>2048</v>
      </c>
      <c r="B66" s="330">
        <f>'Sources and Uses Budget'!C65</f>
        <v>0</v>
      </c>
      <c r="C66" s="330">
        <f>'Sources and Uses Budget'!C65</f>
        <v>0</v>
      </c>
      <c r="D66" s="330">
        <f>'Sources and Uses Budget'!C65</f>
        <v>0</v>
      </c>
      <c r="E66" s="332">
        <f t="shared" si="0"/>
        <v>0</v>
      </c>
      <c r="F66" s="331"/>
      <c r="G66" s="331"/>
    </row>
    <row r="67" spans="1:7" s="575" customFormat="1" ht="22.8">
      <c r="A67" s="239" t="s">
        <v>2049</v>
      </c>
      <c r="B67" s="330">
        <f>'Sources and Uses Budget'!C66</f>
        <v>0</v>
      </c>
      <c r="C67" s="330">
        <f>'Sources and Uses Budget'!C66</f>
        <v>0</v>
      </c>
      <c r="D67" s="330">
        <f>'Sources and Uses Budget'!C66</f>
        <v>0</v>
      </c>
      <c r="E67" s="332">
        <f t="shared" si="0"/>
        <v>0</v>
      </c>
      <c r="F67" s="331"/>
      <c r="G67" s="331"/>
    </row>
    <row r="68" spans="1:7" s="575" customFormat="1" ht="13.2">
      <c r="A68" s="239" t="s">
        <v>2050</v>
      </c>
      <c r="B68" s="330">
        <f>'Sources and Uses Budget'!C67</f>
        <v>0</v>
      </c>
      <c r="C68" s="330">
        <f>'Sources and Uses Budget'!C67</f>
        <v>0</v>
      </c>
      <c r="D68" s="330">
        <f>'Sources and Uses Budget'!C67</f>
        <v>0</v>
      </c>
      <c r="E68" s="332">
        <f t="shared" si="0"/>
        <v>0</v>
      </c>
      <c r="F68" s="331"/>
      <c r="G68" s="331"/>
    </row>
    <row r="69" spans="1:7" s="575" customFormat="1" ht="13.2">
      <c r="A69" s="250" t="s">
        <v>2109</v>
      </c>
      <c r="B69" s="330">
        <f>'Sources and Uses Budget'!C68</f>
        <v>50000</v>
      </c>
      <c r="C69" s="330">
        <f>'Sources and Uses Budget'!C68</f>
        <v>50000</v>
      </c>
      <c r="D69" s="330">
        <f>'Sources and Uses Budget'!C68</f>
        <v>50000</v>
      </c>
      <c r="E69" s="332">
        <f t="shared" si="0"/>
        <v>0</v>
      </c>
      <c r="F69" s="331"/>
      <c r="G69" s="331"/>
    </row>
    <row r="70" spans="1:7" s="575" customFormat="1" ht="13.2">
      <c r="A70" s="243" t="s">
        <v>2051</v>
      </c>
      <c r="B70" s="901">
        <f>'Sources and Uses Budget'!C69</f>
        <v>110000</v>
      </c>
      <c r="C70" s="901">
        <f>'Sources and Uses Budget'!C69</f>
        <v>110000</v>
      </c>
      <c r="D70" s="901">
        <f>'Sources and Uses Budget'!C69</f>
        <v>110000</v>
      </c>
      <c r="E70" s="332">
        <f t="shared" si="0"/>
        <v>0</v>
      </c>
      <c r="F70" s="331"/>
      <c r="G70" s="331"/>
    </row>
    <row r="71" spans="1:7" s="575" customFormat="1" ht="13.2">
      <c r="A71" s="890" t="s">
        <v>298</v>
      </c>
      <c r="B71" s="328"/>
      <c r="C71" s="328"/>
      <c r="D71" s="328"/>
      <c r="E71" s="328"/>
      <c r="F71" s="328"/>
      <c r="G71" s="328"/>
    </row>
    <row r="72" spans="1:7" s="575" customFormat="1" ht="13.2">
      <c r="A72" s="895" t="s">
        <v>299</v>
      </c>
      <c r="B72" s="330">
        <f>'Sources and Uses Budget'!C71</f>
        <v>200000</v>
      </c>
      <c r="C72" s="330">
        <f>'Sources and Uses Budget'!C71</f>
        <v>200000</v>
      </c>
      <c r="D72" s="330">
        <f>'Sources and Uses Budget'!C71</f>
        <v>200000</v>
      </c>
      <c r="E72" s="332">
        <f t="shared" si="0"/>
        <v>0</v>
      </c>
      <c r="F72" s="331"/>
      <c r="G72" s="331"/>
    </row>
    <row r="73" spans="1:7" s="575" customFormat="1" ht="13.2">
      <c r="A73" s="895" t="s">
        <v>300</v>
      </c>
      <c r="B73" s="330">
        <f>'Sources and Uses Budget'!C72</f>
        <v>0</v>
      </c>
      <c r="C73" s="330">
        <f>'Sources and Uses Budget'!C72</f>
        <v>0</v>
      </c>
      <c r="D73" s="330">
        <f>'Sources and Uses Budget'!C72</f>
        <v>0</v>
      </c>
      <c r="E73" s="332">
        <f t="shared" si="0"/>
        <v>0</v>
      </c>
      <c r="F73" s="331"/>
      <c r="G73" s="331"/>
    </row>
    <row r="74" spans="1:7" s="575" customFormat="1" ht="13.2">
      <c r="A74" s="898" t="s">
        <v>1290</v>
      </c>
      <c r="B74" s="330">
        <f>'Sources and Uses Budget'!C73</f>
        <v>0</v>
      </c>
      <c r="C74" s="330">
        <f>'Sources and Uses Budget'!C73</f>
        <v>0</v>
      </c>
      <c r="D74" s="330">
        <f>'Sources and Uses Budget'!C73</f>
        <v>0</v>
      </c>
      <c r="E74" s="332">
        <f>C74-B74</f>
        <v>0</v>
      </c>
      <c r="F74" s="331"/>
      <c r="G74" s="331"/>
    </row>
    <row r="75" spans="1:7" s="575" customFormat="1" ht="13.2">
      <c r="A75" s="895" t="s">
        <v>301</v>
      </c>
      <c r="B75" s="330">
        <f>'Sources and Uses Budget'!C74</f>
        <v>228429</v>
      </c>
      <c r="C75" s="330">
        <f>'Sources and Uses Budget'!C74</f>
        <v>228429</v>
      </c>
      <c r="D75" s="330">
        <f>'Sources and Uses Budget'!C74</f>
        <v>228429</v>
      </c>
      <c r="E75" s="332">
        <f>C75-B75</f>
        <v>0</v>
      </c>
      <c r="F75" s="331"/>
      <c r="G75" s="331"/>
    </row>
    <row r="76" spans="1:7" s="575" customFormat="1" ht="13.2">
      <c r="A76" s="899" t="s">
        <v>562</v>
      </c>
      <c r="B76" s="330">
        <f>'Sources and Uses Budget'!C75</f>
        <v>0</v>
      </c>
      <c r="C76" s="330">
        <f>'Sources and Uses Budget'!C75</f>
        <v>0</v>
      </c>
      <c r="D76" s="330">
        <f>'Sources and Uses Budget'!C75</f>
        <v>0</v>
      </c>
      <c r="E76" s="332">
        <f>C76-B76</f>
        <v>0</v>
      </c>
      <c r="F76" s="331"/>
      <c r="G76" s="331"/>
    </row>
    <row r="77" spans="1:7" s="575" customFormat="1" ht="13.2">
      <c r="A77" s="894" t="s">
        <v>302</v>
      </c>
      <c r="B77" s="901">
        <f>'Sources and Uses Budget'!C76</f>
        <v>428429</v>
      </c>
      <c r="C77" s="901">
        <f>'Sources and Uses Budget'!C76</f>
        <v>428429</v>
      </c>
      <c r="D77" s="901">
        <f>'Sources and Uses Budget'!C76</f>
        <v>428429</v>
      </c>
      <c r="E77" s="332">
        <f>C77-B77</f>
        <v>0</v>
      </c>
      <c r="F77" s="331"/>
      <c r="G77" s="331"/>
    </row>
    <row r="78" spans="1:7" s="575" customFormat="1" ht="13.2">
      <c r="A78" s="890" t="s">
        <v>1814</v>
      </c>
      <c r="B78" s="328"/>
      <c r="C78" s="328"/>
      <c r="D78" s="328"/>
      <c r="E78" s="328"/>
      <c r="F78" s="328"/>
      <c r="G78" s="328"/>
    </row>
    <row r="79" spans="1:7" s="575" customFormat="1" ht="13.95" customHeight="1">
      <c r="A79" s="895" t="s">
        <v>1812</v>
      </c>
      <c r="B79" s="330">
        <f>'Sources and Uses Budget'!C78</f>
        <v>401007</v>
      </c>
      <c r="C79" s="330">
        <f>'Sources and Uses Budget'!C78</f>
        <v>401007</v>
      </c>
      <c r="D79" s="330">
        <f>'Sources and Uses Budget'!C78</f>
        <v>401007</v>
      </c>
      <c r="E79" s="332">
        <f t="shared" ref="E79:E105" si="2">C79-B79</f>
        <v>0</v>
      </c>
      <c r="F79" s="331"/>
      <c r="G79" s="331"/>
    </row>
    <row r="80" spans="1:7" s="575" customFormat="1" ht="13.2">
      <c r="A80" s="895" t="s">
        <v>567</v>
      </c>
      <c r="B80" s="330">
        <f>'Sources and Uses Budget'!C79</f>
        <v>300000</v>
      </c>
      <c r="C80" s="330">
        <f>'Sources and Uses Budget'!C79</f>
        <v>300000</v>
      </c>
      <c r="D80" s="330">
        <f>'Sources and Uses Budget'!C79</f>
        <v>300000</v>
      </c>
      <c r="E80" s="332">
        <f t="shared" si="2"/>
        <v>0</v>
      </c>
      <c r="F80" s="331"/>
      <c r="G80" s="331"/>
    </row>
    <row r="81" spans="1:7" s="575" customFormat="1" ht="13.2">
      <c r="A81" s="894" t="s">
        <v>1813</v>
      </c>
      <c r="B81" s="901">
        <f>'Sources and Uses Budget'!C80</f>
        <v>701007</v>
      </c>
      <c r="C81" s="901">
        <f>'Sources and Uses Budget'!C80</f>
        <v>701007</v>
      </c>
      <c r="D81" s="901">
        <f>'Sources and Uses Budget'!C80</f>
        <v>701007</v>
      </c>
      <c r="E81" s="332">
        <f t="shared" si="2"/>
        <v>0</v>
      </c>
      <c r="F81" s="331"/>
      <c r="G81" s="331"/>
    </row>
    <row r="82" spans="1:7" s="575" customFormat="1" ht="13.2">
      <c r="A82" s="890" t="s">
        <v>544</v>
      </c>
      <c r="B82" s="328"/>
      <c r="C82" s="328"/>
      <c r="D82" s="328"/>
      <c r="E82" s="328"/>
      <c r="F82" s="328"/>
      <c r="G82" s="328"/>
    </row>
    <row r="83" spans="1:7" s="575" customFormat="1" ht="13.2">
      <c r="A83" s="239" t="s">
        <v>2230</v>
      </c>
      <c r="B83" s="330">
        <f>'Sources and Uses Budget'!C82</f>
        <v>77108</v>
      </c>
      <c r="C83" s="330">
        <f>'Sources and Uses Budget'!C82</f>
        <v>77108</v>
      </c>
      <c r="D83" s="330">
        <f>'Sources and Uses Budget'!C82</f>
        <v>77108</v>
      </c>
      <c r="E83" s="332">
        <f t="shared" si="2"/>
        <v>0</v>
      </c>
      <c r="F83" s="331"/>
      <c r="G83" s="331"/>
    </row>
    <row r="84" spans="1:7" s="575" customFormat="1" ht="13.2">
      <c r="A84" s="239" t="s">
        <v>545</v>
      </c>
      <c r="B84" s="330">
        <f>'Sources and Uses Budget'!C83</f>
        <v>0</v>
      </c>
      <c r="C84" s="330">
        <f>'Sources and Uses Budget'!C83</f>
        <v>0</v>
      </c>
      <c r="D84" s="330">
        <f>'Sources and Uses Budget'!C83</f>
        <v>0</v>
      </c>
      <c r="E84" s="332">
        <f t="shared" si="2"/>
        <v>0</v>
      </c>
      <c r="F84" s="331"/>
      <c r="G84" s="331"/>
    </row>
    <row r="85" spans="1:7" s="575" customFormat="1" ht="13.2">
      <c r="A85" s="239" t="s">
        <v>546</v>
      </c>
      <c r="B85" s="330">
        <f>'Sources and Uses Budget'!C84</f>
        <v>835131</v>
      </c>
      <c r="C85" s="330">
        <f>'Sources and Uses Budget'!C84</f>
        <v>835131</v>
      </c>
      <c r="D85" s="330">
        <f>'Sources and Uses Budget'!C84</f>
        <v>835131</v>
      </c>
      <c r="E85" s="332">
        <f t="shared" si="2"/>
        <v>0</v>
      </c>
      <c r="F85" s="331"/>
      <c r="G85" s="331"/>
    </row>
    <row r="86" spans="1:7" s="575" customFormat="1" ht="13.2">
      <c r="A86" s="239" t="s">
        <v>547</v>
      </c>
      <c r="B86" s="330">
        <f>'Sources and Uses Budget'!C85</f>
        <v>100000</v>
      </c>
      <c r="C86" s="330">
        <f>'Sources and Uses Budget'!C85</f>
        <v>100000</v>
      </c>
      <c r="D86" s="330">
        <f>'Sources and Uses Budget'!C85</f>
        <v>100000</v>
      </c>
      <c r="E86" s="332">
        <f t="shared" si="2"/>
        <v>0</v>
      </c>
      <c r="F86" s="331"/>
      <c r="G86" s="331"/>
    </row>
    <row r="87" spans="1:7" s="575" customFormat="1" ht="13.2">
      <c r="A87" s="239" t="s">
        <v>548</v>
      </c>
      <c r="B87" s="330">
        <f>'Sources and Uses Budget'!C86</f>
        <v>0</v>
      </c>
      <c r="C87" s="330">
        <f>'Sources and Uses Budget'!C86</f>
        <v>0</v>
      </c>
      <c r="D87" s="330">
        <f>'Sources and Uses Budget'!C86</f>
        <v>0</v>
      </c>
      <c r="E87" s="332">
        <f t="shared" si="2"/>
        <v>0</v>
      </c>
      <c r="F87" s="331"/>
      <c r="G87" s="331"/>
    </row>
    <row r="88" spans="1:7" s="575" customFormat="1" ht="13.2">
      <c r="A88" s="239" t="s">
        <v>549</v>
      </c>
      <c r="B88" s="330">
        <f>'Sources and Uses Budget'!C87</f>
        <v>58201</v>
      </c>
      <c r="C88" s="330">
        <f>'Sources and Uses Budget'!C87</f>
        <v>58201</v>
      </c>
      <c r="D88" s="330">
        <f>'Sources and Uses Budget'!C87</f>
        <v>58201</v>
      </c>
      <c r="E88" s="332">
        <f t="shared" si="2"/>
        <v>0</v>
      </c>
      <c r="F88" s="331"/>
      <c r="G88" s="331"/>
    </row>
    <row r="89" spans="1:7" s="575" customFormat="1" ht="13.2">
      <c r="A89" s="239" t="s">
        <v>550</v>
      </c>
      <c r="B89" s="330">
        <f>'Sources and Uses Budget'!C88</f>
        <v>50000</v>
      </c>
      <c r="C89" s="330">
        <f>'Sources and Uses Budget'!C88</f>
        <v>50000</v>
      </c>
      <c r="D89" s="330">
        <f>'Sources and Uses Budget'!C88</f>
        <v>50000</v>
      </c>
      <c r="E89" s="332">
        <f t="shared" si="2"/>
        <v>0</v>
      </c>
      <c r="F89" s="331"/>
      <c r="G89" s="331"/>
    </row>
    <row r="90" spans="1:7" s="575" customFormat="1" ht="13.2">
      <c r="A90" s="239" t="s">
        <v>551</v>
      </c>
      <c r="B90" s="330">
        <f>'Sources and Uses Budget'!C89</f>
        <v>10000</v>
      </c>
      <c r="C90" s="330">
        <f>'Sources and Uses Budget'!C89</f>
        <v>10000</v>
      </c>
      <c r="D90" s="330">
        <f>'Sources and Uses Budget'!C89</f>
        <v>10000</v>
      </c>
      <c r="E90" s="332">
        <f t="shared" si="2"/>
        <v>0</v>
      </c>
      <c r="F90" s="331"/>
      <c r="G90" s="331"/>
    </row>
    <row r="91" spans="1:7" s="575" customFormat="1" ht="13.2">
      <c r="A91" s="250" t="s">
        <v>1366</v>
      </c>
      <c r="B91" s="330">
        <f>'Sources and Uses Budget'!C90</f>
        <v>0</v>
      </c>
      <c r="C91" s="330">
        <f>'Sources and Uses Budget'!C90</f>
        <v>0</v>
      </c>
      <c r="D91" s="330">
        <f>'Sources and Uses Budget'!C90</f>
        <v>0</v>
      </c>
      <c r="E91" s="332">
        <f t="shared" si="2"/>
        <v>0</v>
      </c>
      <c r="F91" s="331"/>
      <c r="G91" s="331"/>
    </row>
    <row r="92" spans="1:7" s="575" customFormat="1" ht="13.2">
      <c r="A92" s="250" t="s">
        <v>1811</v>
      </c>
      <c r="B92" s="330">
        <f>'Sources and Uses Budget'!C91</f>
        <v>10000</v>
      </c>
      <c r="C92" s="330">
        <f>'Sources and Uses Budget'!C91</f>
        <v>10000</v>
      </c>
      <c r="D92" s="330">
        <f>'Sources and Uses Budget'!C91</f>
        <v>10000</v>
      </c>
      <c r="E92" s="332">
        <f t="shared" si="2"/>
        <v>0</v>
      </c>
      <c r="F92" s="331"/>
      <c r="G92" s="331"/>
    </row>
    <row r="93" spans="1:7" s="575" customFormat="1" ht="13.2">
      <c r="A93" s="246" t="s">
        <v>562</v>
      </c>
      <c r="B93" s="330">
        <f>'Sources and Uses Budget'!C92</f>
        <v>10000</v>
      </c>
      <c r="C93" s="330">
        <f>'Sources and Uses Budget'!C92</f>
        <v>10000</v>
      </c>
      <c r="D93" s="330">
        <f>'Sources and Uses Budget'!C92</f>
        <v>10000</v>
      </c>
      <c r="E93" s="332">
        <f t="shared" si="2"/>
        <v>0</v>
      </c>
      <c r="F93" s="331"/>
      <c r="G93" s="331"/>
    </row>
    <row r="94" spans="1:7" s="575" customFormat="1" ht="13.2">
      <c r="A94" s="246" t="s">
        <v>562</v>
      </c>
      <c r="B94" s="330">
        <f>'Sources and Uses Budget'!C93</f>
        <v>0</v>
      </c>
      <c r="C94" s="330">
        <f>'Sources and Uses Budget'!C93</f>
        <v>0</v>
      </c>
      <c r="D94" s="330">
        <f>'Sources and Uses Budget'!C93</f>
        <v>0</v>
      </c>
      <c r="E94" s="332">
        <f t="shared" si="2"/>
        <v>0</v>
      </c>
      <c r="F94" s="331"/>
      <c r="G94" s="331"/>
    </row>
    <row r="95" spans="1:7" s="575" customFormat="1" ht="13.2">
      <c r="A95" s="246" t="s">
        <v>562</v>
      </c>
      <c r="B95" s="330">
        <f>'Sources and Uses Budget'!C94</f>
        <v>0</v>
      </c>
      <c r="C95" s="330">
        <f>'Sources and Uses Budget'!C94</f>
        <v>0</v>
      </c>
      <c r="D95" s="330">
        <f>'Sources and Uses Budget'!C94</f>
        <v>0</v>
      </c>
      <c r="E95" s="332">
        <f t="shared" si="2"/>
        <v>0</v>
      </c>
      <c r="F95" s="331"/>
      <c r="G95" s="331"/>
    </row>
    <row r="96" spans="1:7" s="575" customFormat="1" ht="13.2">
      <c r="A96" s="243" t="s">
        <v>552</v>
      </c>
      <c r="B96" s="901">
        <f>'Sources and Uses Budget'!C95</f>
        <v>1150440</v>
      </c>
      <c r="C96" s="901">
        <f>'Sources and Uses Budget'!C95</f>
        <v>1150440</v>
      </c>
      <c r="D96" s="901">
        <f>'Sources and Uses Budget'!C95</f>
        <v>1150440</v>
      </c>
      <c r="E96" s="332">
        <f t="shared" si="2"/>
        <v>0</v>
      </c>
      <c r="F96" s="331"/>
      <c r="G96" s="331"/>
    </row>
    <row r="97" spans="1:7" s="575" customFormat="1" ht="13.2">
      <c r="A97" s="243" t="s">
        <v>553</v>
      </c>
      <c r="B97" s="901">
        <f>'Sources and Uses Budget'!C96</f>
        <v>12554916</v>
      </c>
      <c r="C97" s="901">
        <f>'Sources and Uses Budget'!C96</f>
        <v>12554916</v>
      </c>
      <c r="D97" s="901">
        <f>'Sources and Uses Budget'!C96</f>
        <v>12554916</v>
      </c>
      <c r="E97" s="332">
        <f t="shared" si="2"/>
        <v>0</v>
      </c>
      <c r="F97" s="331"/>
      <c r="G97" s="331"/>
    </row>
    <row r="98" spans="1:7" s="575" customFormat="1" ht="13.2">
      <c r="A98" s="890" t="s">
        <v>554</v>
      </c>
      <c r="B98" s="328"/>
      <c r="C98" s="328"/>
      <c r="D98" s="328"/>
      <c r="E98" s="328"/>
      <c r="F98" s="328"/>
      <c r="G98" s="328"/>
    </row>
    <row r="99" spans="1:7" s="575" customFormat="1" ht="13.2">
      <c r="A99" s="239" t="s">
        <v>555</v>
      </c>
      <c r="B99" s="330">
        <f>'Sources and Uses Budget'!C98</f>
        <v>1668927</v>
      </c>
      <c r="C99" s="330">
        <f>'Sources and Uses Budget'!C98</f>
        <v>1668927</v>
      </c>
      <c r="D99" s="330">
        <f>'Sources and Uses Budget'!C98</f>
        <v>1668927</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3.2">
      <c r="A101" s="239" t="s">
        <v>556</v>
      </c>
      <c r="B101" s="330">
        <f>'Sources and Uses Budget'!C100</f>
        <v>0</v>
      </c>
      <c r="C101" s="330">
        <f>'Sources and Uses Budget'!C100</f>
        <v>0</v>
      </c>
      <c r="D101" s="330">
        <f>'Sources and Uses Budget'!C100</f>
        <v>0</v>
      </c>
      <c r="E101" s="332">
        <f t="shared" si="2"/>
        <v>0</v>
      </c>
      <c r="F101" s="331"/>
      <c r="G101" s="331"/>
    </row>
    <row r="102" spans="1:7" s="575" customFormat="1" ht="13.2">
      <c r="A102" s="239" t="s">
        <v>2108</v>
      </c>
      <c r="B102" s="330">
        <f>'Sources and Uses Budget'!C101</f>
        <v>0</v>
      </c>
      <c r="C102" s="330">
        <f>'Sources and Uses Budget'!C101</f>
        <v>0</v>
      </c>
      <c r="D102" s="330">
        <f>'Sources and Uses Budget'!C101</f>
        <v>0</v>
      </c>
      <c r="E102" s="332">
        <f t="shared" si="2"/>
        <v>0</v>
      </c>
      <c r="F102" s="331"/>
      <c r="G102" s="331"/>
    </row>
    <row r="103" spans="1:7" s="575" customFormat="1" ht="13.2">
      <c r="A103" s="896" t="s">
        <v>562</v>
      </c>
      <c r="B103" s="330">
        <f>'Sources and Uses Budget'!C102</f>
        <v>0</v>
      </c>
      <c r="C103" s="330">
        <f>'Sources and Uses Budget'!C102</f>
        <v>0</v>
      </c>
      <c r="D103" s="330">
        <f>'Sources and Uses Budget'!C102</f>
        <v>0</v>
      </c>
      <c r="E103" s="332">
        <f t="shared" si="2"/>
        <v>0</v>
      </c>
      <c r="F103" s="331"/>
      <c r="G103" s="331"/>
    </row>
    <row r="104" spans="1:7" s="575" customFormat="1" ht="13.2">
      <c r="A104" s="894" t="s">
        <v>557</v>
      </c>
      <c r="B104" s="901">
        <f>'Sources and Uses Budget'!C103</f>
        <v>1668927</v>
      </c>
      <c r="C104" s="901">
        <f>'Sources and Uses Budget'!C103</f>
        <v>1668927</v>
      </c>
      <c r="D104" s="901">
        <f>'Sources and Uses Budget'!C103</f>
        <v>1668927</v>
      </c>
      <c r="E104" s="332">
        <f t="shared" si="2"/>
        <v>0</v>
      </c>
      <c r="F104" s="331"/>
      <c r="G104" s="331"/>
    </row>
    <row r="105" spans="1:7" s="575" customFormat="1" ht="13.2">
      <c r="A105" s="894" t="s">
        <v>558</v>
      </c>
      <c r="B105" s="901">
        <f>'Sources and Uses Budget'!C104</f>
        <v>14223843</v>
      </c>
      <c r="C105" s="901">
        <f>'Sources and Uses Budget'!C104</f>
        <v>14223843</v>
      </c>
      <c r="D105" s="901">
        <f>'Sources and Uses Budget'!C104</f>
        <v>14223843</v>
      </c>
      <c r="E105" s="332">
        <f t="shared" si="2"/>
        <v>0</v>
      </c>
      <c r="F105" s="331"/>
      <c r="G105" s="900"/>
    </row>
    <row r="106" spans="1:7" s="575" customFormat="1" ht="13.2">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2" t="s">
        <v>316</v>
      </c>
      <c r="B2" s="983"/>
      <c r="C2" s="983"/>
      <c r="D2" s="983"/>
      <c r="E2" s="983"/>
      <c r="F2" s="983"/>
      <c r="G2" s="983"/>
      <c r="H2" s="983"/>
      <c r="I2" s="983"/>
      <c r="J2" s="983"/>
    </row>
    <row r="3" spans="1:10" ht="15">
      <c r="A3" s="984" t="s">
        <v>2318</v>
      </c>
      <c r="B3" s="983"/>
      <c r="C3" s="983"/>
      <c r="D3" s="983"/>
      <c r="E3" s="983"/>
      <c r="F3" s="983"/>
      <c r="G3" s="983"/>
      <c r="H3" s="983"/>
      <c r="I3" s="983"/>
      <c r="J3" s="983"/>
    </row>
    <row r="4" spans="1:10"/>
    <row r="5" spans="1:10" ht="12.75" customHeight="1">
      <c r="A5" s="989" t="s">
        <v>2284</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2194</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5" t="s">
        <v>1954</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1077</v>
      </c>
      <c r="B22" s="302"/>
      <c r="C22" s="302"/>
      <c r="D22" s="302"/>
      <c r="E22" s="302"/>
      <c r="F22" s="302"/>
      <c r="G22" s="302"/>
      <c r="H22" s="302"/>
      <c r="I22" s="302"/>
      <c r="J22" s="302"/>
    </row>
    <row r="23" spans="1:10" ht="14.4">
      <c r="A23" s="358" t="s">
        <v>242</v>
      </c>
      <c r="B23" s="358"/>
      <c r="C23" s="358"/>
      <c r="D23" s="358"/>
      <c r="E23" s="358"/>
      <c r="F23" s="358"/>
      <c r="G23" s="358"/>
      <c r="H23" s="358"/>
      <c r="I23" s="358"/>
      <c r="J23" s="941"/>
    </row>
    <row r="24" spans="1:10">
      <c r="A24" s="988" t="s">
        <v>1061</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1078</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1061</v>
      </c>
    </row>
    <row r="66" spans="1:9"/>
    <row r="67" spans="1:9"/>
    <row r="68" spans="1:9"/>
    <row r="69" spans="1:9"/>
    <row r="70" spans="1:9"/>
    <row r="71" spans="1:9"/>
    <row r="72" spans="1:9"/>
    <row r="73" spans="1:9"/>
    <row r="74" spans="1:9"/>
    <row r="75" spans="1:9"/>
    <row r="76" spans="1:9">
      <c r="A76" s="981" t="s">
        <v>1188</v>
      </c>
      <c r="B76" s="981"/>
      <c r="C76" s="981"/>
      <c r="D76" s="981"/>
      <c r="E76" s="981"/>
      <c r="F76" s="981"/>
      <c r="G76" s="981"/>
      <c r="H76" s="981"/>
      <c r="I76" s="981"/>
    </row>
    <row r="77" spans="1:9">
      <c r="A77" s="980" t="s">
        <v>1339</v>
      </c>
      <c r="B77" s="980"/>
      <c r="C77" s="980"/>
      <c r="D77" s="980"/>
      <c r="E77" s="980"/>
      <c r="F77" s="675"/>
    </row>
    <row r="78" spans="1:9">
      <c r="A78" s="980" t="s">
        <v>1338</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35" workbookViewId="0">
      <selection activeCell="F1256" sqref="F125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4" t="s">
        <v>2317</v>
      </c>
      <c r="B2" s="1014"/>
      <c r="C2" s="983"/>
      <c r="D2" s="983"/>
      <c r="E2" s="983"/>
      <c r="F2" s="983"/>
      <c r="G2" s="983"/>
      <c r="I2" t="s">
        <v>83</v>
      </c>
    </row>
    <row r="3" spans="1:9" ht="13.2">
      <c r="A3" s="190"/>
      <c r="B3" s="190"/>
      <c r="C3"/>
      <c r="D3"/>
      <c r="E3"/>
      <c r="F3"/>
      <c r="G3"/>
      <c r="I3" s="5" t="s">
        <v>1454</v>
      </c>
    </row>
    <row r="4" spans="1:9" ht="13.2">
      <c r="A4" s="1015" t="s">
        <v>2250</v>
      </c>
      <c r="B4" s="1015"/>
      <c r="C4" s="1016"/>
      <c r="D4" s="1016"/>
      <c r="E4" s="1016"/>
      <c r="F4" s="1016"/>
      <c r="G4" s="1016"/>
      <c r="I4" s="5" t="s">
        <v>1438</v>
      </c>
    </row>
    <row r="5" spans="1:9" ht="13.2">
      <c r="A5" s="1015" t="s">
        <v>1086</v>
      </c>
      <c r="B5" s="1015"/>
      <c r="C5" s="1016"/>
      <c r="D5" s="1016"/>
      <c r="E5" s="1016"/>
      <c r="F5" s="1016"/>
      <c r="G5" s="1016"/>
      <c r="I5" t="s">
        <v>131</v>
      </c>
    </row>
    <row r="6" spans="1:9" ht="13.65" customHeight="1"/>
    <row r="7" spans="1:9" ht="13.2">
      <c r="A7" s="1014" t="s">
        <v>1489</v>
      </c>
      <c r="B7" s="1014"/>
      <c r="C7" s="1017"/>
      <c r="D7" s="1017"/>
      <c r="E7" s="1017"/>
      <c r="F7" s="1017"/>
      <c r="G7" s="1017"/>
    </row>
    <row r="8" spans="1:9" ht="13.2">
      <c r="A8" s="1014" t="s">
        <v>1490</v>
      </c>
      <c r="B8" s="1014"/>
      <c r="C8" s="1017"/>
      <c r="D8" s="1017"/>
      <c r="E8" s="1017"/>
      <c r="F8" s="1017"/>
      <c r="G8" s="1017"/>
    </row>
    <row r="9" spans="1:9" ht="13.2">
      <c r="A9" s="192"/>
      <c r="B9" s="192"/>
      <c r="C9" s="190"/>
      <c r="D9" s="190"/>
      <c r="E9" s="190"/>
      <c r="F9" s="190"/>
      <c r="G9" s="190"/>
    </row>
    <row r="10" spans="1:9" ht="13.2">
      <c r="A10" s="1000" t="s">
        <v>1610</v>
      </c>
      <c r="B10" s="1000"/>
      <c r="C10" s="1000"/>
      <c r="D10" s="1000"/>
      <c r="E10" s="1000"/>
      <c r="F10" s="1000"/>
      <c r="G10" s="1000"/>
    </row>
    <row r="11" spans="1:9" ht="13.2">
      <c r="A11" s="190"/>
      <c r="B11" s="190"/>
    </row>
    <row r="12" spans="1:9" ht="13.65" customHeight="1">
      <c r="C12" s="190"/>
      <c r="D12" s="1018" t="s">
        <v>1609</v>
      </c>
      <c r="E12" s="1018"/>
      <c r="F12" s="1018"/>
      <c r="G12" s="617"/>
    </row>
    <row r="13" spans="1:9" ht="13.2">
      <c r="C13" s="190"/>
      <c r="D13" s="1018"/>
      <c r="E13" s="1018"/>
      <c r="F13" s="1018"/>
      <c r="G13" s="617"/>
    </row>
    <row r="14" spans="1:9" ht="13.2">
      <c r="A14" s="191"/>
      <c r="B14" s="191"/>
      <c r="C14" s="191"/>
      <c r="D14" s="995" t="s">
        <v>1476</v>
      </c>
      <c r="E14" s="995"/>
      <c r="F14" s="995"/>
    </row>
    <row r="15" spans="1:9" ht="13.2">
      <c r="A15" s="191"/>
      <c r="B15" s="191"/>
      <c r="C15" s="191"/>
    </row>
    <row r="16" spans="1:9" ht="14.4" customHeight="1">
      <c r="A16" s="271"/>
      <c r="B16" s="616" t="s">
        <v>131</v>
      </c>
      <c r="C16" s="191"/>
      <c r="D16" s="969" t="s">
        <v>2159</v>
      </c>
      <c r="E16" s="975"/>
      <c r="F16" s="975"/>
      <c r="G16" s="358"/>
    </row>
    <row r="17" spans="1:7" ht="14.4" customHeight="1">
      <c r="A17" s="271"/>
      <c r="C17" s="191"/>
      <c r="D17" s="975"/>
      <c r="E17" s="975"/>
      <c r="F17" s="975"/>
      <c r="G17" s="358"/>
    </row>
    <row r="18" spans="1:7" ht="13.2">
      <c r="A18" s="191"/>
      <c r="C18" s="191"/>
      <c r="D18" s="975"/>
      <c r="E18" s="975"/>
      <c r="F18" s="975"/>
      <c r="G18" s="358"/>
    </row>
    <row r="19" spans="1:7" ht="13.2">
      <c r="A19" s="191"/>
      <c r="C19" s="191"/>
      <c r="D19" s="24"/>
      <c r="E19" s="128" t="s">
        <v>2160</v>
      </c>
      <c r="F19" s="24"/>
      <c r="G19" s="358"/>
    </row>
    <row r="20" spans="1:7" ht="13.2">
      <c r="A20" s="191"/>
      <c r="B20" s="191"/>
      <c r="C20" s="191"/>
    </row>
    <row r="21" spans="1:7" ht="14.4">
      <c r="A21" s="271"/>
      <c r="B21" s="616" t="s">
        <v>1438</v>
      </c>
      <c r="D21" s="969" t="s">
        <v>2161</v>
      </c>
      <c r="E21" s="975"/>
      <c r="F21" s="975"/>
    </row>
    <row r="22" spans="1:7" ht="13.2">
      <c r="D22" s="975"/>
      <c r="E22" s="975"/>
      <c r="F22" s="975"/>
    </row>
    <row r="23" spans="1:7" ht="13.2">
      <c r="D23" s="102"/>
      <c r="E23" s="104" t="s">
        <v>2162</v>
      </c>
      <c r="F23" s="102"/>
    </row>
    <row r="24" spans="1:7" ht="14.4">
      <c r="A24" s="271"/>
      <c r="B24" s="271"/>
      <c r="D24" s="44"/>
    </row>
    <row r="25" spans="1:7" ht="14.4">
      <c r="A25" s="271"/>
      <c r="B25" s="616" t="s">
        <v>131</v>
      </c>
      <c r="D25" s="975" t="s">
        <v>1470</v>
      </c>
      <c r="E25" s="975"/>
      <c r="F25" s="975"/>
    </row>
    <row r="26" spans="1:7" ht="14.4">
      <c r="A26" s="271"/>
      <c r="B26" s="271"/>
      <c r="D26" s="975"/>
      <c r="E26" s="975"/>
      <c r="F26" s="975"/>
    </row>
    <row r="27" spans="1:7" ht="14.4">
      <c r="A27" s="271"/>
      <c r="B27" s="271"/>
      <c r="D27" s="44"/>
    </row>
    <row r="28" spans="1:7" ht="14.25" customHeight="1">
      <c r="A28" s="271"/>
      <c r="B28" s="616" t="s">
        <v>1438</v>
      </c>
      <c r="D28" s="969" t="s">
        <v>2251</v>
      </c>
      <c r="E28" s="969"/>
      <c r="F28" s="969"/>
    </row>
    <row r="29" spans="1:7" ht="14.4">
      <c r="A29" s="271"/>
      <c r="B29" s="271"/>
      <c r="D29" s="969"/>
      <c r="E29" s="969"/>
      <c r="F29" s="969"/>
    </row>
    <row r="30" spans="1:7" ht="14.4">
      <c r="A30" s="271"/>
      <c r="B30" s="271"/>
      <c r="D30" s="969"/>
      <c r="E30" s="969"/>
      <c r="F30" s="969"/>
    </row>
    <row r="31" spans="1:7" ht="14.4">
      <c r="A31" s="271"/>
      <c r="B31" s="271"/>
      <c r="D31" s="969"/>
      <c r="E31" s="969"/>
      <c r="F31" s="969"/>
    </row>
    <row r="32" spans="1:7" ht="14.4">
      <c r="A32" s="271"/>
      <c r="B32" s="271"/>
      <c r="D32" s="969"/>
      <c r="E32" s="969"/>
      <c r="F32" s="969"/>
    </row>
    <row r="33" spans="1:6" ht="14.4">
      <c r="A33" s="271"/>
      <c r="B33" s="271"/>
      <c r="D33" s="583"/>
      <c r="F33" s="619"/>
    </row>
    <row r="34" spans="1:6" ht="14.4" customHeight="1">
      <c r="A34" s="271"/>
      <c r="B34" s="616" t="s">
        <v>131</v>
      </c>
      <c r="D34" s="975" t="s">
        <v>2252</v>
      </c>
      <c r="E34" s="975"/>
      <c r="F34" s="975"/>
    </row>
    <row r="35" spans="1:6" ht="14.4">
      <c r="A35" s="271"/>
      <c r="B35" s="271"/>
      <c r="D35" s="975"/>
      <c r="E35" s="975"/>
      <c r="F35" s="975"/>
    </row>
    <row r="36" spans="1:6" ht="14.4">
      <c r="A36" s="271"/>
      <c r="B36" s="271"/>
      <c r="D36" s="209"/>
      <c r="E36" s="209"/>
      <c r="F36" s="209"/>
    </row>
    <row r="37" spans="1:6" ht="14.4">
      <c r="A37" s="271"/>
      <c r="B37" s="616" t="s">
        <v>131</v>
      </c>
      <c r="D37" s="969" t="s">
        <v>1824</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16" t="s">
        <v>131</v>
      </c>
      <c r="D46" s="975" t="s">
        <v>1506</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16" t="s">
        <v>131</v>
      </c>
      <c r="D52" s="969" t="s">
        <v>1970</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16" t="s">
        <v>131</v>
      </c>
      <c r="D59" s="969" t="s">
        <v>2017</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16" t="s">
        <v>131</v>
      </c>
      <c r="D64" s="975" t="s">
        <v>2253</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16" t="s">
        <v>1438</v>
      </c>
      <c r="D68" s="969" t="s">
        <v>2163</v>
      </c>
      <c r="E68" s="975"/>
      <c r="F68" s="975"/>
    </row>
    <row r="69" spans="1:6" ht="13.2">
      <c r="D69" s="975"/>
      <c r="E69" s="975"/>
      <c r="F69" s="975"/>
    </row>
    <row r="70" spans="1:6" ht="13.2">
      <c r="D70" s="975"/>
      <c r="E70" s="975"/>
      <c r="F70" s="975"/>
    </row>
    <row r="71" spans="1:6" ht="14.4">
      <c r="A71" s="271"/>
      <c r="B71" s="271"/>
      <c r="D71" s="209"/>
      <c r="E71" s="128" t="s">
        <v>2160</v>
      </c>
      <c r="F71" s="209"/>
    </row>
    <row r="72" spans="1:6" ht="14.4">
      <c r="A72" s="271"/>
      <c r="B72" s="271"/>
    </row>
    <row r="73" spans="1:6" ht="14.4">
      <c r="A73" s="271"/>
      <c r="B73" s="616" t="s">
        <v>131</v>
      </c>
      <c r="D73" s="975" t="s">
        <v>1608</v>
      </c>
      <c r="E73" s="975"/>
      <c r="F73" s="975"/>
    </row>
    <row r="74" spans="1:6" ht="13.2">
      <c r="D74" s="975"/>
      <c r="E74" s="975"/>
      <c r="F74" s="975"/>
    </row>
    <row r="75" spans="1:6" ht="13.2">
      <c r="D75" s="975"/>
      <c r="E75" s="975"/>
      <c r="F75" s="975"/>
    </row>
    <row r="76" spans="1:6" ht="13.2"/>
    <row r="77" spans="1:6" ht="14.4">
      <c r="A77" s="271" t="s">
        <v>242</v>
      </c>
      <c r="B77" s="616" t="s">
        <v>131</v>
      </c>
      <c r="D77" s="975" t="s">
        <v>1509</v>
      </c>
      <c r="E77" s="975"/>
      <c r="F77" s="975"/>
    </row>
    <row r="78" spans="1:6" ht="13.2">
      <c r="D78" s="975"/>
      <c r="E78" s="975"/>
      <c r="F78" s="975"/>
    </row>
    <row r="79" spans="1:6" ht="13.2"/>
    <row r="80" spans="1:6" ht="14.4">
      <c r="A80" s="271" t="s">
        <v>242</v>
      </c>
      <c r="B80" s="616" t="s">
        <v>1438</v>
      </c>
      <c r="D80" s="975" t="s">
        <v>1510</v>
      </c>
      <c r="E80" s="975"/>
      <c r="F80" s="975"/>
    </row>
    <row r="81" spans="1:7" ht="13.2">
      <c r="D81" s="975"/>
      <c r="E81" s="975"/>
      <c r="F81" s="975"/>
    </row>
    <row r="82" spans="1:7" ht="13.2">
      <c r="D82" s="975"/>
      <c r="E82" s="975"/>
      <c r="F82" s="975"/>
    </row>
    <row r="83" spans="1:7" ht="13.2">
      <c r="D83" s="44"/>
    </row>
    <row r="84" spans="1:7" ht="14.4">
      <c r="A84" s="271" t="s">
        <v>242</v>
      </c>
      <c r="B84" s="616" t="s">
        <v>1438</v>
      </c>
      <c r="D84" s="975" t="s">
        <v>1511</v>
      </c>
      <c r="E84" s="975"/>
      <c r="F84" s="975"/>
    </row>
    <row r="85" spans="1:7" ht="13.2">
      <c r="D85" s="975"/>
      <c r="E85" s="975"/>
      <c r="F85" s="975"/>
    </row>
    <row r="86" spans="1:7" ht="13.2"/>
    <row r="87" spans="1:7" ht="13.2">
      <c r="A87" s="1000" t="s">
        <v>1442</v>
      </c>
      <c r="B87" s="1000"/>
      <c r="C87" s="1000"/>
      <c r="D87" s="1000"/>
      <c r="E87" s="1000"/>
      <c r="F87" s="1000"/>
      <c r="G87" s="1000"/>
    </row>
    <row r="88" spans="1:7" ht="13.2">
      <c r="E88"/>
      <c r="F88"/>
      <c r="G88"/>
    </row>
    <row r="89" spans="1:7" ht="13.65" customHeight="1">
      <c r="C89" s="597"/>
      <c r="D89" s="1002" t="s">
        <v>1443</v>
      </c>
      <c r="E89" s="1002"/>
      <c r="F89" s="1002"/>
      <c r="G89"/>
    </row>
    <row r="90" spans="1:7" ht="13.65" customHeight="1">
      <c r="A90" s="44"/>
      <c r="B90" s="44"/>
      <c r="D90" s="975" t="s">
        <v>1611</v>
      </c>
      <c r="E90" s="975"/>
      <c r="F90" s="975"/>
      <c r="G90"/>
    </row>
    <row r="91" spans="1:7" ht="13.2">
      <c r="A91" s="44"/>
      <c r="B91" s="44"/>
      <c r="E91"/>
      <c r="F91"/>
      <c r="G91"/>
    </row>
    <row r="92" spans="1:7" ht="14.25" customHeight="1">
      <c r="A92" s="271"/>
      <c r="B92" s="616" t="s">
        <v>1438</v>
      </c>
      <c r="D92" s="969" t="s">
        <v>1943</v>
      </c>
      <c r="E92" s="969"/>
      <c r="F92" s="969"/>
      <c r="G92"/>
    </row>
    <row r="93" spans="1:7" ht="14.4" customHeight="1">
      <c r="A93" s="271"/>
      <c r="D93" s="969"/>
      <c r="E93" s="969"/>
      <c r="F93" s="969"/>
      <c r="G93"/>
    </row>
    <row r="94" spans="1:7" ht="14.4">
      <c r="A94" s="271"/>
      <c r="B94" s="271"/>
      <c r="D94" s="969"/>
      <c r="E94" s="969"/>
      <c r="F94" s="969"/>
      <c r="G94"/>
    </row>
    <row r="95" spans="1:7" ht="14.4">
      <c r="A95" s="271"/>
      <c r="B95" s="271"/>
      <c r="D95" s="969"/>
      <c r="E95" s="969"/>
      <c r="F95" s="969"/>
      <c r="G95"/>
    </row>
    <row r="96" spans="1:7" ht="14.4">
      <c r="A96" s="271"/>
      <c r="B96" s="271"/>
      <c r="D96" s="969"/>
      <c r="E96" s="969"/>
      <c r="F96" s="969"/>
      <c r="G96"/>
    </row>
    <row r="97" spans="1:7" ht="14.4">
      <c r="A97" s="271"/>
      <c r="B97" s="271"/>
      <c r="D97" s="969"/>
      <c r="E97" s="969"/>
      <c r="F97" s="969"/>
      <c r="G97"/>
    </row>
    <row r="98" spans="1:7" ht="14.4">
      <c r="A98" s="271"/>
      <c r="B98" s="271"/>
      <c r="D98" s="969"/>
      <c r="E98" s="969"/>
      <c r="F98" s="969"/>
      <c r="G98"/>
    </row>
    <row r="99" spans="1:7" ht="14.4">
      <c r="A99" s="271"/>
      <c r="B99" s="271"/>
      <c r="D99" s="969"/>
      <c r="E99" s="969"/>
      <c r="F99" s="969"/>
      <c r="G99"/>
    </row>
    <row r="100" spans="1:7" ht="14.4">
      <c r="A100" s="271"/>
      <c r="B100" s="271"/>
      <c r="D100" s="969"/>
      <c r="E100" s="969"/>
      <c r="F100" s="969"/>
      <c r="G100"/>
    </row>
    <row r="101" spans="1:7" ht="14.4" customHeight="1">
      <c r="A101" s="271"/>
      <c r="B101" s="616" t="s">
        <v>131</v>
      </c>
      <c r="D101" s="996" t="s">
        <v>1944</v>
      </c>
      <c r="E101" s="996"/>
      <c r="F101" s="996"/>
      <c r="G101"/>
    </row>
    <row r="102" spans="1:7" ht="14.4">
      <c r="A102" s="271"/>
      <c r="B102" s="271"/>
      <c r="D102" s="996"/>
      <c r="E102" s="996"/>
      <c r="F102" s="996"/>
      <c r="G102"/>
    </row>
    <row r="103" spans="1:7" ht="14.4">
      <c r="A103" s="271"/>
      <c r="B103" s="271"/>
      <c r="D103" s="996"/>
      <c r="E103" s="996"/>
      <c r="F103" s="996"/>
      <c r="G103"/>
    </row>
    <row r="104" spans="1:7" ht="14.4">
      <c r="A104" s="271"/>
      <c r="B104" s="271"/>
      <c r="D104" s="996"/>
      <c r="E104" s="996"/>
      <c r="F104" s="996"/>
      <c r="G104"/>
    </row>
    <row r="105" spans="1:7" ht="14.4">
      <c r="A105" s="271"/>
      <c r="B105" s="271"/>
      <c r="D105" s="996"/>
      <c r="E105" s="996"/>
      <c r="F105" s="996"/>
      <c r="G105"/>
    </row>
    <row r="106" spans="1:7" ht="14.4">
      <c r="A106" s="271"/>
      <c r="B106" s="271"/>
      <c r="D106" s="996"/>
      <c r="E106" s="996"/>
      <c r="F106" s="996"/>
      <c r="G106"/>
    </row>
    <row r="107" spans="1:7" ht="14.4">
      <c r="A107" s="271"/>
      <c r="B107" s="271"/>
      <c r="D107" s="996"/>
      <c r="E107" s="996"/>
      <c r="F107" s="996"/>
      <c r="G107"/>
    </row>
    <row r="108" spans="1:7" ht="14.4">
      <c r="A108" s="271"/>
      <c r="B108" s="271"/>
      <c r="D108" s="996"/>
      <c r="E108" s="996"/>
      <c r="F108" s="996"/>
      <c r="G108"/>
    </row>
    <row r="109" spans="1:7" ht="14.4">
      <c r="A109" s="271"/>
      <c r="B109" s="271"/>
      <c r="D109" s="996"/>
      <c r="E109" s="996"/>
      <c r="F109" s="996"/>
      <c r="G109"/>
    </row>
    <row r="110" spans="1:7" ht="14.4">
      <c r="A110" s="271"/>
      <c r="B110" s="271"/>
      <c r="D110" s="996"/>
      <c r="E110" s="996"/>
      <c r="F110" s="996"/>
      <c r="G110"/>
    </row>
    <row r="111" spans="1:7" ht="14.4">
      <c r="A111" s="271"/>
      <c r="B111" s="271"/>
      <c r="D111" s="996"/>
      <c r="E111" s="996"/>
      <c r="F111" s="996"/>
      <c r="G111"/>
    </row>
    <row r="112" spans="1:7" ht="14.4">
      <c r="A112" s="271"/>
      <c r="B112" s="271"/>
      <c r="D112" s="996"/>
      <c r="E112" s="996"/>
      <c r="F112" s="996"/>
      <c r="G112"/>
    </row>
    <row r="113" spans="1:7" ht="14.4">
      <c r="A113" s="271"/>
      <c r="B113" s="271"/>
      <c r="D113" s="996"/>
      <c r="E113" s="996"/>
      <c r="F113" s="996"/>
      <c r="G113"/>
    </row>
    <row r="114" spans="1:7" ht="14.4">
      <c r="A114" s="271"/>
      <c r="B114" s="616" t="s">
        <v>131</v>
      </c>
      <c r="D114" s="975" t="s">
        <v>1612</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16" t="s">
        <v>131</v>
      </c>
      <c r="D122" s="975" t="s">
        <v>1613</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16" t="s">
        <v>1438</v>
      </c>
      <c r="D128" s="975" t="s">
        <v>1614</v>
      </c>
      <c r="E128" s="975"/>
      <c r="F128" s="975"/>
    </row>
    <row r="129" spans="1:7" s="324" customFormat="1" ht="13.95" customHeight="1">
      <c r="A129" s="317"/>
      <c r="B129" s="317"/>
      <c r="C129" s="317"/>
      <c r="D129" s="975"/>
      <c r="E129" s="975"/>
      <c r="F129" s="975"/>
      <c r="G129" s="361"/>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16" t="s">
        <v>131</v>
      </c>
      <c r="D141" s="969" t="s">
        <v>1801</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034" t="s">
        <v>1802</v>
      </c>
      <c r="E159" s="1034"/>
      <c r="F159" s="1034"/>
      <c r="G159"/>
    </row>
    <row r="160" spans="1:7" ht="13.95" customHeight="1">
      <c r="A160" s="18"/>
      <c r="B160" s="18"/>
      <c r="D160" s="44"/>
      <c r="G160"/>
    </row>
    <row r="161" spans="1:7" ht="13.95" customHeight="1">
      <c r="A161" s="271"/>
      <c r="B161" s="616" t="s">
        <v>131</v>
      </c>
      <c r="D161" s="996" t="s">
        <v>1830</v>
      </c>
      <c r="E161" s="1036"/>
      <c r="F161" s="1036"/>
      <c r="G161"/>
    </row>
    <row r="162" spans="1:7" ht="13.95" customHeight="1">
      <c r="A162" s="271"/>
      <c r="B162" s="18"/>
      <c r="D162" s="1036"/>
      <c r="E162" s="1036"/>
      <c r="F162" s="1036"/>
      <c r="G162"/>
    </row>
    <row r="163" spans="1:7" ht="13.95" customHeight="1">
      <c r="A163" s="18"/>
      <c r="B163" s="18"/>
      <c r="D163" s="1036"/>
      <c r="E163" s="1036"/>
      <c r="F163" s="1036"/>
      <c r="G163"/>
    </row>
    <row r="164" spans="1:7" ht="13.95" customHeight="1">
      <c r="A164" s="18"/>
      <c r="B164" s="18"/>
      <c r="D164" s="44"/>
      <c r="G164"/>
    </row>
    <row r="165" spans="1:7" ht="13.95" customHeight="1">
      <c r="A165" s="271"/>
      <c r="B165" s="616" t="s">
        <v>131</v>
      </c>
      <c r="D165" s="1036" t="s">
        <v>1615</v>
      </c>
      <c r="E165" s="1036"/>
      <c r="F165" s="1036"/>
      <c r="G165"/>
    </row>
    <row r="166" spans="1:7" ht="13.95" customHeight="1">
      <c r="A166" s="18"/>
      <c r="B166" s="18"/>
      <c r="D166" s="1036"/>
      <c r="E166" s="1036"/>
      <c r="F166" s="1036"/>
    </row>
    <row r="167" spans="1:7" ht="13.95" customHeight="1">
      <c r="A167" s="18"/>
      <c r="B167" s="18"/>
      <c r="D167" s="1036"/>
      <c r="E167" s="1036"/>
      <c r="F167" s="1036"/>
    </row>
    <row r="168" spans="1:7" ht="13.95" customHeight="1">
      <c r="A168" s="18"/>
      <c r="B168" s="18"/>
      <c r="D168" s="1036"/>
      <c r="E168" s="1036"/>
      <c r="F168" s="1036"/>
    </row>
    <row r="169" spans="1:7" ht="13.95" customHeight="1">
      <c r="A169" s="18"/>
      <c r="B169" s="18"/>
      <c r="D169" s="44"/>
    </row>
    <row r="170" spans="1:7" ht="13.95" customHeight="1">
      <c r="A170" s="374"/>
      <c r="B170" s="616" t="s">
        <v>131</v>
      </c>
      <c r="C170" s="374"/>
      <c r="D170" s="1032" t="s">
        <v>2254</v>
      </c>
      <c r="E170" s="1032"/>
      <c r="F170" s="1032"/>
      <c r="G170" s="365"/>
    </row>
    <row r="171" spans="1:7" ht="13.95" customHeight="1">
      <c r="A171" s="374"/>
      <c r="B171" s="374"/>
      <c r="C171" s="374"/>
      <c r="D171" s="1032"/>
      <c r="E171" s="1032"/>
      <c r="F171" s="1032"/>
      <c r="G171" s="365"/>
    </row>
    <row r="172" spans="1:7" ht="13.95" customHeight="1">
      <c r="A172" s="374"/>
      <c r="B172" s="374"/>
      <c r="C172" s="374"/>
      <c r="D172" s="1032"/>
      <c r="E172" s="1032"/>
      <c r="F172" s="1032"/>
      <c r="G172" s="365"/>
    </row>
    <row r="173" spans="1:7" ht="13.2">
      <c r="A173" s="374"/>
      <c r="B173" s="374"/>
      <c r="C173" s="374"/>
      <c r="D173" s="376"/>
      <c r="E173" s="365"/>
      <c r="F173" s="365"/>
      <c r="G173" s="365"/>
    </row>
    <row r="174" spans="1:7" ht="13.2">
      <c r="A174" s="1000" t="s">
        <v>1445</v>
      </c>
      <c r="B174" s="1000"/>
      <c r="C174" s="1000"/>
      <c r="D174" s="1000"/>
      <c r="E174" s="1000"/>
      <c r="F174" s="1000"/>
      <c r="G174" s="1000"/>
    </row>
    <row r="175" spans="1:7" ht="13.2">
      <c r="D175" s="44"/>
    </row>
    <row r="176" spans="1:7" ht="13.2">
      <c r="C176" s="597"/>
      <c r="D176" s="1009" t="s">
        <v>1444</v>
      </c>
      <c r="E176" s="1009"/>
      <c r="F176" s="1009"/>
    </row>
    <row r="177" spans="1:6" ht="13.2">
      <c r="A177" s="190"/>
      <c r="B177" s="190"/>
      <c r="C177" s="190"/>
      <c r="D177" s="1033" t="s">
        <v>1477</v>
      </c>
      <c r="E177" s="1033"/>
      <c r="F177" s="1033"/>
    </row>
    <row r="178" spans="1:6" ht="13.2">
      <c r="A178" s="191"/>
      <c r="B178" s="191"/>
      <c r="C178" s="191"/>
    </row>
    <row r="179" spans="1:6" ht="14.4">
      <c r="A179" s="271"/>
      <c r="B179" s="616" t="s">
        <v>131</v>
      </c>
      <c r="D179" s="998" t="s">
        <v>1804</v>
      </c>
      <c r="E179" s="999"/>
      <c r="F179" s="999"/>
    </row>
    <row r="180" spans="1:6" ht="14.4">
      <c r="A180" s="271"/>
      <c r="D180" s="313"/>
      <c r="E180" s="102"/>
      <c r="F180" s="102"/>
    </row>
    <row r="181" spans="1:6" ht="14.4">
      <c r="A181" s="271"/>
      <c r="B181" s="616" t="s">
        <v>131</v>
      </c>
      <c r="D181" s="999" t="s">
        <v>1616</v>
      </c>
      <c r="E181" s="999"/>
      <c r="F181" s="999"/>
    </row>
    <row r="182" spans="1:6" ht="14.4">
      <c r="A182" s="271"/>
      <c r="D182" s="102"/>
      <c r="E182" s="102"/>
      <c r="F182" s="102"/>
    </row>
    <row r="183" spans="1:6" ht="14.4">
      <c r="A183" s="271"/>
      <c r="B183" s="616" t="s">
        <v>131</v>
      </c>
      <c r="D183" s="1035" t="s">
        <v>1884</v>
      </c>
      <c r="E183" s="1035"/>
      <c r="F183" s="1035"/>
    </row>
    <row r="184" spans="1:6" ht="13.65" customHeight="1">
      <c r="A184" s="271"/>
      <c r="D184" s="41" t="s">
        <v>942</v>
      </c>
      <c r="E184" s="969" t="s">
        <v>2249</v>
      </c>
      <c r="F184" s="969"/>
    </row>
    <row r="185" spans="1:6" ht="14.4">
      <c r="A185" s="271"/>
      <c r="D185" s="783"/>
      <c r="E185" s="969"/>
      <c r="F185" s="969"/>
    </row>
    <row r="186" spans="1:6" ht="14.4">
      <c r="A186" s="271"/>
      <c r="D186" s="783"/>
      <c r="E186" s="969"/>
      <c r="F186" s="969"/>
    </row>
    <row r="187" spans="1:6" ht="14.4">
      <c r="A187" s="271"/>
      <c r="D187"/>
      <c r="E187" s="969"/>
      <c r="F187" s="969"/>
    </row>
    <row r="188" spans="1:6" ht="13.65" customHeight="1">
      <c r="A188" s="271"/>
      <c r="D188" s="783" t="s">
        <v>943</v>
      </c>
      <c r="E188" s="969" t="s">
        <v>1885</v>
      </c>
      <c r="F188" s="969"/>
    </row>
    <row r="189" spans="1:6" ht="13.65" customHeight="1">
      <c r="A189" s="271"/>
      <c r="D189" s="783"/>
      <c r="E189" s="969"/>
      <c r="F189" s="969"/>
    </row>
    <row r="190" spans="1:6" ht="13.65" customHeight="1">
      <c r="A190" s="271"/>
      <c r="D190" s="783"/>
      <c r="E190" s="969"/>
      <c r="F190" s="969"/>
    </row>
    <row r="191" spans="1:6" ht="13.65" customHeight="1">
      <c r="A191" s="271"/>
      <c r="D191" s="783"/>
      <c r="E191" s="969"/>
      <c r="F191" s="969"/>
    </row>
    <row r="192" spans="1:6" ht="13.65" customHeight="1">
      <c r="A192" s="271"/>
      <c r="D192" s="783"/>
      <c r="E192" s="969"/>
      <c r="F192" s="969"/>
    </row>
    <row r="193" spans="1:7" ht="14.4">
      <c r="A193" s="271"/>
      <c r="D193"/>
      <c r="E193" s="969"/>
      <c r="F193" s="969"/>
    </row>
    <row r="194" spans="1:7" ht="14.4">
      <c r="A194" s="271"/>
      <c r="D194"/>
      <c r="E194" s="969"/>
      <c r="F194" s="969"/>
    </row>
    <row r="195" spans="1:7" ht="13.2"/>
    <row r="196" spans="1:7" ht="14.4">
      <c r="A196" s="271"/>
      <c r="B196" s="616" t="s">
        <v>131</v>
      </c>
      <c r="D196" s="975" t="s">
        <v>1617</v>
      </c>
      <c r="E196" s="975"/>
      <c r="F196" s="975"/>
    </row>
    <row r="197" spans="1:7" ht="14.4">
      <c r="A197" s="271"/>
      <c r="B197" s="271"/>
      <c r="D197" s="975"/>
      <c r="E197" s="975"/>
      <c r="F197" s="975"/>
    </row>
    <row r="198" spans="1:7" ht="14.4">
      <c r="A198" s="271"/>
      <c r="B198" s="271"/>
      <c r="D198" s="975"/>
      <c r="E198" s="975"/>
      <c r="F198" s="975"/>
    </row>
    <row r="199" spans="1:7" ht="14.4">
      <c r="A199" s="271"/>
      <c r="B199" s="271"/>
      <c r="D199" s="975"/>
      <c r="E199" s="975"/>
      <c r="F199" s="975"/>
    </row>
    <row r="200" spans="1:7" ht="13.2">
      <c r="D200" s="1034" t="s">
        <v>2339</v>
      </c>
      <c r="E200" s="1034"/>
      <c r="F200" s="1034"/>
    </row>
    <row r="201" spans="1:7" ht="13.2">
      <c r="D201" s="632"/>
      <c r="E201" s="632"/>
      <c r="F201" s="632"/>
    </row>
    <row r="202" spans="1:7" ht="14.4">
      <c r="A202" s="271"/>
      <c r="B202" s="616" t="s">
        <v>131</v>
      </c>
      <c r="D202" s="995" t="s">
        <v>1618</v>
      </c>
      <c r="E202" s="995"/>
      <c r="F202" s="995"/>
    </row>
    <row r="203" spans="1:7" ht="13.2"/>
    <row r="204" spans="1:7" ht="13.2">
      <c r="A204" s="1000" t="s">
        <v>1447</v>
      </c>
      <c r="B204" s="1000"/>
      <c r="C204" s="1000"/>
      <c r="D204" s="1000"/>
      <c r="E204" s="1000"/>
      <c r="F204" s="1000"/>
      <c r="G204" s="1000"/>
    </row>
    <row r="205" spans="1:7" ht="13.2"/>
    <row r="206" spans="1:7" ht="13.2">
      <c r="C206" s="598"/>
      <c r="D206" s="1009" t="s">
        <v>1446</v>
      </c>
      <c r="E206" s="1009"/>
      <c r="F206" s="1009"/>
    </row>
    <row r="207" spans="1:7" ht="13.2">
      <c r="A207" s="599"/>
      <c r="B207" s="599"/>
      <c r="C207" s="598"/>
      <c r="D207" s="1009" t="s">
        <v>731</v>
      </c>
      <c r="E207" s="1009"/>
      <c r="F207" s="1009"/>
    </row>
    <row r="208" spans="1:7" ht="13.2">
      <c r="A208" s="190"/>
      <c r="B208" s="190"/>
      <c r="C208" s="190"/>
      <c r="D208" s="999" t="s">
        <v>1478</v>
      </c>
      <c r="E208" s="999"/>
      <c r="F208" s="999"/>
    </row>
    <row r="209" spans="1:6" ht="13.2">
      <c r="A209" s="190"/>
      <c r="B209" s="190"/>
      <c r="C209" s="190"/>
    </row>
    <row r="210" spans="1:6" ht="13.2">
      <c r="A210" s="190"/>
      <c r="B210" s="190"/>
      <c r="C210" s="190"/>
      <c r="D210" s="975" t="s">
        <v>1488</v>
      </c>
      <c r="E210" s="975"/>
      <c r="F210" s="975"/>
    </row>
    <row r="211" spans="1:6" ht="13.2">
      <c r="A211" s="190"/>
      <c r="B211" s="190"/>
      <c r="C211" s="190"/>
      <c r="D211" s="975"/>
      <c r="E211" s="975"/>
      <c r="F211" s="975"/>
    </row>
    <row r="212" spans="1:6" ht="13.2">
      <c r="A212" s="190"/>
      <c r="B212" s="190"/>
      <c r="C212" s="190"/>
      <c r="D212" s="975"/>
      <c r="E212" s="975"/>
      <c r="F212" s="975"/>
    </row>
    <row r="213" spans="1:6" ht="13.2">
      <c r="A213" s="190"/>
      <c r="B213" s="190"/>
      <c r="C213" s="190"/>
      <c r="D213" s="975"/>
      <c r="E213" s="975"/>
      <c r="F213" s="975"/>
    </row>
    <row r="214" spans="1:6" ht="13.2">
      <c r="A214" s="190"/>
      <c r="B214" s="190"/>
      <c r="C214" s="190"/>
    </row>
    <row r="215" spans="1:6" ht="13.2">
      <c r="A215" s="190"/>
      <c r="B215" s="190"/>
      <c r="C215" s="190"/>
      <c r="D215" s="969" t="s">
        <v>2255</v>
      </c>
      <c r="E215" s="975"/>
      <c r="F215" s="975"/>
    </row>
    <row r="216" spans="1:6" ht="13.2">
      <c r="A216" s="190"/>
      <c r="B216" s="190"/>
      <c r="C216" s="190"/>
      <c r="D216" s="975"/>
      <c r="E216" s="975"/>
      <c r="F216" s="975"/>
    </row>
    <row r="217" spans="1:6" ht="13.2">
      <c r="A217" s="190"/>
      <c r="B217" s="190"/>
      <c r="C217" s="190"/>
      <c r="D217" s="975"/>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1"/>
      <c r="B221" s="191"/>
      <c r="C221" s="191"/>
    </row>
    <row r="222" spans="1:6" ht="14.4" customHeight="1">
      <c r="A222" s="271"/>
      <c r="B222" s="616" t="s">
        <v>1438</v>
      </c>
      <c r="C222" s="191"/>
      <c r="D222" s="995" t="s">
        <v>306</v>
      </c>
      <c r="E222" s="995"/>
      <c r="F222" s="995"/>
    </row>
    <row r="223" spans="1:6" ht="14.4">
      <c r="A223" s="271"/>
      <c r="C223" s="191"/>
      <c r="D223" s="999" t="s">
        <v>1156</v>
      </c>
      <c r="E223" s="999"/>
      <c r="F223" s="999"/>
    </row>
    <row r="224" spans="1:6" ht="14.4">
      <c r="A224" s="271"/>
      <c r="B224" s="271"/>
      <c r="C224" s="191"/>
      <c r="D224" s="104" t="s">
        <v>1495</v>
      </c>
      <c r="E224" s="1007" t="s">
        <v>2164</v>
      </c>
      <c r="F224" s="1007"/>
    </row>
    <row r="225" spans="1:6" ht="13.2">
      <c r="D225" s="998" t="s">
        <v>1471</v>
      </c>
      <c r="E225" s="999"/>
      <c r="F225" s="999"/>
    </row>
    <row r="226" spans="1:6" ht="13.2"/>
    <row r="227" spans="1:6" ht="14.4">
      <c r="A227" s="271"/>
      <c r="B227" s="616" t="s">
        <v>131</v>
      </c>
      <c r="D227" s="999" t="s">
        <v>307</v>
      </c>
      <c r="E227" s="999"/>
      <c r="F227" s="999"/>
    </row>
    <row r="228" spans="1:6" ht="14.4">
      <c r="A228" s="271"/>
      <c r="D228" s="995" t="s">
        <v>1156</v>
      </c>
      <c r="E228" s="995"/>
      <c r="F228" s="995"/>
    </row>
    <row r="229" spans="1:6" ht="14.4">
      <c r="A229" s="271"/>
      <c r="B229" s="271"/>
      <c r="D229" s="63" t="s">
        <v>1496</v>
      </c>
      <c r="E229" s="1007" t="s">
        <v>2165</v>
      </c>
      <c r="F229" s="1007"/>
    </row>
    <row r="230" spans="1:6" ht="13.2">
      <c r="D230" s="999" t="s">
        <v>1472</v>
      </c>
      <c r="E230" s="999"/>
      <c r="F230" s="999"/>
    </row>
    <row r="231" spans="1:6" ht="13.2"/>
    <row r="232" spans="1:6" ht="14.4">
      <c r="A232" s="271"/>
      <c r="B232" s="616" t="s">
        <v>131</v>
      </c>
      <c r="D232" s="999" t="s">
        <v>675</v>
      </c>
      <c r="E232" s="999"/>
      <c r="F232" s="999"/>
    </row>
    <row r="233" spans="1:6" ht="14.4">
      <c r="A233" s="271"/>
      <c r="D233" s="44" t="s">
        <v>1156</v>
      </c>
    </row>
    <row r="234" spans="1:6" ht="14.4">
      <c r="A234" s="271"/>
      <c r="B234" s="271"/>
      <c r="D234" s="63" t="s">
        <v>1495</v>
      </c>
      <c r="E234" s="1007" t="s">
        <v>2166</v>
      </c>
      <c r="F234" s="1007"/>
    </row>
    <row r="235" spans="1:6" ht="14.4">
      <c r="A235" s="271"/>
      <c r="B235" s="271"/>
      <c r="D235" s="975" t="s">
        <v>1498</v>
      </c>
      <c r="E235" s="975"/>
      <c r="F235" s="975"/>
    </row>
    <row r="236" spans="1:6" ht="13.2">
      <c r="D236" s="975"/>
      <c r="E236" s="975"/>
      <c r="F236" s="975"/>
    </row>
    <row r="237" spans="1:6" ht="13.2">
      <c r="D237" s="975"/>
      <c r="E237" s="975"/>
      <c r="F237" s="975"/>
    </row>
    <row r="238" spans="1:6" ht="13.2">
      <c r="D238" s="975"/>
      <c r="E238" s="975"/>
      <c r="F238" s="975"/>
    </row>
    <row r="239" spans="1:6" ht="13.2">
      <c r="D239" s="975"/>
      <c r="E239" s="975"/>
      <c r="F239" s="975"/>
    </row>
    <row r="240" spans="1:6" ht="13.2">
      <c r="D240" s="975" t="s">
        <v>1473</v>
      </c>
      <c r="E240" s="975"/>
      <c r="F240" s="975"/>
    </row>
    <row r="241" spans="1:6" ht="13.2">
      <c r="D241" s="44"/>
    </row>
    <row r="242" spans="1:6" ht="14.4">
      <c r="A242" s="271"/>
      <c r="B242" s="616" t="s">
        <v>131</v>
      </c>
      <c r="D242" s="999" t="s">
        <v>676</v>
      </c>
      <c r="E242" s="999"/>
      <c r="F242" s="999"/>
    </row>
    <row r="243" spans="1:6" ht="14.4">
      <c r="A243" s="271"/>
      <c r="D243" s="999" t="s">
        <v>1156</v>
      </c>
      <c r="E243" s="999"/>
      <c r="F243" s="999"/>
    </row>
    <row r="244" spans="1:6" ht="14.4">
      <c r="A244" s="271"/>
      <c r="B244" s="271"/>
      <c r="D244" s="63" t="s">
        <v>1495</v>
      </c>
      <c r="E244" s="1007" t="s">
        <v>2167</v>
      </c>
      <c r="F244" s="1007"/>
    </row>
    <row r="245" spans="1:6" ht="13.2">
      <c r="D245" s="998" t="s">
        <v>2021</v>
      </c>
      <c r="E245" s="999"/>
      <c r="F245" s="999"/>
    </row>
    <row r="246" spans="1:6" ht="13.2">
      <c r="D246" s="102"/>
      <c r="E246" s="102"/>
      <c r="F246" s="102"/>
    </row>
    <row r="247" spans="1:6" ht="14.4">
      <c r="A247" s="271"/>
      <c r="B247" s="616" t="s">
        <v>131</v>
      </c>
      <c r="D247" s="998" t="s">
        <v>2020</v>
      </c>
      <c r="E247" s="999"/>
      <c r="F247" s="999"/>
    </row>
    <row r="248" spans="1:6" ht="14.4">
      <c r="A248" s="271"/>
      <c r="D248" s="999" t="s">
        <v>1156</v>
      </c>
      <c r="E248" s="999"/>
      <c r="F248" s="999"/>
    </row>
    <row r="249" spans="1:6" ht="14.4">
      <c r="A249" s="271"/>
      <c r="B249" s="271"/>
      <c r="D249" s="63" t="s">
        <v>1495</v>
      </c>
      <c r="E249" s="1007" t="s">
        <v>2168</v>
      </c>
      <c r="F249" s="1007"/>
    </row>
    <row r="250" spans="1:6" ht="13.2">
      <c r="D250" s="998" t="s">
        <v>2022</v>
      </c>
      <c r="E250" s="999"/>
      <c r="F250" s="999"/>
    </row>
    <row r="251" spans="1:6" ht="13.2">
      <c r="D251" s="44"/>
    </row>
    <row r="252" spans="1:6" ht="14.4">
      <c r="A252" s="271"/>
      <c r="B252" s="616" t="s">
        <v>131</v>
      </c>
      <c r="D252" s="102" t="s">
        <v>1518</v>
      </c>
      <c r="E252" s="102"/>
      <c r="F252" s="102"/>
    </row>
    <row r="253" spans="1:6" ht="14.4">
      <c r="A253" s="271"/>
      <c r="B253"/>
      <c r="D253" s="969" t="s">
        <v>1825</v>
      </c>
      <c r="E253" s="975"/>
      <c r="F253" s="975"/>
    </row>
    <row r="254" spans="1:6" ht="14.4">
      <c r="A254" s="271"/>
      <c r="D254" s="975"/>
      <c r="E254" s="975"/>
      <c r="F254" s="975"/>
    </row>
    <row r="255" spans="1:6" ht="14.4">
      <c r="A255" s="271"/>
      <c r="D255" s="975"/>
      <c r="E255" s="975"/>
      <c r="F255" s="975"/>
    </row>
    <row r="256" spans="1:6" ht="14.4">
      <c r="A256" s="271"/>
      <c r="D256" s="24"/>
      <c r="E256" s="24"/>
      <c r="F256" s="24"/>
    </row>
    <row r="257" spans="1:7" ht="14.4">
      <c r="A257" s="271"/>
      <c r="B257" s="616" t="s">
        <v>131</v>
      </c>
      <c r="D257" s="999" t="s">
        <v>1065</v>
      </c>
      <c r="E257" s="999"/>
      <c r="F257" s="999"/>
    </row>
    <row r="258" spans="1:7" ht="14.4">
      <c r="A258" s="271"/>
      <c r="D258" s="102"/>
      <c r="E258" s="102"/>
      <c r="F258" s="102"/>
    </row>
    <row r="259" spans="1:7" ht="13.2">
      <c r="A259" s="1000" t="s">
        <v>1449</v>
      </c>
      <c r="B259" s="1000"/>
      <c r="C259" s="1000"/>
      <c r="D259" s="1000"/>
      <c r="E259" s="1000"/>
      <c r="F259" s="1000"/>
      <c r="G259" s="1000"/>
    </row>
    <row r="260" spans="1:7" ht="13.2">
      <c r="D260" s="44"/>
    </row>
    <row r="261" spans="1:7" ht="13.2">
      <c r="C261" s="597"/>
      <c r="D261" s="1001" t="s">
        <v>1448</v>
      </c>
      <c r="E261" s="1001"/>
      <c r="F261" s="1001"/>
    </row>
    <row r="262" spans="1:7" ht="13.2">
      <c r="A262" s="190"/>
      <c r="B262" s="190"/>
      <c r="C262" s="190"/>
      <c r="D262" s="995" t="s">
        <v>1479</v>
      </c>
      <c r="E262" s="995"/>
      <c r="F262" s="995"/>
    </row>
    <row r="263" spans="1:7" ht="13.2">
      <c r="A263" s="18"/>
      <c r="B263" s="18"/>
      <c r="C263" s="18"/>
      <c r="D263" s="3"/>
    </row>
    <row r="264" spans="1:7" ht="13.2">
      <c r="A264" s="18"/>
      <c r="C264" s="18"/>
      <c r="D264" s="1001" t="s">
        <v>222</v>
      </c>
      <c r="E264" s="1001"/>
      <c r="F264" s="1001"/>
      <c r="G264"/>
    </row>
    <row r="265" spans="1:7" ht="14.4" customHeight="1">
      <c r="A265" s="271"/>
      <c r="B265" s="616" t="s">
        <v>1438</v>
      </c>
      <c r="C265" s="887"/>
      <c r="D265" s="1010" t="s">
        <v>2102</v>
      </c>
      <c r="E265" s="1010"/>
      <c r="F265" s="1010"/>
      <c r="G265"/>
    </row>
    <row r="266" spans="1:7" ht="14.4">
      <c r="A266" s="271"/>
      <c r="B266" s="888"/>
      <c r="C266" s="887"/>
      <c r="D266" s="1010"/>
      <c r="E266" s="1010"/>
      <c r="F266" s="1010"/>
      <c r="G266"/>
    </row>
    <row r="267" spans="1:7" ht="14.4">
      <c r="A267" s="271"/>
      <c r="B267" s="888"/>
      <c r="C267" s="887"/>
      <c r="D267" s="1010"/>
      <c r="E267" s="1010"/>
      <c r="F267" s="1010"/>
      <c r="G267"/>
    </row>
    <row r="268" spans="1:7" ht="14.4" customHeight="1">
      <c r="A268" s="271"/>
      <c r="B268" s="888"/>
      <c r="C268" s="887"/>
      <c r="D268" s="1010"/>
      <c r="E268" s="1010"/>
      <c r="F268" s="1010"/>
      <c r="G268"/>
    </row>
    <row r="269" spans="1:7" ht="14.4">
      <c r="A269" s="271"/>
      <c r="B269" s="888"/>
      <c r="C269" s="887"/>
      <c r="D269" s="889"/>
      <c r="E269" s="889"/>
      <c r="F269" s="889"/>
      <c r="G269"/>
    </row>
    <row r="270" spans="1:7" ht="14.4">
      <c r="A270" s="271"/>
      <c r="B270" s="616" t="s">
        <v>1438</v>
      </c>
      <c r="C270" s="887"/>
      <c r="D270" s="1010" t="s">
        <v>2103</v>
      </c>
      <c r="E270" s="1010"/>
      <c r="F270" s="1010"/>
      <c r="G270"/>
    </row>
    <row r="271" spans="1:7" ht="14.4">
      <c r="A271" s="271"/>
      <c r="B271" s="888"/>
      <c r="C271" s="887"/>
      <c r="D271" s="1010"/>
      <c r="E271" s="1010"/>
      <c r="F271" s="1010"/>
      <c r="G271"/>
    </row>
    <row r="272" spans="1:7" ht="14.4">
      <c r="A272" s="271"/>
      <c r="B272" s="888"/>
      <c r="C272" s="887"/>
      <c r="D272" s="1010"/>
      <c r="E272" s="1010"/>
      <c r="F272" s="1010"/>
      <c r="G272"/>
    </row>
    <row r="273" spans="1:7" ht="14.4">
      <c r="A273" s="271"/>
      <c r="B273" s="888"/>
      <c r="C273" s="887"/>
      <c r="D273" s="1010"/>
      <c r="E273" s="1010"/>
      <c r="F273" s="1010"/>
      <c r="G273"/>
    </row>
    <row r="274" spans="1:7" ht="14.4">
      <c r="A274" s="271"/>
      <c r="B274" s="888"/>
      <c r="C274" s="887"/>
      <c r="D274" s="1010"/>
      <c r="E274" s="1010"/>
      <c r="F274" s="1010"/>
      <c r="G274"/>
    </row>
    <row r="275" spans="1:7" ht="14.4">
      <c r="A275" s="271"/>
      <c r="B275" s="888"/>
      <c r="C275" s="887"/>
      <c r="D275" s="889"/>
      <c r="E275" s="889"/>
      <c r="F275" s="889"/>
      <c r="G275"/>
    </row>
    <row r="276" spans="1:7" ht="14.4">
      <c r="A276" s="271"/>
      <c r="B276" s="888"/>
      <c r="C276" s="887"/>
      <c r="D276" s="1010" t="s">
        <v>1627</v>
      </c>
      <c r="E276" s="1010"/>
      <c r="F276" s="1010"/>
      <c r="G276"/>
    </row>
    <row r="277" spans="1:7" ht="14.4">
      <c r="A277" s="271"/>
      <c r="B277" s="888"/>
      <c r="C277" s="887"/>
      <c r="D277" s="1010"/>
      <c r="E277" s="1010"/>
      <c r="F277" s="1010"/>
      <c r="G277"/>
    </row>
    <row r="278" spans="1:7" ht="14.4">
      <c r="A278" s="271"/>
      <c r="B278" s="888"/>
      <c r="C278" s="887"/>
      <c r="D278" s="1010"/>
      <c r="E278" s="1010"/>
      <c r="F278" s="1010"/>
      <c r="G278"/>
    </row>
    <row r="279" spans="1:7" ht="14.4">
      <c r="A279" s="271"/>
      <c r="B279" s="888"/>
      <c r="C279" s="887"/>
      <c r="D279" s="1010"/>
      <c r="E279" s="1010"/>
      <c r="F279" s="1010"/>
      <c r="G279"/>
    </row>
    <row r="280" spans="1:7" ht="14.4">
      <c r="A280" s="271"/>
      <c r="B280" s="888"/>
      <c r="C280" s="887"/>
      <c r="D280" s="1010"/>
      <c r="E280" s="1010"/>
      <c r="F280" s="1010"/>
      <c r="G280"/>
    </row>
    <row r="281" spans="1:7" ht="14.4">
      <c r="A281" s="271"/>
      <c r="B281" s="271"/>
      <c r="D281" s="209"/>
      <c r="E281" s="209"/>
      <c r="F281" s="209"/>
      <c r="G281"/>
    </row>
    <row r="282" spans="1:7" s="452" customFormat="1" ht="14.4" customHeight="1">
      <c r="A282" s="289"/>
      <c r="B282" s="616" t="s">
        <v>131</v>
      </c>
      <c r="C282" s="805"/>
      <c r="D282" s="1008" t="s">
        <v>2015</v>
      </c>
      <c r="E282" s="1008"/>
      <c r="F282" s="1008"/>
      <c r="G282" s="806"/>
    </row>
    <row r="283" spans="1:7" s="452" customFormat="1" ht="14.4">
      <c r="A283" s="289"/>
      <c r="B283" s="805"/>
      <c r="C283" s="805"/>
      <c r="D283" s="1008"/>
      <c r="E283" s="1008"/>
      <c r="F283" s="1008"/>
      <c r="G283" s="806"/>
    </row>
    <row r="284" spans="1:7" s="452" customFormat="1" ht="14.4">
      <c r="A284" s="289"/>
      <c r="B284" s="805"/>
      <c r="C284" s="805"/>
      <c r="D284" s="1008"/>
      <c r="E284" s="1008"/>
      <c r="F284" s="1008"/>
      <c r="G284" s="806"/>
    </row>
    <row r="285" spans="1:7" s="452" customFormat="1" ht="13.2">
      <c r="A285" s="805"/>
      <c r="B285" s="805"/>
      <c r="C285" s="805"/>
      <c r="D285" s="933"/>
      <c r="E285" s="934" t="s">
        <v>2169</v>
      </c>
      <c r="F285" s="933"/>
      <c r="G285" s="806"/>
    </row>
    <row r="286" spans="1:7" ht="14.4">
      <c r="A286" s="271"/>
      <c r="B286" s="271"/>
      <c r="D286" s="44"/>
      <c r="E286"/>
      <c r="F286"/>
      <c r="G286"/>
    </row>
    <row r="287" spans="1:7" ht="14.4">
      <c r="A287" s="271"/>
      <c r="B287" s="616" t="s">
        <v>1438</v>
      </c>
      <c r="D287" s="995" t="s">
        <v>1157</v>
      </c>
      <c r="E287" s="995"/>
      <c r="F287" s="995"/>
      <c r="G287"/>
    </row>
    <row r="288" spans="1:7" ht="14.4">
      <c r="A288" s="271"/>
      <c r="B288" s="271"/>
      <c r="D288" s="995" t="s">
        <v>1628</v>
      </c>
      <c r="E288" s="995"/>
      <c r="F288" s="995"/>
      <c r="G288"/>
    </row>
    <row r="289" spans="1:7" ht="14.4">
      <c r="A289" s="271"/>
      <c r="B289" s="271"/>
      <c r="D289" s="3" t="s">
        <v>1087</v>
      </c>
      <c r="E289" s="934" t="s">
        <v>2170</v>
      </c>
      <c r="F289" s="3"/>
    </row>
    <row r="290" spans="1:7" ht="13.2">
      <c r="D290" s="28"/>
    </row>
    <row r="291" spans="1:7" ht="14.4">
      <c r="A291" s="271"/>
      <c r="B291" s="616" t="s">
        <v>1438</v>
      </c>
      <c r="D291" s="975" t="s">
        <v>1629</v>
      </c>
      <c r="E291" s="975"/>
      <c r="F291" s="975"/>
    </row>
    <row r="292" spans="1:7" ht="14.4">
      <c r="A292" s="271"/>
      <c r="B292" s="271"/>
      <c r="D292" s="975"/>
      <c r="E292" s="975"/>
      <c r="F292" s="975"/>
    </row>
    <row r="293" spans="1:7" ht="13.2">
      <c r="D293" s="28"/>
    </row>
    <row r="294" spans="1:7" ht="13.2">
      <c r="A294" s="1000" t="s">
        <v>1451</v>
      </c>
      <c r="B294" s="1000"/>
      <c r="C294" s="1000"/>
      <c r="D294" s="1000"/>
      <c r="E294" s="1000"/>
      <c r="F294" s="1000"/>
      <c r="G294" s="1000"/>
    </row>
    <row r="295" spans="1:7" ht="13.2">
      <c r="D295" s="28"/>
    </row>
    <row r="296" spans="1:7" ht="13.2">
      <c r="C296" s="597"/>
      <c r="D296" s="1001" t="s">
        <v>1450</v>
      </c>
      <c r="E296" s="1001"/>
      <c r="F296" s="1001"/>
    </row>
    <row r="297" spans="1:7" ht="13.2">
      <c r="A297" s="190"/>
      <c r="B297" s="190"/>
      <c r="C297" s="190"/>
      <c r="D297" s="44"/>
    </row>
    <row r="298" spans="1:7" ht="13.2">
      <c r="A298" s="191"/>
      <c r="B298" s="191"/>
      <c r="C298" s="191"/>
      <c r="D298" s="1001" t="s">
        <v>224</v>
      </c>
      <c r="E298" s="1001"/>
      <c r="F298" s="1001"/>
    </row>
    <row r="299" spans="1:7" ht="14.4" customHeight="1">
      <c r="A299" s="271"/>
      <c r="B299" s="616" t="s">
        <v>131</v>
      </c>
      <c r="D299" s="969" t="s">
        <v>1967</v>
      </c>
      <c r="E299" s="975"/>
      <c r="F299" s="975"/>
    </row>
    <row r="300" spans="1:7" ht="13.2">
      <c r="D300" s="975"/>
      <c r="E300" s="975"/>
      <c r="F300" s="975"/>
    </row>
    <row r="301" spans="1:7" ht="13.2">
      <c r="D301" s="975"/>
      <c r="E301" s="975"/>
      <c r="F301" s="975"/>
    </row>
    <row r="302" spans="1:7" ht="13.2">
      <c r="D302" s="24"/>
      <c r="E302" s="24"/>
      <c r="F302" s="24"/>
    </row>
    <row r="303" spans="1:7" s="452" customFormat="1" ht="14.4" customHeight="1">
      <c r="A303" s="289"/>
      <c r="B303" s="616" t="s">
        <v>131</v>
      </c>
      <c r="C303" s="805"/>
      <c r="D303" s="1008" t="s">
        <v>2016</v>
      </c>
      <c r="E303" s="1008"/>
      <c r="F303" s="1008"/>
      <c r="G303" s="806"/>
    </row>
    <row r="304" spans="1:7" s="452" customFormat="1" ht="13.2">
      <c r="A304" s="805"/>
      <c r="B304" s="805"/>
      <c r="C304" s="805"/>
      <c r="D304" s="1008"/>
      <c r="E304" s="1008"/>
      <c r="F304" s="1008"/>
      <c r="G304" s="806"/>
    </row>
    <row r="305" spans="1:7" s="452" customFormat="1" ht="13.2">
      <c r="A305" s="805"/>
      <c r="B305" s="805"/>
      <c r="C305" s="805"/>
      <c r="D305" s="1008"/>
      <c r="E305" s="1008"/>
      <c r="F305" s="1008"/>
      <c r="G305" s="806"/>
    </row>
    <row r="306" spans="1:7" s="452" customFormat="1" ht="13.2">
      <c r="A306" s="805"/>
      <c r="B306" s="805"/>
      <c r="C306" s="805"/>
      <c r="E306" s="377" t="s">
        <v>2171</v>
      </c>
      <c r="F306" s="377"/>
      <c r="G306" s="806"/>
    </row>
    <row r="307" spans="1:7" ht="13.2">
      <c r="D307" s="212"/>
    </row>
    <row r="308" spans="1:7" ht="13.2">
      <c r="A308" s="1000" t="s">
        <v>1452</v>
      </c>
      <c r="B308" s="1000"/>
      <c r="C308" s="1000"/>
      <c r="D308" s="1000"/>
      <c r="E308" s="1000"/>
      <c r="F308" s="1000"/>
      <c r="G308" s="1000"/>
    </row>
    <row r="309" spans="1:7" ht="13.2">
      <c r="D309" s="212"/>
    </row>
    <row r="310" spans="1:7" ht="13.2">
      <c r="C310" s="190"/>
      <c r="D310" s="1002" t="s">
        <v>1630</v>
      </c>
      <c r="E310" s="1002"/>
      <c r="F310" s="1002"/>
    </row>
    <row r="311" spans="1:7" ht="13.2">
      <c r="C311" s="190"/>
      <c r="D311" s="1002"/>
      <c r="E311" s="1002"/>
      <c r="F311" s="1002"/>
    </row>
    <row r="312" spans="1:7" ht="13.2">
      <c r="A312" s="191"/>
      <c r="B312" s="191"/>
      <c r="C312" s="191"/>
      <c r="D312" s="3"/>
    </row>
    <row r="313" spans="1:7" ht="13.2">
      <c r="C313" s="191"/>
      <c r="D313" s="1001" t="s">
        <v>172</v>
      </c>
      <c r="E313" s="1001"/>
      <c r="F313" s="1001"/>
    </row>
    <row r="314" spans="1:7" ht="14.4">
      <c r="A314" s="271"/>
      <c r="B314" s="271"/>
      <c r="D314" s="1012" t="s">
        <v>1631</v>
      </c>
      <c r="E314" s="1012"/>
      <c r="F314" s="1012"/>
    </row>
    <row r="315" spans="1:7" ht="12" customHeight="1"/>
    <row r="316" spans="1:7" ht="14.4" customHeight="1">
      <c r="A316" s="271"/>
      <c r="B316" s="616" t="s">
        <v>131</v>
      </c>
      <c r="D316" s="975" t="s">
        <v>1632</v>
      </c>
      <c r="E316" s="975"/>
      <c r="F316" s="975"/>
    </row>
    <row r="317" spans="1:7" ht="14.4">
      <c r="A317" s="271"/>
      <c r="B317" s="271"/>
      <c r="D317" s="975"/>
      <c r="E317" s="975"/>
      <c r="F317" s="975"/>
    </row>
    <row r="318" spans="1:7" ht="13.2"/>
    <row r="319" spans="1:7" ht="14.4" customHeight="1">
      <c r="A319" s="271"/>
      <c r="B319" s="616" t="s">
        <v>131</v>
      </c>
      <c r="D319" s="975" t="s">
        <v>1633</v>
      </c>
      <c r="E319" s="975"/>
      <c r="F319" s="975"/>
    </row>
    <row r="320" spans="1:7" ht="14.4">
      <c r="A320" s="271"/>
      <c r="B320" s="271"/>
      <c r="D320" s="975"/>
      <c r="E320" s="975"/>
      <c r="F320" s="975"/>
    </row>
    <row r="321" spans="1:7" ht="14.4">
      <c r="A321" s="271"/>
      <c r="B321" s="271"/>
      <c r="D321" s="975"/>
      <c r="E321" s="975"/>
      <c r="F321" s="975"/>
    </row>
    <row r="322" spans="1:7" ht="13.2">
      <c r="D322" s="44"/>
      <c r="E322"/>
      <c r="F322"/>
      <c r="G322"/>
    </row>
    <row r="323" spans="1:7" ht="14.4">
      <c r="A323" s="271"/>
      <c r="B323" s="616" t="s">
        <v>131</v>
      </c>
      <c r="D323" s="975" t="s">
        <v>1634</v>
      </c>
      <c r="E323" s="975"/>
      <c r="F323" s="975"/>
    </row>
    <row r="324" spans="1:7" ht="14.4">
      <c r="A324" s="271"/>
      <c r="B324" s="271"/>
      <c r="D324" s="975"/>
      <c r="E324" s="975"/>
      <c r="F324" s="975"/>
    </row>
    <row r="325" spans="1:7" ht="13.2">
      <c r="A325" s="18"/>
      <c r="B325" s="18"/>
      <c r="D325" s="44"/>
    </row>
    <row r="326" spans="1:7" ht="13.2">
      <c r="A326" s="1000" t="s">
        <v>1439</v>
      </c>
      <c r="B326" s="1000"/>
      <c r="C326" s="1000"/>
      <c r="D326" s="1000"/>
      <c r="E326" s="1000"/>
      <c r="F326" s="1000"/>
      <c r="G326" s="1000"/>
    </row>
    <row r="327" spans="1:7" ht="13.2">
      <c r="A327" s="18"/>
      <c r="B327" s="18"/>
      <c r="D327" s="44"/>
      <c r="G327"/>
    </row>
    <row r="328" spans="1:7" ht="13.2">
      <c r="C328" s="18"/>
      <c r="D328" s="1001" t="s">
        <v>173</v>
      </c>
      <c r="E328" s="1001"/>
      <c r="F328" s="1001"/>
      <c r="G328"/>
    </row>
    <row r="329" spans="1:7" ht="13.2">
      <c r="C329" s="18"/>
      <c r="D329" s="995" t="s">
        <v>1480</v>
      </c>
      <c r="E329" s="995"/>
      <c r="F329" s="995"/>
      <c r="G329"/>
    </row>
    <row r="330" spans="1:7" ht="13.2">
      <c r="C330" s="18"/>
      <c r="D330" s="182"/>
      <c r="G330"/>
    </row>
    <row r="331" spans="1:7" ht="13.2">
      <c r="B331" s="616" t="s">
        <v>131</v>
      </c>
      <c r="D331" s="995" t="s">
        <v>1635</v>
      </c>
      <c r="E331" s="995"/>
      <c r="F331" s="995"/>
      <c r="G331"/>
    </row>
    <row r="332" spans="1:7" ht="14.4">
      <c r="A332" s="271"/>
      <c r="B332" s="271"/>
      <c r="D332" s="424"/>
      <c r="G332"/>
    </row>
    <row r="333" spans="1:7" ht="14.4">
      <c r="A333" s="271"/>
      <c r="B333" s="616" t="s">
        <v>131</v>
      </c>
      <c r="D333" s="995" t="s">
        <v>1636</v>
      </c>
      <c r="E333" s="995"/>
      <c r="F333" s="995"/>
      <c r="G333"/>
    </row>
    <row r="334" spans="1:7" ht="13.2">
      <c r="G334"/>
    </row>
    <row r="335" spans="1:7" ht="14.4" customHeight="1">
      <c r="A335" s="271"/>
      <c r="B335" s="616" t="s">
        <v>131</v>
      </c>
      <c r="D335" s="975" t="s">
        <v>1642</v>
      </c>
      <c r="E335" s="975"/>
      <c r="F335" s="975"/>
      <c r="G335"/>
    </row>
    <row r="336" spans="1:7" ht="14.4">
      <c r="A336" s="271"/>
      <c r="B336" s="271"/>
      <c r="D336" s="975"/>
      <c r="E336" s="975"/>
      <c r="F336" s="975"/>
      <c r="G336"/>
    </row>
    <row r="337" spans="1:7" ht="14.4">
      <c r="A337" s="271"/>
      <c r="B337" s="271"/>
      <c r="D337" s="975"/>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row>
    <row r="344" spans="1:7" ht="14.4">
      <c r="A344" s="271"/>
      <c r="B344" s="271"/>
      <c r="D344" s="975"/>
      <c r="E344" s="975"/>
      <c r="F344" s="975"/>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3.2"/>
    <row r="351" spans="1:7" ht="14.4" customHeight="1">
      <c r="A351" s="271"/>
      <c r="B351" s="616" t="s">
        <v>131</v>
      </c>
      <c r="D351" s="975" t="s">
        <v>1637</v>
      </c>
      <c r="E351" s="975"/>
      <c r="F351" s="975"/>
    </row>
    <row r="352" spans="1:7" ht="13.2">
      <c r="D352" s="975"/>
      <c r="E352" s="975"/>
      <c r="F352" s="975"/>
    </row>
    <row r="353" spans="1:6" ht="13.2">
      <c r="D353" s="975"/>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E360" s="44"/>
      <c r="F360" s="44"/>
    </row>
    <row r="361" spans="1:6" ht="14.25" customHeight="1">
      <c r="A361" s="271"/>
      <c r="B361" s="616" t="s">
        <v>131</v>
      </c>
      <c r="D361" s="989" t="s">
        <v>2172</v>
      </c>
      <c r="E361" s="989"/>
      <c r="F361" s="989"/>
    </row>
    <row r="362" spans="1:6" ht="13.2">
      <c r="D362" s="989"/>
      <c r="E362" s="989"/>
      <c r="F362" s="989"/>
    </row>
    <row r="363" spans="1:6" ht="13.2">
      <c r="D363" s="989"/>
      <c r="E363" s="989"/>
      <c r="F363" s="989"/>
    </row>
    <row r="364" spans="1:6" ht="13.2">
      <c r="D364" s="989"/>
      <c r="E364" s="989"/>
      <c r="F364" s="989"/>
    </row>
    <row r="365" spans="1:6" ht="13.2">
      <c r="D365" s="989"/>
      <c r="E365" s="989"/>
      <c r="F365" s="989"/>
    </row>
    <row r="366" spans="1:6" ht="13.2">
      <c r="D366" s="209"/>
      <c r="E366" s="104" t="s">
        <v>2173</v>
      </c>
      <c r="F366" s="209"/>
    </row>
    <row r="367" spans="1:6" ht="13.8" thickBot="1">
      <c r="D367" s="784"/>
      <c r="E367" s="98"/>
      <c r="F367" s="98"/>
    </row>
    <row r="368" spans="1:6" ht="14.4" thickTop="1" thickBot="1">
      <c r="D368" s="1011" t="s">
        <v>1317</v>
      </c>
      <c r="E368" s="1011"/>
      <c r="F368" s="1011"/>
    </row>
    <row r="369" spans="1:6" ht="13.8" thickTop="1">
      <c r="D369" s="1013" t="s">
        <v>1638</v>
      </c>
      <c r="E369" s="1013"/>
      <c r="F369" s="1013"/>
    </row>
    <row r="370" spans="1:6" ht="13.2">
      <c r="D370" s="44"/>
    </row>
    <row r="371" spans="1:6" ht="14.4">
      <c r="A371" s="271"/>
      <c r="B371" s="616" t="s">
        <v>131</v>
      </c>
      <c r="C371" s="365"/>
      <c r="D371" s="1005" t="s">
        <v>2256</v>
      </c>
      <c r="E371" s="1005"/>
      <c r="F371" s="1005"/>
    </row>
    <row r="372" spans="1:6" ht="14.4">
      <c r="A372" s="271"/>
      <c r="B372" s="271"/>
      <c r="C372" s="365"/>
      <c r="D372" s="424"/>
    </row>
    <row r="373" spans="1:6" ht="14.4">
      <c r="A373" s="271"/>
      <c r="B373" s="616" t="s">
        <v>131</v>
      </c>
      <c r="C373" s="365"/>
      <c r="D373" s="970" t="s">
        <v>2257</v>
      </c>
      <c r="E373" s="993"/>
      <c r="F373" s="993"/>
    </row>
    <row r="374" spans="1:6" ht="14.4">
      <c r="A374" s="271"/>
      <c r="B374" s="271"/>
      <c r="C374" s="365"/>
      <c r="D374" s="993"/>
      <c r="E374" s="993"/>
      <c r="F374" s="993"/>
    </row>
    <row r="375" spans="1:6" ht="14.4">
      <c r="A375" s="271"/>
      <c r="B375" s="271"/>
      <c r="C375" s="365"/>
      <c r="D375" s="993"/>
      <c r="E375" s="993"/>
      <c r="F375" s="993"/>
    </row>
    <row r="376" spans="1:6" ht="14.4">
      <c r="A376" s="271"/>
      <c r="B376" s="271"/>
      <c r="C376" s="365"/>
      <c r="D376" s="993"/>
      <c r="E376" s="993"/>
      <c r="F376" s="993"/>
    </row>
    <row r="377" spans="1:6" ht="14.4">
      <c r="A377" s="271"/>
      <c r="B377" s="271"/>
      <c r="C377" s="365"/>
      <c r="D377" s="993"/>
      <c r="E377" s="993"/>
      <c r="F377" s="993"/>
    </row>
    <row r="378" spans="1:6" ht="14.4">
      <c r="A378" s="271"/>
      <c r="B378" s="271"/>
      <c r="C378" s="365"/>
      <c r="D378" s="993"/>
      <c r="E378" s="993"/>
      <c r="F378" s="993"/>
    </row>
    <row r="379" spans="1:6" ht="14.4">
      <c r="A379" s="271"/>
      <c r="B379" s="271"/>
      <c r="C379" s="365"/>
      <c r="D379" s="993"/>
      <c r="E379" s="993"/>
      <c r="F379" s="993"/>
    </row>
    <row r="380" spans="1:6" ht="14.4">
      <c r="A380" s="271"/>
      <c r="B380" s="271"/>
      <c r="C380" s="365"/>
      <c r="D380" s="993"/>
      <c r="E380" s="993"/>
      <c r="F380" s="993"/>
    </row>
    <row r="381" spans="1:6" ht="14.4">
      <c r="A381" s="271"/>
      <c r="B381" s="271"/>
      <c r="C381" s="365"/>
      <c r="D381" s="993"/>
      <c r="E381" s="993"/>
      <c r="F381" s="993"/>
    </row>
    <row r="382" spans="1:6" ht="14.4">
      <c r="A382" s="271"/>
      <c r="B382" s="271"/>
      <c r="C382" s="365"/>
      <c r="D382" s="993"/>
      <c r="E382" s="993"/>
      <c r="F382" s="993"/>
    </row>
    <row r="383" spans="1:6" ht="14.4">
      <c r="A383" s="271"/>
      <c r="B383" s="271"/>
      <c r="C383" s="365"/>
      <c r="D383" s="634"/>
      <c r="E383" s="634"/>
      <c r="F383" s="634"/>
    </row>
    <row r="384" spans="1:6" ht="14.4">
      <c r="A384" s="271"/>
      <c r="B384" s="616" t="s">
        <v>131</v>
      </c>
      <c r="C384" s="365"/>
      <c r="D384" s="993" t="s">
        <v>1639</v>
      </c>
      <c r="E384" s="993"/>
      <c r="F384" s="993"/>
    </row>
    <row r="385" spans="1:6" ht="13.2">
      <c r="A385" s="365"/>
      <c r="B385" s="365"/>
      <c r="C385" s="365"/>
      <c r="D385" s="993"/>
      <c r="E385" s="993"/>
      <c r="F385" s="993"/>
    </row>
    <row r="386" spans="1:6" ht="13.2">
      <c r="A386" s="365"/>
      <c r="B386" s="365"/>
      <c r="C386" s="365"/>
      <c r="D386" s="993"/>
      <c r="E386" s="993"/>
      <c r="F386" s="993"/>
    </row>
    <row r="387" spans="1:6" ht="13.2">
      <c r="A387" s="365"/>
      <c r="B387" s="365"/>
      <c r="C387" s="365"/>
      <c r="D387" s="993"/>
      <c r="E387" s="993"/>
      <c r="F387" s="993"/>
    </row>
    <row r="388" spans="1:6" ht="13.2">
      <c r="A388" s="365"/>
      <c r="B388" s="365"/>
      <c r="C388" s="365"/>
      <c r="D388" s="634"/>
      <c r="E388" s="634"/>
      <c r="F388" s="634"/>
    </row>
    <row r="389" spans="1:6" ht="13.2">
      <c r="A389" s="365"/>
      <c r="B389" s="365"/>
      <c r="C389" s="365"/>
      <c r="D389" s="993" t="s">
        <v>1640</v>
      </c>
      <c r="E389" s="993"/>
      <c r="F389" s="993"/>
    </row>
    <row r="390" spans="1:6" ht="13.2">
      <c r="A390" s="365"/>
      <c r="B390" s="365"/>
      <c r="C390" s="365"/>
      <c r="D390" s="993"/>
      <c r="E390" s="993"/>
      <c r="F390" s="993"/>
    </row>
    <row r="391" spans="1:6" ht="13.2">
      <c r="A391" s="365"/>
      <c r="B391" s="365"/>
      <c r="C391" s="365"/>
      <c r="D391" s="993"/>
      <c r="E391" s="993"/>
      <c r="F391" s="993"/>
    </row>
    <row r="392" spans="1:6" ht="13.2">
      <c r="A392" s="365"/>
      <c r="B392" s="365"/>
      <c r="C392" s="365"/>
      <c r="D392" s="993"/>
      <c r="E392" s="993"/>
      <c r="F392" s="993"/>
    </row>
    <row r="393" spans="1:6" ht="13.2">
      <c r="A393" s="365"/>
      <c r="B393" s="365"/>
      <c r="C393" s="365"/>
      <c r="D393" s="993"/>
      <c r="E393" s="993"/>
      <c r="F393" s="993"/>
    </row>
    <row r="394" spans="1:6" ht="13.2">
      <c r="A394" s="365"/>
      <c r="B394" s="365"/>
      <c r="C394" s="365"/>
      <c r="D394" s="993"/>
      <c r="E394" s="993"/>
      <c r="F394" s="993"/>
    </row>
    <row r="395" spans="1:6" ht="13.2">
      <c r="A395" s="365"/>
      <c r="B395" s="365"/>
      <c r="C395" s="365"/>
      <c r="D395" s="993"/>
      <c r="E395" s="993"/>
      <c r="F395" s="993"/>
    </row>
    <row r="396" spans="1:6" ht="13.2">
      <c r="A396" s="365"/>
      <c r="B396" s="365"/>
      <c r="C396" s="365"/>
      <c r="D396" s="993"/>
      <c r="E396" s="993"/>
      <c r="F396" s="993"/>
    </row>
    <row r="397" spans="1:6" ht="13.2">
      <c r="A397" s="365"/>
      <c r="B397" s="365"/>
      <c r="C397" s="365"/>
      <c r="D397" s="993"/>
      <c r="E397" s="993"/>
      <c r="F397" s="993"/>
    </row>
    <row r="398" spans="1:6" ht="13.65" customHeight="1">
      <c r="A398" s="365"/>
      <c r="B398" s="365"/>
      <c r="C398" s="365"/>
      <c r="D398" s="993" t="s">
        <v>1643</v>
      </c>
      <c r="E398" s="993"/>
      <c r="F398" s="993"/>
    </row>
    <row r="399" spans="1:6" ht="13.65" customHeight="1">
      <c r="A399" s="365"/>
      <c r="B399" s="365"/>
      <c r="C399" s="365"/>
      <c r="D399" s="993"/>
      <c r="E399" s="993"/>
      <c r="F399" s="993"/>
    </row>
    <row r="400" spans="1:6" ht="13.65" customHeight="1">
      <c r="A400" s="365"/>
      <c r="B400" s="365"/>
      <c r="C400" s="365"/>
      <c r="D400" s="993"/>
      <c r="E400" s="993"/>
      <c r="F400" s="993"/>
    </row>
    <row r="401" spans="1:6" ht="13.65" customHeight="1">
      <c r="A401" s="365"/>
      <c r="B401" s="365"/>
      <c r="C401" s="365"/>
      <c r="D401" s="993"/>
      <c r="E401" s="993"/>
      <c r="F401" s="993"/>
    </row>
    <row r="402" spans="1:6" ht="13.65" customHeight="1">
      <c r="A402" s="365"/>
      <c r="B402" s="365"/>
      <c r="C402" s="365"/>
      <c r="D402" s="993"/>
      <c r="E402" s="993"/>
      <c r="F402" s="993"/>
    </row>
    <row r="403" spans="1:6" ht="13.65" customHeight="1">
      <c r="A403" s="365"/>
      <c r="B403" s="365"/>
      <c r="C403" s="365"/>
      <c r="D403" s="993"/>
      <c r="E403" s="993"/>
      <c r="F403" s="993"/>
    </row>
    <row r="404" spans="1:6" ht="13.65" customHeight="1">
      <c r="A404" s="365"/>
      <c r="B404" s="365"/>
      <c r="C404" s="365"/>
      <c r="D404" s="993"/>
      <c r="E404" s="993"/>
      <c r="F404" s="993"/>
    </row>
    <row r="405" spans="1:6" ht="13.65" customHeight="1">
      <c r="A405" s="365"/>
      <c r="B405" s="365"/>
      <c r="C405" s="365"/>
      <c r="D405" s="993"/>
      <c r="E405" s="993"/>
      <c r="F405" s="993"/>
    </row>
    <row r="406" spans="1:6" ht="13.65" customHeight="1">
      <c r="A406" s="365"/>
      <c r="B406" s="365"/>
      <c r="C406" s="365"/>
      <c r="D406" s="993"/>
      <c r="E406" s="993"/>
      <c r="F406" s="993"/>
    </row>
    <row r="407" spans="1:6" ht="13.65" customHeight="1">
      <c r="A407" s="365"/>
      <c r="B407" s="365"/>
      <c r="C407" s="365"/>
      <c r="D407" s="993"/>
      <c r="E407" s="993"/>
      <c r="F407" s="993"/>
    </row>
    <row r="408" spans="1:6" ht="13.65" customHeight="1">
      <c r="A408" s="365"/>
      <c r="B408" s="365"/>
      <c r="C408" s="365"/>
      <c r="D408" s="993"/>
      <c r="E408" s="993"/>
      <c r="F408" s="993"/>
    </row>
    <row r="409" spans="1:6" ht="13.65" customHeight="1">
      <c r="A409" s="365"/>
      <c r="B409" s="365"/>
      <c r="C409" s="365"/>
      <c r="D409" s="993"/>
      <c r="E409" s="993"/>
      <c r="F409" s="993"/>
    </row>
    <row r="410" spans="1:6" ht="13.65" customHeight="1">
      <c r="A410" s="365"/>
      <c r="B410" s="365"/>
      <c r="C410" s="365"/>
      <c r="D410" s="993"/>
      <c r="E410" s="993"/>
      <c r="F410" s="993"/>
    </row>
    <row r="411" spans="1:6" ht="13.65" customHeight="1">
      <c r="A411" s="365"/>
      <c r="B411" s="365"/>
      <c r="C411" s="365"/>
      <c r="D411" s="993"/>
      <c r="E411" s="993"/>
      <c r="F411" s="993"/>
    </row>
    <row r="412" spans="1:6" ht="13.65" customHeight="1">
      <c r="A412" s="365"/>
      <c r="B412" s="365"/>
      <c r="C412" s="365"/>
      <c r="D412" s="993"/>
      <c r="E412" s="993"/>
      <c r="F412" s="993"/>
    </row>
    <row r="413" spans="1:6" ht="13.65" customHeight="1">
      <c r="A413" s="365"/>
      <c r="B413" s="365"/>
      <c r="C413" s="365"/>
      <c r="D413" s="993"/>
      <c r="E413" s="993"/>
      <c r="F413" s="993"/>
    </row>
    <row r="414" spans="1:6" ht="13.65" customHeight="1">
      <c r="A414" s="365"/>
      <c r="B414" s="365"/>
      <c r="C414" s="365"/>
      <c r="D414" s="993"/>
      <c r="E414" s="993"/>
      <c r="F414" s="993"/>
    </row>
    <row r="415" spans="1:6" ht="13.65" customHeight="1">
      <c r="A415" s="365"/>
      <c r="B415" s="365"/>
      <c r="C415" s="365"/>
      <c r="D415" s="993"/>
      <c r="E415" s="993"/>
      <c r="F415" s="993"/>
    </row>
    <row r="416" spans="1:6" ht="13.2">
      <c r="A416" s="365"/>
      <c r="B416" s="365"/>
      <c r="C416" s="365"/>
      <c r="D416" s="424"/>
    </row>
    <row r="417" spans="1:6" ht="13.65" customHeight="1">
      <c r="A417" s="365"/>
      <c r="B417" s="616" t="s">
        <v>131</v>
      </c>
      <c r="C417" s="365"/>
      <c r="D417" s="993" t="s">
        <v>1641</v>
      </c>
      <c r="E417" s="993"/>
      <c r="F417" s="993"/>
    </row>
    <row r="418" spans="1:6" ht="13.2">
      <c r="A418" s="365"/>
      <c r="B418" s="365"/>
      <c r="C418" s="365"/>
      <c r="D418" s="993"/>
      <c r="E418" s="993"/>
      <c r="F418" s="993"/>
    </row>
    <row r="419" spans="1:6" ht="13.2">
      <c r="A419" s="365"/>
      <c r="B419" s="365"/>
      <c r="C419" s="365"/>
      <c r="D419" s="634"/>
      <c r="E419" s="634"/>
      <c r="F419" s="634"/>
    </row>
    <row r="420" spans="1:6" ht="13.2">
      <c r="A420" s="365"/>
      <c r="B420" s="616" t="s">
        <v>131</v>
      </c>
      <c r="C420" s="365"/>
      <c r="D420" s="996" t="s">
        <v>1964</v>
      </c>
      <c r="E420" s="996"/>
      <c r="F420" s="996"/>
    </row>
    <row r="421" spans="1:6" ht="13.2">
      <c r="A421" s="365"/>
      <c r="B421" s="365"/>
      <c r="C421" s="365"/>
      <c r="D421" s="996"/>
      <c r="E421" s="996"/>
      <c r="F421" s="996"/>
    </row>
    <row r="422" spans="1:6" ht="13.2">
      <c r="A422" s="365"/>
      <c r="B422" s="365"/>
      <c r="C422" s="365"/>
      <c r="D422" s="996"/>
      <c r="E422" s="996"/>
      <c r="F422" s="996"/>
    </row>
    <row r="423" spans="1:6" ht="13.2">
      <c r="A423" s="365"/>
      <c r="B423" s="365"/>
      <c r="C423" s="365"/>
      <c r="D423" s="996"/>
      <c r="E423" s="996"/>
      <c r="F423" s="996"/>
    </row>
    <row r="424" spans="1:6" ht="13.2">
      <c r="A424" s="365"/>
      <c r="B424" s="365"/>
      <c r="C424" s="365"/>
      <c r="D424" s="996"/>
      <c r="E424" s="996"/>
      <c r="F424" s="996"/>
    </row>
    <row r="425" spans="1:6" ht="13.2">
      <c r="A425" s="365"/>
      <c r="B425" s="365"/>
      <c r="C425" s="365"/>
      <c r="D425" s="996"/>
      <c r="E425" s="996"/>
      <c r="F425" s="996"/>
    </row>
    <row r="426" spans="1:6" ht="14.4" customHeight="1">
      <c r="A426" s="271"/>
      <c r="B426" s="616" t="s">
        <v>131</v>
      </c>
      <c r="C426" s="365"/>
      <c r="D426" s="996" t="s">
        <v>1945</v>
      </c>
      <c r="E426" s="996"/>
      <c r="F426" s="996"/>
    </row>
    <row r="427" spans="1:6" ht="14.4">
      <c r="A427" s="507"/>
      <c r="B427" s="507"/>
      <c r="C427" s="365"/>
      <c r="D427" s="996"/>
      <c r="E427" s="996"/>
      <c r="F427" s="996"/>
    </row>
    <row r="428" spans="1:6" ht="14.4">
      <c r="A428" s="507"/>
      <c r="B428" s="507"/>
      <c r="C428" s="365"/>
      <c r="D428" s="996"/>
      <c r="E428" s="996"/>
      <c r="F428" s="996"/>
    </row>
    <row r="429" spans="1:6" ht="14.4">
      <c r="A429" s="507"/>
      <c r="B429" s="507"/>
      <c r="C429" s="365"/>
      <c r="D429" s="996"/>
      <c r="E429" s="996"/>
      <c r="F429" s="996"/>
    </row>
    <row r="430" spans="1:6" ht="14.25" customHeight="1">
      <c r="A430" s="507"/>
      <c r="B430" s="507"/>
      <c r="C430" s="365"/>
      <c r="D430" s="997" t="s">
        <v>1960</v>
      </c>
      <c r="E430" s="997"/>
      <c r="F430" s="997"/>
    </row>
    <row r="431" spans="1:6" ht="13.2">
      <c r="D431" s="44"/>
    </row>
    <row r="432" spans="1:6" ht="14.4" customHeight="1">
      <c r="A432" s="271"/>
      <c r="B432" s="616" t="s">
        <v>131</v>
      </c>
      <c r="C432" s="207"/>
      <c r="D432" s="975" t="s">
        <v>2258</v>
      </c>
      <c r="E432" s="975"/>
      <c r="F432" s="975"/>
    </row>
    <row r="433" spans="1:6" ht="14.4">
      <c r="A433" s="271"/>
      <c r="B433" s="271"/>
      <c r="D433" s="975"/>
      <c r="E433" s="975"/>
      <c r="F433" s="975"/>
    </row>
    <row r="434" spans="1:6" ht="14.4">
      <c r="A434" s="271"/>
      <c r="B434" s="271"/>
      <c r="D434" s="975"/>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3.2" hidden="1">
      <c r="D462" s="975"/>
      <c r="E462" s="975"/>
      <c r="F462" s="975"/>
    </row>
    <row r="463" spans="1:6" ht="13.2" hidden="1">
      <c r="D463" s="44"/>
    </row>
    <row r="464" spans="1:6" ht="14.4">
      <c r="A464" s="271"/>
      <c r="B464" s="616" t="s">
        <v>131</v>
      </c>
      <c r="C464" s="207"/>
      <c r="D464" s="994" t="s">
        <v>2175</v>
      </c>
      <c r="E464" s="995"/>
      <c r="F464" s="995"/>
    </row>
    <row r="465" spans="1:6" ht="13.2">
      <c r="D465"/>
      <c r="E465" s="935" t="s">
        <v>2174</v>
      </c>
      <c r="F465" s="935"/>
    </row>
    <row r="466" spans="1:6" ht="13.65" customHeight="1">
      <c r="D466" s="969" t="s">
        <v>1942</v>
      </c>
      <c r="E466" s="975"/>
      <c r="F466" s="975"/>
    </row>
    <row r="467" spans="1:6" ht="13.65" customHeight="1">
      <c r="D467" s="975"/>
      <c r="E467" s="975"/>
      <c r="F467" s="975"/>
    </row>
    <row r="468" spans="1:6" ht="13.2">
      <c r="D468" s="44"/>
    </row>
    <row r="469" spans="1:6" ht="14.4" customHeight="1">
      <c r="A469" s="271"/>
      <c r="B469" s="616" t="s">
        <v>131</v>
      </c>
      <c r="C469" s="207"/>
      <c r="D469" s="975" t="s">
        <v>1644</v>
      </c>
      <c r="E469" s="975"/>
      <c r="F469" s="975"/>
    </row>
    <row r="470" spans="1:6" ht="13.2">
      <c r="D470" s="975"/>
      <c r="E470" s="975"/>
      <c r="F470" s="975"/>
    </row>
    <row r="471" spans="1:6" ht="13.2">
      <c r="D471" s="975"/>
      <c r="E471" s="975"/>
      <c r="F471" s="975"/>
    </row>
    <row r="472" spans="1:6" ht="13.2">
      <c r="D472" s="24"/>
      <c r="E472" s="24"/>
      <c r="F472" s="24"/>
    </row>
    <row r="473" spans="1:6" ht="14.4">
      <c r="B473" s="616" t="s">
        <v>131</v>
      </c>
      <c r="C473" s="271"/>
      <c r="D473" s="969" t="s">
        <v>1789</v>
      </c>
      <c r="E473" s="975"/>
      <c r="F473" s="975"/>
    </row>
    <row r="474" spans="1:6" ht="13.2">
      <c r="D474" s="975"/>
      <c r="E474" s="975"/>
      <c r="F474" s="975"/>
    </row>
    <row r="475" spans="1:6" ht="13.2">
      <c r="D475" s="44"/>
      <c r="E475" s="44"/>
    </row>
    <row r="476" spans="1:6" ht="14.4">
      <c r="B476" s="616" t="s">
        <v>131</v>
      </c>
      <c r="C476" s="271"/>
      <c r="D476" s="975" t="s">
        <v>1645</v>
      </c>
      <c r="E476" s="975"/>
      <c r="F476" s="975"/>
    </row>
    <row r="477" spans="1:6" ht="13.2">
      <c r="D477" s="975"/>
      <c r="E477" s="975"/>
      <c r="F477" s="975"/>
    </row>
    <row r="478" spans="1:6" ht="13.2">
      <c r="D478" s="975"/>
      <c r="E478" s="975"/>
      <c r="F478" s="975"/>
    </row>
    <row r="479" spans="1:6" ht="13.2">
      <c r="D479" s="975"/>
      <c r="E479" s="975"/>
      <c r="F479" s="975"/>
    </row>
    <row r="480" spans="1:6" ht="13.2">
      <c r="B480" s="616" t="s">
        <v>131</v>
      </c>
      <c r="D480" s="975"/>
      <c r="E480" s="975"/>
      <c r="F480" s="975"/>
    </row>
    <row r="481" spans="2:6" ht="13.2">
      <c r="D481" s="975"/>
      <c r="E481" s="975"/>
      <c r="F481" s="975"/>
    </row>
    <row r="482" spans="2:6" ht="13.2">
      <c r="D482" s="975"/>
      <c r="E482" s="975"/>
      <c r="F482" s="975"/>
    </row>
    <row r="483" spans="2:6" ht="13.2">
      <c r="B483" s="616" t="s">
        <v>131</v>
      </c>
      <c r="D483" s="975"/>
      <c r="E483" s="975"/>
      <c r="F483" s="975"/>
    </row>
    <row r="484" spans="2:6" ht="13.2">
      <c r="D484" s="975"/>
      <c r="E484" s="975"/>
      <c r="F484" s="975"/>
    </row>
    <row r="485" spans="2:6" ht="13.2">
      <c r="D485" s="975"/>
      <c r="E485" s="975"/>
      <c r="F485" s="975"/>
    </row>
    <row r="486" spans="2:6" ht="13.2">
      <c r="D486" s="975"/>
      <c r="E486" s="975"/>
      <c r="F486" s="975"/>
    </row>
    <row r="487" spans="2:6" ht="13.2">
      <c r="B487" s="616" t="s">
        <v>131</v>
      </c>
      <c r="D487" s="975"/>
      <c r="E487" s="975"/>
      <c r="F487" s="975"/>
    </row>
    <row r="488" spans="2:6" ht="13.2">
      <c r="D488" s="975"/>
      <c r="E488" s="975"/>
      <c r="F488" s="975"/>
    </row>
    <row r="489" spans="2:6" ht="13.2">
      <c r="B489" s="616" t="s">
        <v>131</v>
      </c>
      <c r="D489" s="975"/>
      <c r="E489" s="975"/>
      <c r="F489" s="975"/>
    </row>
    <row r="490" spans="2:6" ht="13.2">
      <c r="D490" s="975"/>
      <c r="E490" s="975"/>
      <c r="F490" s="975"/>
    </row>
    <row r="491" spans="2:6" ht="13.65" customHeight="1">
      <c r="B491" s="616" t="s">
        <v>131</v>
      </c>
      <c r="D491" s="975" t="s">
        <v>1646</v>
      </c>
      <c r="E491" s="975"/>
      <c r="F491" s="975"/>
    </row>
    <row r="492" spans="2:6" ht="13.2">
      <c r="D492" s="975"/>
      <c r="E492" s="975"/>
      <c r="F492" s="975"/>
    </row>
    <row r="493" spans="2:6" ht="13.2">
      <c r="D493" s="975"/>
      <c r="E493" s="975"/>
      <c r="F493" s="975"/>
    </row>
    <row r="494" spans="2:6" ht="13.2">
      <c r="D494" s="975"/>
      <c r="E494" s="975"/>
      <c r="F494" s="975"/>
    </row>
    <row r="495" spans="2:6" ht="13.2">
      <c r="D495" s="975"/>
      <c r="E495" s="975"/>
      <c r="F495" s="975"/>
    </row>
    <row r="496" spans="2:6" ht="13.2">
      <c r="D496" s="44"/>
    </row>
    <row r="497" spans="1:7" ht="13.2">
      <c r="B497" s="616" t="s">
        <v>131</v>
      </c>
      <c r="D497" s="995" t="s">
        <v>1481</v>
      </c>
      <c r="E497" s="995"/>
      <c r="F497" s="995"/>
    </row>
    <row r="498" spans="1:7" ht="13.2">
      <c r="A498" s="44"/>
      <c r="B498" s="44"/>
    </row>
    <row r="499" spans="1:7" ht="13.2">
      <c r="A499" s="1000" t="s">
        <v>1440</v>
      </c>
      <c r="B499" s="1000"/>
      <c r="C499" s="1000"/>
      <c r="D499" s="1000"/>
      <c r="E499" s="1000"/>
      <c r="F499" s="1000"/>
      <c r="G499" s="1000"/>
    </row>
    <row r="500" spans="1:7" ht="13.2">
      <c r="A500" s="44"/>
      <c r="B500" s="44"/>
    </row>
    <row r="501" spans="1:7" ht="13.2">
      <c r="D501" s="1004" t="s">
        <v>1163</v>
      </c>
      <c r="E501" s="1004"/>
      <c r="F501" s="1004"/>
    </row>
    <row r="502" spans="1:7" ht="13.2">
      <c r="D502" s="1005" t="s">
        <v>1474</v>
      </c>
      <c r="E502" s="1005"/>
      <c r="F502" s="1005"/>
    </row>
    <row r="503" spans="1:7" ht="14.4">
      <c r="A503" s="271"/>
      <c r="B503" s="271"/>
      <c r="D503" s="424"/>
    </row>
    <row r="504" spans="1:7" ht="14.4">
      <c r="A504" s="271"/>
      <c r="B504" s="616" t="s">
        <v>131</v>
      </c>
      <c r="D504" s="993" t="s">
        <v>1647</v>
      </c>
      <c r="E504" s="993"/>
      <c r="F504" s="993"/>
    </row>
    <row r="505" spans="1:7" ht="14.4">
      <c r="A505" s="271"/>
      <c r="B505" s="271"/>
      <c r="D505" s="993"/>
      <c r="E505" s="993"/>
      <c r="F505" s="993"/>
    </row>
    <row r="506" spans="1:7" ht="14.4">
      <c r="A506" s="271"/>
      <c r="B506" s="271"/>
      <c r="D506" s="44"/>
    </row>
    <row r="507" spans="1:7" ht="14.4">
      <c r="A507" s="271"/>
      <c r="B507" s="616" t="s">
        <v>131</v>
      </c>
      <c r="D507" s="1006" t="s">
        <v>1961</v>
      </c>
      <c r="E507" s="1003"/>
      <c r="F507" s="1003"/>
    </row>
    <row r="508" spans="1:7" ht="14.4">
      <c r="A508" s="271"/>
      <c r="B508" s="271"/>
      <c r="D508" s="1003"/>
      <c r="E508" s="1003"/>
      <c r="F508" s="1003"/>
    </row>
    <row r="509" spans="1:7" ht="14.4">
      <c r="A509" s="271"/>
      <c r="B509" s="271"/>
      <c r="D509" s="1003"/>
      <c r="E509" s="1003"/>
      <c r="F509" s="1003"/>
      <c r="G509"/>
    </row>
    <row r="510" spans="1:7" ht="14.4">
      <c r="A510" s="271"/>
      <c r="B510" s="271"/>
      <c r="D510" s="1003"/>
      <c r="E510" s="1003"/>
      <c r="F510" s="1003"/>
      <c r="G510"/>
    </row>
    <row r="511" spans="1:7" ht="13.2">
      <c r="G511"/>
    </row>
    <row r="512" spans="1:7" ht="14.4">
      <c r="A512" s="271"/>
      <c r="B512" s="616" t="s">
        <v>131</v>
      </c>
      <c r="D512" s="995" t="s">
        <v>1649</v>
      </c>
      <c r="E512" s="995"/>
      <c r="F512" s="995"/>
      <c r="G512"/>
    </row>
    <row r="513" spans="1:7" ht="13.2">
      <c r="D513" s="44"/>
      <c r="G513"/>
    </row>
    <row r="514" spans="1:7" ht="14.4">
      <c r="A514" s="271"/>
      <c r="B514" s="616" t="s">
        <v>131</v>
      </c>
      <c r="D514" s="975" t="s">
        <v>1650</v>
      </c>
      <c r="E514" s="975"/>
      <c r="F514" s="975"/>
      <c r="G514"/>
    </row>
    <row r="515" spans="1:7" ht="13.2">
      <c r="D515" s="975"/>
      <c r="E515" s="975"/>
      <c r="F515" s="975"/>
      <c r="G515"/>
    </row>
    <row r="516" spans="1:7" ht="13.2">
      <c r="D516" s="424"/>
      <c r="G516"/>
    </row>
    <row r="517" spans="1:7" ht="14.4">
      <c r="A517" s="271"/>
      <c r="B517" s="616" t="s">
        <v>131</v>
      </c>
      <c r="D517" s="995" t="s">
        <v>1648</v>
      </c>
      <c r="E517" s="995"/>
      <c r="F517" s="995"/>
    </row>
    <row r="518" spans="1:7" ht="14.4">
      <c r="A518" s="271"/>
      <c r="B518" s="271"/>
      <c r="D518" s="44"/>
    </row>
    <row r="519" spans="1:7" ht="13.2">
      <c r="A519" s="1000" t="s">
        <v>1441</v>
      </c>
      <c r="B519" s="1000"/>
      <c r="C519" s="1000"/>
      <c r="D519" s="1000"/>
      <c r="E519" s="1000"/>
      <c r="F519" s="1000"/>
      <c r="G519" s="1000"/>
    </row>
    <row r="520" spans="1:7" ht="12" customHeight="1">
      <c r="A520" s="271"/>
      <c r="B520" s="271"/>
      <c r="D520" s="44"/>
    </row>
    <row r="521" spans="1:7" ht="13.2">
      <c r="B521" s="616" t="s">
        <v>1438</v>
      </c>
      <c r="C521" s="190"/>
      <c r="D521" s="1024" t="s">
        <v>1591</v>
      </c>
      <c r="E521" s="1024"/>
      <c r="F521" s="1024"/>
    </row>
    <row r="522" spans="1:7" ht="13.2">
      <c r="C522" s="190"/>
      <c r="D522" s="1024"/>
      <c r="E522" s="1024"/>
      <c r="F522" s="1024"/>
    </row>
    <row r="523" spans="1:7" ht="13.2">
      <c r="A523" s="191"/>
      <c r="B523" s="191"/>
      <c r="C523" s="191"/>
      <c r="D523" s="1024"/>
      <c r="E523" s="1024"/>
      <c r="F523" s="1024"/>
    </row>
    <row r="524" spans="1:7" ht="13.2">
      <c r="A524" s="191"/>
      <c r="B524" s="191"/>
      <c r="C524" s="191"/>
      <c r="D524" s="1024"/>
      <c r="E524" s="1024"/>
      <c r="F524" s="1024"/>
    </row>
    <row r="525" spans="1:7" ht="13.2">
      <c r="A525" s="191"/>
      <c r="B525" s="191"/>
      <c r="C525" s="191"/>
    </row>
    <row r="526" spans="1:7" ht="14.4">
      <c r="A526" s="271"/>
      <c r="B526" s="616" t="s">
        <v>131</v>
      </c>
      <c r="C526" s="207"/>
      <c r="D526" s="975" t="s">
        <v>2259</v>
      </c>
      <c r="E526" s="975"/>
      <c r="F526" s="975"/>
      <c r="G526"/>
    </row>
    <row r="527" spans="1:7" ht="13.2">
      <c r="A527" s="207"/>
      <c r="B527" s="207"/>
      <c r="C527" s="207"/>
      <c r="D527" s="975"/>
      <c r="E527" s="975"/>
      <c r="F527" s="975"/>
      <c r="G527"/>
    </row>
    <row r="528" spans="1:7" ht="13.2">
      <c r="A528" s="191"/>
      <c r="B528" s="191"/>
      <c r="C528" s="191"/>
      <c r="D528" s="44"/>
      <c r="G528"/>
    </row>
    <row r="529" spans="1:7" ht="13.2">
      <c r="A529" s="191"/>
      <c r="B529" s="616" t="s">
        <v>131</v>
      </c>
      <c r="C529" s="191"/>
      <c r="D529" s="936" t="s">
        <v>2176</v>
      </c>
      <c r="E529" s="937"/>
      <c r="G529"/>
    </row>
    <row r="530" spans="1:7" ht="13.2">
      <c r="A530" s="191"/>
      <c r="B530" s="191"/>
      <c r="C530" s="191"/>
      <c r="D530" s="937"/>
      <c r="E530" s="104" t="s">
        <v>2177</v>
      </c>
      <c r="G530"/>
    </row>
    <row r="531" spans="1:7" ht="14.4">
      <c r="A531" s="271"/>
      <c r="B531"/>
      <c r="D531" s="993" t="s">
        <v>2260</v>
      </c>
      <c r="E531" s="993"/>
      <c r="F531" s="993"/>
      <c r="G531"/>
    </row>
    <row r="532" spans="1:7" ht="14.4">
      <c r="A532" s="271"/>
      <c r="B532" s="271"/>
      <c r="D532" s="993"/>
      <c r="E532" s="993"/>
      <c r="F532" s="993"/>
      <c r="G532"/>
    </row>
    <row r="533" spans="1:7" ht="13.2">
      <c r="D533" s="993"/>
      <c r="E533" s="993"/>
      <c r="F533" s="993"/>
    </row>
    <row r="534" spans="1:7" ht="12" customHeight="1">
      <c r="A534" s="44"/>
      <c r="B534" s="44"/>
      <c r="C534" s="207"/>
      <c r="E534" s="44"/>
    </row>
    <row r="535" spans="1:7" ht="13.2">
      <c r="A535" s="1000" t="s">
        <v>1453</v>
      </c>
      <c r="B535" s="1000"/>
      <c r="C535" s="1000"/>
      <c r="D535" s="1000"/>
      <c r="E535" s="1000"/>
      <c r="F535" s="1000"/>
      <c r="G535" s="1000"/>
    </row>
    <row r="536" spans="1:7" ht="12" customHeight="1">
      <c r="A536" s="44"/>
      <c r="B536" s="44"/>
      <c r="C536" s="207"/>
      <c r="E536" s="44"/>
    </row>
    <row r="537" spans="1:7" ht="13.2">
      <c r="C537" s="207"/>
      <c r="D537" s="1001" t="s">
        <v>1482</v>
      </c>
      <c r="E537" s="1001"/>
      <c r="F537" s="1001"/>
    </row>
    <row r="538" spans="1:7" ht="13.2"/>
    <row r="539" spans="1:7" ht="13.2">
      <c r="B539" s="616" t="s">
        <v>131</v>
      </c>
      <c r="D539" s="975" t="s">
        <v>1619</v>
      </c>
      <c r="E539" s="975"/>
      <c r="F539" s="975"/>
    </row>
    <row r="540" spans="1:7" ht="13.2">
      <c r="D540" s="975"/>
      <c r="E540" s="975"/>
      <c r="F540" s="975"/>
    </row>
    <row r="541" spans="1:7" ht="12" customHeight="1">
      <c r="A541" s="207"/>
      <c r="B541" s="207"/>
      <c r="C541" s="207"/>
      <c r="D541" s="44"/>
    </row>
    <row r="542" spans="1:7" ht="14.4">
      <c r="A542" s="271"/>
      <c r="B542" s="616" t="s">
        <v>131</v>
      </c>
      <c r="C542" s="207"/>
      <c r="D542" s="975" t="s">
        <v>1620</v>
      </c>
      <c r="E542" s="975"/>
      <c r="F542" s="975"/>
    </row>
    <row r="543" spans="1:7" ht="13.2">
      <c r="A543" s="207"/>
      <c r="B543" s="207"/>
      <c r="C543" s="207"/>
      <c r="D543" s="975"/>
      <c r="E543" s="975"/>
      <c r="F543" s="975"/>
    </row>
    <row r="544" spans="1:7" ht="12" customHeight="1">
      <c r="A544" s="207"/>
      <c r="B544" s="207"/>
      <c r="C544" s="207"/>
      <c r="D544" s="44"/>
    </row>
    <row r="545" spans="1:7" ht="13.2">
      <c r="A545" s="1020" t="s">
        <v>1491</v>
      </c>
      <c r="B545" s="1020"/>
      <c r="C545" s="1020"/>
      <c r="D545" s="1020"/>
      <c r="E545" s="1020"/>
      <c r="F545" s="1020"/>
      <c r="G545" s="1020"/>
    </row>
    <row r="546" spans="1:7" ht="12" customHeight="1">
      <c r="A546" s="44"/>
      <c r="B546" s="44"/>
      <c r="C546" s="207"/>
      <c r="D546" s="44"/>
    </row>
    <row r="547" spans="1:7" ht="13.2">
      <c r="C547" s="207"/>
      <c r="D547" s="1001" t="s">
        <v>174</v>
      </c>
      <c r="E547" s="1001"/>
      <c r="F547" s="1001"/>
    </row>
    <row r="548" spans="1:7" ht="13.2">
      <c r="C548" s="207"/>
      <c r="D548" s="995" t="s">
        <v>1600</v>
      </c>
      <c r="E548" s="995"/>
      <c r="F548" s="995"/>
    </row>
    <row r="549" spans="1:7" ht="13.2">
      <c r="C549" s="207"/>
      <c r="D549" s="44"/>
      <c r="E549" s="44"/>
      <c r="F549" s="44"/>
    </row>
    <row r="550" spans="1:7" ht="14.4">
      <c r="A550" s="271"/>
      <c r="B550" s="616" t="s">
        <v>1438</v>
      </c>
      <c r="C550" s="207"/>
      <c r="D550" s="995" t="s">
        <v>1158</v>
      </c>
      <c r="E550" s="995"/>
      <c r="F550" s="995"/>
    </row>
    <row r="551" spans="1:7" ht="12" customHeight="1">
      <c r="A551" s="207"/>
      <c r="B551" s="207"/>
      <c r="C551" s="207"/>
      <c r="D551" s="44"/>
      <c r="E551"/>
      <c r="F551"/>
      <c r="G551"/>
    </row>
    <row r="552" spans="1:7" ht="14.4" customHeight="1">
      <c r="A552" s="271"/>
      <c r="B552" s="616" t="s">
        <v>1438</v>
      </c>
      <c r="C552" s="207"/>
      <c r="D552" s="975" t="s">
        <v>1599</v>
      </c>
      <c r="E552" s="975"/>
      <c r="F552" s="975"/>
      <c r="G552"/>
    </row>
    <row r="553" spans="1:7" ht="13.2">
      <c r="A553" s="207"/>
      <c r="B553" s="207"/>
      <c r="C553" s="207"/>
      <c r="D553" s="975"/>
      <c r="E553" s="975"/>
      <c r="F553" s="975"/>
      <c r="G553"/>
    </row>
    <row r="554" spans="1:7" ht="12" customHeight="1">
      <c r="A554" s="207"/>
      <c r="B554" s="207"/>
      <c r="C554" s="207"/>
      <c r="D554" s="44"/>
      <c r="E554"/>
      <c r="F554"/>
      <c r="G554"/>
    </row>
    <row r="555" spans="1:7" ht="14.4">
      <c r="A555" s="271"/>
      <c r="B555" s="616" t="s">
        <v>1438</v>
      </c>
      <c r="C555" s="207"/>
      <c r="D555" s="975" t="s">
        <v>1601</v>
      </c>
      <c r="E555" s="975"/>
      <c r="F555" s="975"/>
      <c r="G555"/>
    </row>
    <row r="556" spans="1:7" ht="13.2">
      <c r="A556" s="207"/>
      <c r="B556" s="207"/>
      <c r="C556" s="207"/>
      <c r="D556" s="975"/>
      <c r="E556" s="975"/>
      <c r="F556" s="975"/>
      <c r="G556"/>
    </row>
    <row r="557" spans="1:7" ht="12" customHeight="1">
      <c r="A557" s="207"/>
      <c r="B557" s="207"/>
      <c r="C557" s="207"/>
      <c r="D557" s="44"/>
      <c r="E557"/>
      <c r="F557"/>
      <c r="G557"/>
    </row>
    <row r="558" spans="1:7" ht="14.4">
      <c r="A558" s="271"/>
      <c r="B558" s="616" t="s">
        <v>1438</v>
      </c>
      <c r="C558" s="207"/>
      <c r="D558" s="975" t="s">
        <v>1602</v>
      </c>
      <c r="E558" s="975"/>
      <c r="F558" s="975"/>
      <c r="G558"/>
    </row>
    <row r="559" spans="1:7" ht="13.2">
      <c r="A559" s="207"/>
      <c r="B559" s="207"/>
      <c r="C559" s="207"/>
      <c r="D559" s="975"/>
      <c r="E559" s="975"/>
      <c r="F559" s="975"/>
      <c r="G559"/>
    </row>
    <row r="560" spans="1:7" ht="12" customHeight="1">
      <c r="A560" s="207"/>
      <c r="B560" s="207"/>
      <c r="C560" s="207"/>
      <c r="D560" s="44"/>
      <c r="E560"/>
      <c r="F560"/>
      <c r="G560"/>
    </row>
    <row r="561" spans="1:7" ht="14.4" customHeight="1">
      <c r="A561" s="271"/>
      <c r="B561" s="616" t="s">
        <v>1438</v>
      </c>
      <c r="C561" s="207"/>
      <c r="D561" s="975" t="s">
        <v>1603</v>
      </c>
      <c r="E561" s="975"/>
      <c r="F561" s="975"/>
      <c r="G561"/>
    </row>
    <row r="562" spans="1:7" ht="13.2">
      <c r="A562" s="207"/>
      <c r="B562" s="207"/>
      <c r="C562" s="207"/>
      <c r="D562" s="975"/>
      <c r="E562" s="975"/>
      <c r="F562" s="975"/>
      <c r="G562"/>
    </row>
    <row r="563" spans="1:7" ht="13.2">
      <c r="A563" s="207"/>
      <c r="B563" s="207"/>
      <c r="C563" s="207"/>
      <c r="D563" s="975"/>
      <c r="E563" s="975"/>
      <c r="F563" s="975"/>
      <c r="G563"/>
    </row>
    <row r="564" spans="1:7" ht="13.2">
      <c r="A564" s="207"/>
      <c r="B564" s="207"/>
      <c r="C564" s="207"/>
      <c r="D564" s="44"/>
      <c r="E564"/>
      <c r="F564"/>
      <c r="G564"/>
    </row>
    <row r="565" spans="1:7" ht="14.4">
      <c r="A565" s="271"/>
      <c r="B565" s="616" t="s">
        <v>131</v>
      </c>
      <c r="C565" s="207"/>
      <c r="D565" s="969" t="s">
        <v>1700</v>
      </c>
      <c r="E565" s="975"/>
      <c r="F565" s="975"/>
      <c r="G565"/>
    </row>
    <row r="566" spans="1:7" ht="13.2">
      <c r="A566" s="207"/>
      <c r="B566" s="207"/>
      <c r="C566" s="207"/>
      <c r="D566" s="975"/>
      <c r="E566" s="975"/>
      <c r="F566" s="975"/>
      <c r="G566"/>
    </row>
    <row r="567" spans="1:7" ht="13.2">
      <c r="A567" s="207"/>
      <c r="B567" s="207"/>
      <c r="C567" s="207"/>
      <c r="D567" s="44"/>
      <c r="G567"/>
    </row>
    <row r="568" spans="1:7" ht="14.4">
      <c r="A568" s="271"/>
      <c r="B568" s="616" t="s">
        <v>131</v>
      </c>
      <c r="C568" s="207"/>
      <c r="D568" s="975" t="s">
        <v>1604</v>
      </c>
      <c r="E568" s="975"/>
      <c r="F568" s="975"/>
      <c r="G568"/>
    </row>
    <row r="569" spans="1:7" ht="13.2">
      <c r="A569" s="207"/>
      <c r="B569" s="207"/>
      <c r="C569" s="207"/>
      <c r="D569" s="975"/>
      <c r="E569" s="975"/>
      <c r="F569" s="975"/>
      <c r="G569"/>
    </row>
    <row r="570" spans="1:7" ht="12" customHeight="1">
      <c r="A570" s="207"/>
      <c r="B570" s="207"/>
      <c r="C570" s="207"/>
      <c r="D570" s="44"/>
      <c r="G570"/>
    </row>
    <row r="571" spans="1:7" ht="14.4">
      <c r="A571" s="271"/>
      <c r="B571" s="616" t="s">
        <v>1438</v>
      </c>
      <c r="C571" s="207"/>
      <c r="D571" s="995" t="s">
        <v>1605</v>
      </c>
      <c r="E571" s="995"/>
      <c r="F571" s="995"/>
      <c r="G571"/>
    </row>
    <row r="572" spans="1:7" ht="14.4">
      <c r="A572" s="271"/>
      <c r="B572" s="271"/>
      <c r="C572" s="207"/>
      <c r="D572" s="1023" t="s">
        <v>2178</v>
      </c>
      <c r="E572" s="1023"/>
      <c r="F572" s="1023"/>
      <c r="G572"/>
    </row>
    <row r="573" spans="1:7" ht="13.2">
      <c r="A573" s="18"/>
      <c r="B573" s="18"/>
      <c r="C573" s="207"/>
      <c r="D573" s="938"/>
      <c r="E573" s="104" t="s">
        <v>2179</v>
      </c>
      <c r="F573" s="939"/>
      <c r="G573"/>
    </row>
    <row r="574" spans="1:7" ht="15" customHeight="1">
      <c r="A574" s="18"/>
      <c r="B574" s="18"/>
      <c r="C574" s="207"/>
      <c r="D574" s="969" t="s">
        <v>1823</v>
      </c>
      <c r="E574" s="975"/>
      <c r="F574" s="975"/>
      <c r="G574"/>
    </row>
    <row r="575" spans="1:7" ht="13.2">
      <c r="A575" s="18"/>
      <c r="B575" s="18"/>
      <c r="C575" s="207"/>
      <c r="D575" s="975"/>
      <c r="E575" s="975"/>
      <c r="F575" s="975"/>
      <c r="G575"/>
    </row>
    <row r="576" spans="1:7" ht="13.2">
      <c r="A576" s="18"/>
      <c r="B576" s="18"/>
      <c r="C576" s="207"/>
      <c r="D576" s="975"/>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209"/>
      <c r="E583" s="209"/>
      <c r="F583" s="209"/>
      <c r="G583"/>
    </row>
    <row r="584" spans="1:7" ht="14.4">
      <c r="A584" s="271"/>
      <c r="B584" s="616" t="s">
        <v>1438</v>
      </c>
      <c r="C584" s="207"/>
      <c r="D584" s="995" t="s">
        <v>1606</v>
      </c>
      <c r="E584" s="995"/>
      <c r="F584" s="995"/>
      <c r="G584"/>
    </row>
    <row r="585" spans="1:7" ht="13.65" customHeight="1">
      <c r="C585" s="207"/>
      <c r="D585" s="975" t="s">
        <v>1607</v>
      </c>
      <c r="E585" s="975"/>
      <c r="F585" s="975"/>
      <c r="G585"/>
    </row>
    <row r="586" spans="1:7" ht="13.2">
      <c r="A586" s="207"/>
      <c r="B586" s="207"/>
      <c r="C586" s="207"/>
      <c r="D586" s="975"/>
      <c r="E586" s="975"/>
      <c r="F586" s="975"/>
      <c r="G586"/>
    </row>
    <row r="587" spans="1:7" ht="13.2">
      <c r="A587" s="207"/>
      <c r="B587" s="207"/>
      <c r="C587" s="207"/>
      <c r="D587" s="975"/>
      <c r="E587" s="975"/>
      <c r="F587" s="975"/>
      <c r="G587"/>
    </row>
    <row r="588" spans="1:7" ht="13.2">
      <c r="A588" s="207"/>
      <c r="B588" s="207"/>
      <c r="C588" s="207"/>
      <c r="D588" s="209"/>
      <c r="E588" s="209"/>
      <c r="F588" s="209"/>
      <c r="G588"/>
    </row>
    <row r="589" spans="1:7" ht="14.4" customHeight="1">
      <c r="A589" s="271"/>
      <c r="B589" s="616" t="s">
        <v>1438</v>
      </c>
      <c r="C589" s="207"/>
      <c r="D589" s="975" t="s">
        <v>2261</v>
      </c>
      <c r="E589" s="975"/>
      <c r="F589" s="975"/>
      <c r="G589"/>
    </row>
    <row r="590" spans="1:7" ht="14.4">
      <c r="A590" s="271"/>
      <c r="B590" s="271"/>
      <c r="C590" s="207"/>
      <c r="D590" s="975"/>
      <c r="E590" s="975"/>
      <c r="F590" s="975"/>
      <c r="G590"/>
    </row>
    <row r="591" spans="1:7" ht="14.4">
      <c r="A591" s="271"/>
      <c r="B591" s="271"/>
      <c r="C591" s="207"/>
      <c r="D591" s="975"/>
      <c r="E591" s="975"/>
      <c r="F591" s="975"/>
    </row>
    <row r="592" spans="1:7" ht="13.2">
      <c r="A592" s="207"/>
      <c r="B592" s="207"/>
      <c r="C592" s="207"/>
      <c r="D592" s="975"/>
      <c r="E592" s="975"/>
      <c r="F592" s="975"/>
    </row>
    <row r="593" spans="1:7" ht="13.2">
      <c r="A593" s="207"/>
      <c r="B593" s="207"/>
      <c r="C593" s="207"/>
      <c r="D593" s="44"/>
    </row>
    <row r="594" spans="1:7" ht="13.2">
      <c r="A594" s="191"/>
      <c r="B594" s="616" t="s">
        <v>131</v>
      </c>
      <c r="C594" s="191"/>
      <c r="D594" s="998" t="s">
        <v>1887</v>
      </c>
      <c r="E594" s="999"/>
      <c r="F594" s="999"/>
    </row>
    <row r="595" spans="1:7" ht="13.2">
      <c r="A595" s="191"/>
      <c r="B595" s="191"/>
      <c r="C595" s="191"/>
    </row>
    <row r="596" spans="1:7" ht="13.2">
      <c r="A596" s="207"/>
      <c r="B596" s="207"/>
      <c r="C596" s="207"/>
      <c r="D596" s="24"/>
      <c r="E596" s="24"/>
      <c r="F596" s="24"/>
    </row>
    <row r="597" spans="1:7" ht="13.2">
      <c r="A597" s="1000" t="s">
        <v>1455</v>
      </c>
      <c r="B597" s="1000"/>
      <c r="C597" s="1000"/>
      <c r="D597" s="1000"/>
      <c r="E597" s="1000"/>
      <c r="F597" s="1000"/>
      <c r="G597" s="1000"/>
    </row>
    <row r="598" spans="1:7" ht="13.2">
      <c r="A598" s="207"/>
      <c r="B598" s="207"/>
      <c r="C598" s="207"/>
    </row>
    <row r="599" spans="1:7" ht="13.2">
      <c r="C599" s="190"/>
      <c r="D599" s="1002" t="s">
        <v>175</v>
      </c>
      <c r="E599" s="1002"/>
      <c r="F599" s="1002"/>
    </row>
    <row r="600" spans="1:7" ht="13.2">
      <c r="C600" s="190"/>
      <c r="D600" s="1003" t="s">
        <v>1507</v>
      </c>
      <c r="E600" s="1003"/>
      <c r="F600" s="1003"/>
    </row>
    <row r="601" spans="1:7" ht="13.2">
      <c r="C601" s="190"/>
      <c r="D601" s="375"/>
    </row>
    <row r="602" spans="1:7" ht="14.4">
      <c r="A602" s="271"/>
      <c r="B602" s="616" t="s">
        <v>1438</v>
      </c>
      <c r="D602" s="1003" t="s">
        <v>1159</v>
      </c>
      <c r="E602" s="1003"/>
      <c r="F602" s="1003"/>
    </row>
    <row r="603" spans="1:7" ht="13.2">
      <c r="A603" s="18"/>
      <c r="B603" s="18"/>
      <c r="D603" s="365"/>
    </row>
    <row r="604" spans="1:7" ht="14.4" customHeight="1">
      <c r="A604" s="271"/>
      <c r="B604" s="616" t="s">
        <v>1438</v>
      </c>
      <c r="D604" s="1003" t="s">
        <v>2262</v>
      </c>
      <c r="E604" s="1003"/>
      <c r="F604" s="1003"/>
    </row>
    <row r="605" spans="1:7" ht="14.4" customHeight="1">
      <c r="A605" s="271"/>
      <c r="B605" s="271"/>
      <c r="D605" s="1003"/>
      <c r="E605" s="1003"/>
      <c r="F605" s="1003"/>
    </row>
    <row r="606" spans="1:7" ht="14.4">
      <c r="A606" s="271"/>
      <c r="B606" s="271"/>
      <c r="D606" s="1003"/>
      <c r="E606" s="1003"/>
      <c r="F606" s="1003"/>
    </row>
    <row r="607" spans="1:7" ht="14.4">
      <c r="A607" s="271"/>
      <c r="B607" s="271"/>
      <c r="D607" s="620"/>
      <c r="E607" s="620"/>
      <c r="F607" s="620"/>
    </row>
    <row r="608" spans="1:7" ht="14.4">
      <c r="A608" s="271"/>
      <c r="B608" s="616" t="s">
        <v>131</v>
      </c>
      <c r="D608" s="1003" t="s">
        <v>1508</v>
      </c>
      <c r="E608" s="1003"/>
      <c r="F608" s="1003"/>
    </row>
    <row r="609" spans="1:7" ht="14.4">
      <c r="A609" s="271"/>
      <c r="B609" s="271"/>
      <c r="D609" s="1003"/>
      <c r="E609" s="1003"/>
      <c r="F609" s="1003"/>
    </row>
    <row r="610" spans="1:7" ht="14.4">
      <c r="A610" s="271"/>
      <c r="B610" s="271"/>
      <c r="D610" s="1003"/>
      <c r="E610" s="1003"/>
      <c r="F610" s="1003"/>
    </row>
    <row r="611" spans="1:7" ht="14.4">
      <c r="A611" s="271"/>
      <c r="B611" s="271"/>
      <c r="D611" s="1003"/>
      <c r="E611" s="1003"/>
      <c r="F611" s="1003"/>
    </row>
    <row r="612" spans="1:7" ht="14.4">
      <c r="A612" s="271"/>
      <c r="B612" s="271"/>
      <c r="D612" s="375"/>
    </row>
    <row r="613" spans="1:7" ht="14.4">
      <c r="A613" s="271"/>
      <c r="B613" s="616" t="s">
        <v>1438</v>
      </c>
      <c r="D613" s="1003" t="s">
        <v>2263</v>
      </c>
      <c r="E613" s="1003"/>
      <c r="F613" s="1003"/>
    </row>
    <row r="614" spans="1:7" ht="14.4">
      <c r="A614" s="271"/>
      <c r="B614" s="271"/>
      <c r="D614" s="1003"/>
      <c r="E614" s="1003"/>
      <c r="F614" s="1003"/>
    </row>
    <row r="615" spans="1:7" ht="14.4">
      <c r="A615" s="271"/>
      <c r="B615" s="271"/>
      <c r="D615" s="375"/>
    </row>
    <row r="616" spans="1:7" ht="14.4" customHeight="1">
      <c r="A616" s="271"/>
      <c r="B616" s="616" t="s">
        <v>131</v>
      </c>
      <c r="D616" s="1003" t="s">
        <v>1512</v>
      </c>
      <c r="E616" s="1003"/>
      <c r="F616" s="1003"/>
    </row>
    <row r="617" spans="1:7" ht="14.4">
      <c r="A617" s="271"/>
      <c r="B617" s="271"/>
      <c r="D617" s="1003"/>
      <c r="E617" s="1003"/>
      <c r="F617" s="1003"/>
    </row>
    <row r="618" spans="1:7" ht="14.4">
      <c r="A618" s="271"/>
      <c r="B618" s="271"/>
      <c r="D618" s="375"/>
    </row>
    <row r="619" spans="1:7" ht="14.4">
      <c r="A619" s="271"/>
      <c r="B619" s="616" t="s">
        <v>1438</v>
      </c>
      <c r="D619" s="1003" t="s">
        <v>1160</v>
      </c>
      <c r="E619" s="1003"/>
      <c r="F619" s="1003"/>
    </row>
    <row r="620" spans="1:7" ht="13.2">
      <c r="A620" s="18"/>
      <c r="B620" s="18"/>
    </row>
    <row r="621" spans="1:7" ht="13.2">
      <c r="A621" s="1000" t="s">
        <v>1457</v>
      </c>
      <c r="B621" s="1000"/>
      <c r="C621" s="1000"/>
      <c r="D621" s="1000"/>
      <c r="E621" s="1000"/>
      <c r="F621" s="1000"/>
      <c r="G621" s="1000"/>
    </row>
    <row r="622" spans="1:7" ht="13.2">
      <c r="A622" s="63"/>
      <c r="B622" s="63"/>
    </row>
    <row r="623" spans="1:7" ht="13.2">
      <c r="C623" s="191"/>
      <c r="D623" s="1009" t="s">
        <v>1456</v>
      </c>
      <c r="E623" s="1009"/>
      <c r="F623" s="1009"/>
    </row>
    <row r="624" spans="1:7" ht="13.2">
      <c r="C624" s="191"/>
      <c r="D624" s="999" t="s">
        <v>1483</v>
      </c>
      <c r="E624" s="999"/>
      <c r="F624" s="999"/>
    </row>
    <row r="625" spans="1:7" ht="13.2">
      <c r="C625" s="191"/>
      <c r="D625" s="102"/>
      <c r="E625" s="102"/>
      <c r="F625" s="102"/>
    </row>
    <row r="626" spans="1:7" ht="14.25" customHeight="1">
      <c r="A626" s="271"/>
      <c r="B626" s="616" t="s">
        <v>1438</v>
      </c>
      <c r="D626" s="990" t="s">
        <v>2181</v>
      </c>
      <c r="E626" s="991"/>
      <c r="F626" s="991"/>
    </row>
    <row r="627" spans="1:7" ht="13.2">
      <c r="D627" s="991"/>
      <c r="E627" s="991"/>
      <c r="F627" s="991"/>
    </row>
    <row r="628" spans="1:7" ht="13.2">
      <c r="D628" s="940"/>
      <c r="E628" s="934" t="s">
        <v>2180</v>
      </c>
      <c r="F628" s="940"/>
    </row>
    <row r="629" spans="1:7" ht="13.2">
      <c r="A629" s="63"/>
      <c r="B629" s="63"/>
    </row>
    <row r="630" spans="1:7" ht="12" customHeight="1">
      <c r="A630" s="1000" t="s">
        <v>1459</v>
      </c>
      <c r="B630" s="1000"/>
      <c r="C630" s="1000"/>
      <c r="D630" s="1000"/>
      <c r="E630" s="1000"/>
      <c r="F630" s="1000"/>
      <c r="G630" s="1000"/>
    </row>
    <row r="631" spans="1:7" ht="13.2">
      <c r="A631" s="44"/>
      <c r="B631" s="44"/>
    </row>
    <row r="632" spans="1:7" ht="13.2">
      <c r="C632" s="190"/>
      <c r="D632" s="1001" t="s">
        <v>1458</v>
      </c>
      <c r="E632" s="1001"/>
      <c r="F632" s="1001"/>
    </row>
    <row r="633" spans="1:7" ht="13.2">
      <c r="A633" s="191"/>
      <c r="B633" s="191"/>
      <c r="C633" s="191"/>
      <c r="D633" s="995" t="s">
        <v>1621</v>
      </c>
      <c r="E633" s="995"/>
      <c r="F633" s="995"/>
    </row>
    <row r="634" spans="1:7" ht="13.2">
      <c r="A634" s="191"/>
      <c r="B634" s="191"/>
      <c r="C634" s="191"/>
    </row>
    <row r="635" spans="1:7" ht="14.4">
      <c r="A635" s="271"/>
      <c r="B635" s="271"/>
      <c r="D635" s="1009" t="s">
        <v>909</v>
      </c>
      <c r="E635" s="1009"/>
      <c r="F635" s="1009"/>
    </row>
    <row r="636" spans="1:7" ht="14.4">
      <c r="A636" s="271"/>
      <c r="B636" s="616" t="s">
        <v>1438</v>
      </c>
      <c r="D636" s="999" t="s">
        <v>1622</v>
      </c>
      <c r="E636" s="999"/>
      <c r="F636" s="999"/>
    </row>
    <row r="637" spans="1:7" ht="14.4">
      <c r="A637" s="271"/>
      <c r="B637" s="271"/>
      <c r="D637" s="44"/>
    </row>
    <row r="638" spans="1:7" ht="14.4">
      <c r="A638" s="271"/>
      <c r="B638" s="616" t="s">
        <v>131</v>
      </c>
      <c r="D638" s="975" t="s">
        <v>1623</v>
      </c>
      <c r="E638" s="975"/>
      <c r="F638" s="975"/>
    </row>
    <row r="639" spans="1:7" ht="14.4">
      <c r="A639" s="271"/>
      <c r="B639" s="271"/>
      <c r="D639" s="975"/>
      <c r="E639" s="975"/>
      <c r="F639" s="975"/>
    </row>
    <row r="640" spans="1:7" ht="14.4">
      <c r="A640" s="271"/>
      <c r="B640" s="271"/>
      <c r="D640" s="44"/>
    </row>
    <row r="641" spans="1:7" ht="14.4">
      <c r="A641" s="271"/>
      <c r="B641" s="616" t="s">
        <v>131</v>
      </c>
      <c r="D641" s="969" t="s">
        <v>2011</v>
      </c>
      <c r="E641" s="969"/>
      <c r="F641" s="969"/>
    </row>
    <row r="642" spans="1:7" ht="13.65" customHeight="1">
      <c r="D642" s="969"/>
      <c r="E642" s="969"/>
      <c r="F642" s="969"/>
    </row>
    <row r="643" spans="1:7" ht="13.2"/>
    <row r="644" spans="1:7" ht="14.4">
      <c r="A644" s="271"/>
      <c r="B644" s="616" t="s">
        <v>131</v>
      </c>
      <c r="D644" s="999" t="s">
        <v>1624</v>
      </c>
      <c r="E644" s="999"/>
      <c r="F644" s="999"/>
    </row>
    <row r="645" spans="1:7" ht="13.2">
      <c r="A645" s="190"/>
      <c r="B645" s="190"/>
      <c r="C645" s="190"/>
    </row>
    <row r="646" spans="1:7" ht="13.2">
      <c r="A646" s="1000" t="s">
        <v>1460</v>
      </c>
      <c r="B646" s="1000"/>
      <c r="C646" s="1000"/>
      <c r="D646" s="1000"/>
      <c r="E646" s="1000"/>
      <c r="F646" s="1000"/>
      <c r="G646" s="1000"/>
    </row>
    <row r="647" spans="1:7" ht="13.2">
      <c r="A647" s="190"/>
      <c r="B647" s="190"/>
      <c r="C647" s="190"/>
    </row>
    <row r="648" spans="1:7" ht="13.2">
      <c r="C648" s="18"/>
      <c r="D648" s="1039" t="s">
        <v>1484</v>
      </c>
      <c r="E648" s="1039"/>
      <c r="F648" s="1039"/>
    </row>
    <row r="649" spans="1:7" ht="13.2">
      <c r="A649" s="18"/>
      <c r="B649" s="18"/>
      <c r="D649" s="3"/>
    </row>
    <row r="650" spans="1:7" ht="14.25" customHeight="1">
      <c r="A650" s="271"/>
      <c r="B650" s="616" t="s">
        <v>1438</v>
      </c>
      <c r="D650" s="990" t="s">
        <v>2264</v>
      </c>
      <c r="E650" s="990"/>
      <c r="F650" s="990"/>
    </row>
    <row r="651" spans="1:7" ht="14.4">
      <c r="A651" s="271"/>
      <c r="B651" s="271"/>
      <c r="D651" s="990"/>
      <c r="E651" s="990"/>
      <c r="F651" s="990"/>
    </row>
    <row r="652" spans="1:7" ht="13.2">
      <c r="D652" s="940"/>
      <c r="E652" s="934" t="s">
        <v>2183</v>
      </c>
      <c r="F652" s="940"/>
    </row>
    <row r="653" spans="1:7" ht="13.2">
      <c r="D653" s="972" t="s">
        <v>2182</v>
      </c>
      <c r="E653" s="972"/>
      <c r="F653" s="972"/>
    </row>
    <row r="654" spans="1:7" ht="12.75" customHeight="1">
      <c r="D654" s="972"/>
      <c r="E654" s="972"/>
      <c r="F654" s="972"/>
    </row>
    <row r="655" spans="1:7" ht="13.2">
      <c r="B655"/>
      <c r="D655" s="972"/>
      <c r="E655" s="972"/>
      <c r="F655" s="972"/>
    </row>
    <row r="656" spans="1:7" ht="13.2"/>
    <row r="657" spans="1:9" ht="14.4">
      <c r="A657" s="303"/>
      <c r="B657" s="616" t="s">
        <v>131</v>
      </c>
      <c r="D657" s="1040" t="s">
        <v>1625</v>
      </c>
      <c r="E657" s="1040"/>
      <c r="F657" s="1040"/>
      <c r="G657" s="44"/>
    </row>
    <row r="658" spans="1:9" ht="14.4">
      <c r="A658" s="303"/>
      <c r="B658" s="303"/>
      <c r="D658" s="1040"/>
      <c r="E658" s="1040"/>
      <c r="F658" s="1040"/>
      <c r="G658" s="44"/>
    </row>
    <row r="659" spans="1:9" ht="14.4">
      <c r="A659" s="303"/>
      <c r="B659" s="303"/>
      <c r="D659" s="44"/>
      <c r="E659" s="44"/>
      <c r="F659" s="44"/>
      <c r="G659" s="44"/>
    </row>
    <row r="660" spans="1:9" ht="13.65" customHeight="1">
      <c r="A660" s="303"/>
      <c r="B660" s="616" t="s">
        <v>131</v>
      </c>
      <c r="D660" s="1010" t="s">
        <v>1888</v>
      </c>
      <c r="E660" s="1010"/>
      <c r="F660" s="1010"/>
      <c r="G660" s="44"/>
    </row>
    <row r="661" spans="1:9" ht="14.4">
      <c r="A661" s="303"/>
      <c r="B661" s="303"/>
      <c r="D661" s="1010"/>
      <c r="E661" s="1010"/>
      <c r="F661" s="1010"/>
      <c r="G661" s="44"/>
    </row>
    <row r="662" spans="1:9" ht="14.4">
      <c r="A662" s="271"/>
      <c r="B662" s="271"/>
      <c r="D662" s="633"/>
      <c r="E662" s="633"/>
      <c r="F662" s="633"/>
      <c r="G662" s="44"/>
    </row>
    <row r="663" spans="1:9" ht="14.4">
      <c r="A663" s="271"/>
      <c r="B663" s="616" t="s">
        <v>131</v>
      </c>
      <c r="C663" s="207"/>
      <c r="D663" s="1041" t="s">
        <v>1626</v>
      </c>
      <c r="E663" s="1041"/>
      <c r="F663" s="1041"/>
      <c r="G663" s="44"/>
    </row>
    <row r="664" spans="1:9" ht="13.2">
      <c r="A664" s="44"/>
      <c r="B664" s="44"/>
      <c r="C664" s="207"/>
      <c r="D664" s="44"/>
      <c r="E664" s="44"/>
      <c r="F664" s="44"/>
      <c r="G664" s="44"/>
      <c r="H664" s="267"/>
      <c r="I664" s="267"/>
    </row>
    <row r="665" spans="1:9" ht="13.2">
      <c r="A665" s="1000" t="s">
        <v>1462</v>
      </c>
      <c r="B665" s="1000"/>
      <c r="C665" s="1000"/>
      <c r="D665" s="1000"/>
      <c r="E665" s="1000"/>
      <c r="F665" s="1000"/>
      <c r="G665" s="1000"/>
    </row>
    <row r="666" spans="1:9" ht="13.2">
      <c r="A666" s="44"/>
      <c r="B666" s="44"/>
      <c r="C666" s="207"/>
      <c r="D666" s="44"/>
      <c r="E666" s="44"/>
      <c r="F666" s="44"/>
      <c r="G666" s="44"/>
    </row>
    <row r="667" spans="1:9" ht="13.2">
      <c r="C667" s="190"/>
      <c r="D667" s="1001" t="s">
        <v>1461</v>
      </c>
      <c r="E667" s="1001"/>
      <c r="F667" s="1001"/>
      <c r="G667" s="44"/>
    </row>
    <row r="668" spans="1:9" ht="13.2">
      <c r="A668" s="191"/>
      <c r="B668" s="191"/>
      <c r="C668" s="191"/>
      <c r="D668" s="995" t="s">
        <v>1485</v>
      </c>
      <c r="E668" s="995"/>
      <c r="F668" s="995"/>
      <c r="G668" s="44"/>
    </row>
    <row r="669" spans="1:9" ht="13.2">
      <c r="A669" s="191"/>
      <c r="B669" s="191"/>
      <c r="C669" s="191"/>
      <c r="D669" s="44"/>
      <c r="E669" s="44"/>
      <c r="F669" s="44"/>
      <c r="G669" s="44"/>
    </row>
    <row r="670" spans="1:9" ht="14.4" customHeight="1">
      <c r="A670" s="271"/>
      <c r="B670" s="616" t="s">
        <v>1438</v>
      </c>
      <c r="C670" s="207"/>
      <c r="D670" s="969" t="s">
        <v>1963</v>
      </c>
      <c r="E670" s="969"/>
      <c r="F670" s="969"/>
      <c r="G670" s="44"/>
    </row>
    <row r="671" spans="1:9" ht="14.4">
      <c r="A671" s="271"/>
      <c r="B671" s="271"/>
      <c r="C671" s="207"/>
      <c r="D671" s="969"/>
      <c r="E671" s="969"/>
      <c r="F671" s="969"/>
      <c r="G671" s="44"/>
    </row>
    <row r="672" spans="1:9" ht="14.4">
      <c r="A672" s="271"/>
      <c r="B672" s="271"/>
      <c r="C672" s="207"/>
      <c r="D672" s="969"/>
      <c r="E672" s="969"/>
      <c r="F672" s="969"/>
      <c r="G672" s="44"/>
    </row>
    <row r="673" spans="1:7" ht="14.4">
      <c r="A673" s="271"/>
      <c r="B673" s="271"/>
      <c r="C673" s="207"/>
      <c r="D673" s="969"/>
      <c r="E673" s="969"/>
      <c r="F673" s="969"/>
      <c r="G673" s="44"/>
    </row>
    <row r="674" spans="1:7" ht="14.4">
      <c r="A674" s="271"/>
      <c r="B674" s="271"/>
      <c r="C674" s="207"/>
      <c r="D674" s="969"/>
      <c r="E674" s="969"/>
      <c r="F674" s="969"/>
      <c r="G674" s="44"/>
    </row>
    <row r="675" spans="1:7" ht="14.4">
      <c r="A675" s="271"/>
      <c r="B675" s="271"/>
      <c r="C675" s="207"/>
      <c r="D675" s="969"/>
      <c r="E675" s="969"/>
      <c r="F675" s="969"/>
      <c r="G675" s="44"/>
    </row>
    <row r="676" spans="1:7" ht="14.4" hidden="1">
      <c r="A676" s="271"/>
      <c r="B676" s="271"/>
      <c r="C676" s="207"/>
      <c r="D676" s="375"/>
      <c r="F676" s="44"/>
      <c r="G676" s="44"/>
    </row>
    <row r="677" spans="1:7" ht="14.4" hidden="1">
      <c r="A677" s="271"/>
      <c r="B677" s="616" t="s">
        <v>83</v>
      </c>
      <c r="C677" s="207"/>
      <c r="D677" s="1026" t="s">
        <v>1505</v>
      </c>
      <c r="E677" s="1026"/>
      <c r="F677" s="1026"/>
      <c r="G677" s="44"/>
    </row>
    <row r="678" spans="1:7" ht="14.4" hidden="1">
      <c r="A678" s="271"/>
      <c r="B678" s="271"/>
      <c r="C678" s="207"/>
      <c r="D678" s="1021" t="s">
        <v>2265</v>
      </c>
      <c r="E678" s="1021"/>
      <c r="F678" s="1021"/>
      <c r="G678" s="44"/>
    </row>
    <row r="679" spans="1:7" ht="14.4" hidden="1">
      <c r="A679" s="271"/>
      <c r="B679" s="271"/>
      <c r="C679" s="207"/>
      <c r="D679" s="1021"/>
      <c r="E679" s="1021"/>
      <c r="F679" s="1021"/>
      <c r="G679" s="44"/>
    </row>
    <row r="680" spans="1:7" ht="14.4" hidden="1">
      <c r="A680" s="271"/>
      <c r="B680" s="271"/>
      <c r="C680" s="207"/>
      <c r="D680" s="1021"/>
      <c r="E680" s="1021"/>
      <c r="F680" s="1021"/>
      <c r="G680" s="44"/>
    </row>
    <row r="681" spans="1:7" ht="14.4" hidden="1">
      <c r="A681" s="271"/>
      <c r="B681" s="271"/>
      <c r="C681" s="207"/>
      <c r="D681" s="1021"/>
      <c r="E681" s="1021"/>
      <c r="F681" s="1021"/>
      <c r="G681" s="44"/>
    </row>
    <row r="682" spans="1:7" ht="14.4" hidden="1">
      <c r="A682" s="271"/>
      <c r="B682" s="271"/>
      <c r="C682" s="207"/>
      <c r="D682" s="1021"/>
      <c r="E682" s="1021"/>
      <c r="F682" s="1021"/>
      <c r="G682" s="44"/>
    </row>
    <row r="683" spans="1:7" ht="14.4" hidden="1">
      <c r="A683" s="271"/>
      <c r="B683" s="271"/>
      <c r="C683" s="207"/>
      <c r="D683" s="1042" t="s">
        <v>1962</v>
      </c>
      <c r="E683" s="1042"/>
      <c r="F683" s="1042"/>
      <c r="G683" s="44"/>
    </row>
    <row r="684" spans="1:7" ht="13.2">
      <c r="A684" s="44"/>
      <c r="B684" s="44"/>
      <c r="C684" s="207"/>
      <c r="D684" s="44"/>
      <c r="E684" s="44"/>
      <c r="F684" s="44"/>
      <c r="G684" s="44"/>
    </row>
    <row r="685" spans="1:7" ht="13.2">
      <c r="A685" s="1000" t="s">
        <v>1463</v>
      </c>
      <c r="B685" s="1000"/>
      <c r="C685" s="1000"/>
      <c r="D685" s="1000"/>
      <c r="E685" s="1000"/>
      <c r="F685" s="1000"/>
      <c r="G685" s="1000"/>
    </row>
    <row r="686" spans="1:7" ht="13.2">
      <c r="A686" s="44"/>
      <c r="B686" s="44"/>
      <c r="C686" s="207"/>
      <c r="D686" s="44"/>
      <c r="E686" s="44"/>
      <c r="F686" s="44"/>
      <c r="G686" s="44"/>
    </row>
    <row r="687" spans="1:7" ht="13.2">
      <c r="C687" s="190"/>
      <c r="D687" s="1001" t="s">
        <v>818</v>
      </c>
      <c r="E687" s="1001"/>
      <c r="F687" s="1001"/>
      <c r="G687" s="44"/>
    </row>
    <row r="688" spans="1:7" ht="13.2">
      <c r="A688" s="190"/>
      <c r="B688" s="190"/>
      <c r="C688" s="190"/>
      <c r="D688" s="1001" t="s">
        <v>910</v>
      </c>
      <c r="E688" s="1001"/>
      <c r="F688" s="1001"/>
      <c r="G688" s="44"/>
    </row>
    <row r="689" spans="1:6" ht="13.2">
      <c r="A689" s="191"/>
      <c r="B689" s="191"/>
      <c r="C689" s="191"/>
      <c r="D689" s="995" t="s">
        <v>1590</v>
      </c>
      <c r="E689" s="995"/>
      <c r="F689" s="995"/>
    </row>
    <row r="690" spans="1:6" ht="14.25" customHeight="1">
      <c r="A690" s="191"/>
      <c r="B690" s="191"/>
      <c r="C690" s="191"/>
    </row>
    <row r="691" spans="1:6" ht="14.4">
      <c r="A691" s="271"/>
      <c r="B691" s="616" t="s">
        <v>1438</v>
      </c>
      <c r="C691" s="191"/>
      <c r="D691" s="995" t="s">
        <v>1161</v>
      </c>
      <c r="E691" s="995"/>
      <c r="F691" s="995"/>
    </row>
    <row r="692" spans="1:6" ht="13.2">
      <c r="A692" s="191"/>
      <c r="B692" s="191"/>
      <c r="C692" s="191"/>
      <c r="D692" s="995" t="s">
        <v>1179</v>
      </c>
      <c r="E692" s="995"/>
      <c r="F692" s="995"/>
    </row>
    <row r="693" spans="1:6" ht="12.75" customHeight="1">
      <c r="A693" s="191"/>
      <c r="B693" s="191"/>
      <c r="C693" s="191"/>
      <c r="E693" s="934" t="s">
        <v>2185</v>
      </c>
      <c r="F693" s="15"/>
    </row>
    <row r="694" spans="1:6" ht="13.2">
      <c r="A694" s="191"/>
      <c r="B694" s="191"/>
      <c r="C694" s="191"/>
      <c r="E694" s="933" t="s">
        <v>2184</v>
      </c>
      <c r="F694" s="15"/>
    </row>
    <row r="695" spans="1:6" ht="13.2">
      <c r="A695" s="191"/>
      <c r="B695" s="191"/>
      <c r="C695" s="191"/>
      <c r="D695" s="212"/>
      <c r="E695" s="212"/>
      <c r="F695" s="212"/>
    </row>
    <row r="696" spans="1:6" ht="14.4">
      <c r="A696" s="271"/>
      <c r="B696" s="616" t="s">
        <v>131</v>
      </c>
      <c r="C696" s="191"/>
      <c r="D696" s="975" t="s">
        <v>2266</v>
      </c>
      <c r="E696" s="975"/>
      <c r="F696" s="975"/>
    </row>
    <row r="697" spans="1:6" ht="13.2">
      <c r="A697" s="18"/>
      <c r="B697" s="18"/>
      <c r="C697" s="191"/>
      <c r="D697" s="975"/>
      <c r="E697" s="975"/>
      <c r="F697" s="975"/>
    </row>
    <row r="698" spans="1:6" ht="13.2">
      <c r="A698" s="191"/>
      <c r="B698" s="191"/>
      <c r="C698" s="191"/>
      <c r="D698" s="975"/>
      <c r="E698" s="975"/>
      <c r="F698" s="975"/>
    </row>
    <row r="699" spans="1:6" ht="13.2">
      <c r="A699" s="191"/>
      <c r="B699" s="191"/>
      <c r="C699" s="191"/>
    </row>
    <row r="700" spans="1:6" ht="14.4">
      <c r="A700" s="271"/>
      <c r="B700" s="616" t="s">
        <v>1438</v>
      </c>
      <c r="C700" s="191"/>
      <c r="D700" s="995" t="s">
        <v>1220</v>
      </c>
      <c r="E700" s="995"/>
      <c r="F700" s="995"/>
    </row>
    <row r="701" spans="1:6" ht="14.4">
      <c r="A701" s="271"/>
      <c r="B701" s="271"/>
      <c r="C701" s="191"/>
      <c r="D701" s="995" t="s">
        <v>1179</v>
      </c>
      <c r="E701" s="995"/>
      <c r="F701" s="995"/>
    </row>
    <row r="702" spans="1:6" ht="13.2">
      <c r="A702" s="191"/>
      <c r="B702" s="191"/>
      <c r="C702" s="191"/>
      <c r="E702" s="1012" t="s">
        <v>2186</v>
      </c>
      <c r="F702" s="1012"/>
    </row>
    <row r="703" spans="1:6" ht="13.2">
      <c r="A703" s="191"/>
      <c r="B703" s="191"/>
      <c r="C703" s="191"/>
      <c r="D703" s="3"/>
    </row>
    <row r="704" spans="1:6" ht="14.4">
      <c r="A704" s="271"/>
      <c r="B704" s="616" t="s">
        <v>131</v>
      </c>
      <c r="C704" s="191"/>
      <c r="D704" s="975" t="s">
        <v>1592</v>
      </c>
      <c r="E704" s="975"/>
      <c r="F704" s="975"/>
    </row>
    <row r="705" spans="1:6" ht="13.2">
      <c r="A705" s="191"/>
      <c r="B705" s="191"/>
      <c r="C705" s="191"/>
      <c r="D705" s="975"/>
      <c r="E705" s="975"/>
      <c r="F705" s="975"/>
    </row>
    <row r="706" spans="1:6" ht="13.2">
      <c r="A706" s="191"/>
      <c r="B706" s="191"/>
      <c r="C706" s="191"/>
      <c r="D706" s="975"/>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616" t="s">
        <v>131</v>
      </c>
      <c r="C711" s="191"/>
      <c r="D711" s="969" t="s">
        <v>1803</v>
      </c>
      <c r="E711" s="975"/>
      <c r="F711" s="975"/>
    </row>
    <row r="712" spans="1:6" ht="13.2">
      <c r="A712" s="191"/>
      <c r="B712" s="191"/>
      <c r="C712" s="191"/>
      <c r="D712" s="975"/>
      <c r="E712" s="975"/>
      <c r="F712" s="975"/>
    </row>
    <row r="713" spans="1:6" ht="13.2">
      <c r="A713" s="191"/>
      <c r="B713" s="191"/>
      <c r="C713" s="191"/>
    </row>
    <row r="714" spans="1:6" ht="14.4" customHeight="1">
      <c r="A714" s="271"/>
      <c r="B714" s="616" t="s">
        <v>131</v>
      </c>
      <c r="C714" s="191"/>
      <c r="D714" s="975" t="s">
        <v>1593</v>
      </c>
      <c r="E714" s="975"/>
      <c r="F714" s="975"/>
    </row>
    <row r="715" spans="1:6" ht="13.2">
      <c r="A715" s="191"/>
      <c r="B715" s="191"/>
      <c r="C715" s="191"/>
      <c r="D715" s="975"/>
      <c r="E715" s="975"/>
      <c r="F715" s="975"/>
    </row>
    <row r="716" spans="1:6" ht="13.2">
      <c r="A716" s="191"/>
      <c r="B716" s="191"/>
      <c r="C716" s="191"/>
      <c r="D716" s="975"/>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616" t="s">
        <v>131</v>
      </c>
      <c r="C727" s="191"/>
      <c r="D727" s="975" t="s">
        <v>1597</v>
      </c>
      <c r="E727" s="975"/>
      <c r="F727" s="975"/>
      <c r="H727" s="267"/>
      <c r="I727" s="267"/>
    </row>
    <row r="728" spans="1:9" ht="13.2">
      <c r="A728" s="191"/>
      <c r="B728" s="191"/>
      <c r="C728" s="191"/>
      <c r="D728" s="975"/>
      <c r="E728" s="975"/>
      <c r="F728" s="975"/>
      <c r="H728" s="267"/>
      <c r="I728" s="267"/>
    </row>
    <row r="729" spans="1:9" ht="13.2">
      <c r="A729" s="191"/>
      <c r="B729" s="191"/>
      <c r="C729" s="191"/>
      <c r="D729" s="24"/>
      <c r="E729" s="24"/>
      <c r="F729" s="24"/>
      <c r="H729" s="267"/>
      <c r="I729" s="267"/>
    </row>
    <row r="730" spans="1:9" ht="13.2">
      <c r="A730" s="191"/>
      <c r="B730" s="616" t="s">
        <v>131</v>
      </c>
      <c r="C730" s="191"/>
      <c r="D730" s="975" t="s">
        <v>1598</v>
      </c>
      <c r="E730" s="975"/>
      <c r="F730" s="975"/>
      <c r="H730" s="267"/>
      <c r="I730" s="267"/>
    </row>
    <row r="731" spans="1:9" ht="13.2">
      <c r="A731" s="191"/>
      <c r="B731" s="191"/>
      <c r="C731" s="191"/>
      <c r="D731" s="975"/>
      <c r="E731" s="975"/>
      <c r="F731" s="975"/>
      <c r="H731" s="267"/>
      <c r="I731" s="267"/>
    </row>
    <row r="732" spans="1:9" ht="13.2">
      <c r="A732" s="191"/>
      <c r="B732" s="191"/>
      <c r="C732" s="191"/>
      <c r="D732" s="975"/>
      <c r="E732" s="975"/>
      <c r="F732" s="975"/>
      <c r="H732" s="267"/>
      <c r="I732" s="267"/>
    </row>
    <row r="733" spans="1:9" ht="13.2">
      <c r="A733" s="191"/>
      <c r="B733" s="191"/>
      <c r="C733" s="191"/>
      <c r="D733" s="24"/>
      <c r="E733" s="24"/>
      <c r="F733" s="24"/>
      <c r="H733" s="267"/>
      <c r="I733" s="267"/>
    </row>
    <row r="734" spans="1:9" ht="14.4" customHeight="1">
      <c r="A734" s="271"/>
      <c r="B734" s="616" t="s">
        <v>131</v>
      </c>
      <c r="C734" s="191"/>
      <c r="D734" s="969" t="s">
        <v>2012</v>
      </c>
      <c r="E734" s="975"/>
      <c r="F734" s="975"/>
    </row>
    <row r="735" spans="1:9" ht="13.2">
      <c r="A735" s="191"/>
      <c r="B735" s="191"/>
      <c r="C735" s="191"/>
      <c r="D735" s="975"/>
      <c r="E735" s="975"/>
      <c r="F735" s="975"/>
    </row>
    <row r="736" spans="1:9" ht="13.2">
      <c r="A736" s="191"/>
      <c r="B736" s="191"/>
      <c r="C736" s="191"/>
      <c r="D736" s="975"/>
      <c r="E736" s="975"/>
      <c r="F736" s="975"/>
    </row>
    <row r="737" spans="1:9" ht="13.2">
      <c r="A737" s="191"/>
      <c r="B737" s="191"/>
      <c r="C737" s="191"/>
    </row>
    <row r="738" spans="1:9" ht="14.4" customHeight="1">
      <c r="A738" s="271"/>
      <c r="B738" s="616" t="s">
        <v>131</v>
      </c>
      <c r="C738" s="191"/>
      <c r="D738" s="975" t="s">
        <v>1594</v>
      </c>
      <c r="E738" s="975"/>
      <c r="F738" s="975"/>
    </row>
    <row r="739" spans="1:9" ht="13.2">
      <c r="A739" s="191"/>
      <c r="B739" s="191"/>
      <c r="C739" s="191"/>
      <c r="D739" s="975"/>
      <c r="E739" s="975"/>
      <c r="F739" s="975"/>
    </row>
    <row r="740" spans="1:9" ht="13.2">
      <c r="A740" s="191"/>
      <c r="B740" s="191"/>
      <c r="C740" s="191"/>
      <c r="D740" s="975"/>
      <c r="E740" s="975"/>
      <c r="F740" s="975"/>
    </row>
    <row r="741" spans="1:9" ht="13.2">
      <c r="A741" s="191"/>
      <c r="B741" s="191"/>
      <c r="C741" s="191"/>
      <c r="D741" s="212"/>
      <c r="H741" s="267"/>
      <c r="I741" s="267"/>
    </row>
    <row r="742" spans="1:9" ht="14.4">
      <c r="A742" s="271"/>
      <c r="B742" s="616" t="s">
        <v>131</v>
      </c>
      <c r="C742" s="191"/>
      <c r="D742" s="975" t="s">
        <v>1596</v>
      </c>
      <c r="E742" s="975"/>
      <c r="F742" s="975"/>
    </row>
    <row r="743" spans="1:9" ht="13.2">
      <c r="A743" s="191"/>
      <c r="B743" s="191"/>
      <c r="C743" s="191"/>
      <c r="D743" s="975"/>
      <c r="E743" s="975"/>
      <c r="F743" s="975"/>
    </row>
    <row r="744" spans="1:9" ht="13.2">
      <c r="A744" s="191"/>
      <c r="B744" s="191"/>
      <c r="C744" s="191"/>
      <c r="D744" s="975"/>
      <c r="E744" s="975"/>
      <c r="F744" s="975"/>
    </row>
    <row r="745" spans="1:9" ht="13.2">
      <c r="A745" s="191"/>
      <c r="B745" s="191"/>
      <c r="C745" s="191"/>
      <c r="D745" s="975"/>
      <c r="E745" s="975"/>
      <c r="F745" s="975"/>
    </row>
    <row r="746" spans="1:9" ht="13.2">
      <c r="A746" s="191"/>
      <c r="B746" s="191"/>
      <c r="C746" s="191"/>
      <c r="D746" s="24"/>
      <c r="E746" s="24"/>
      <c r="F746" s="24"/>
    </row>
    <row r="747" spans="1:9" ht="14.4">
      <c r="A747" s="271"/>
      <c r="B747" s="616" t="s">
        <v>131</v>
      </c>
      <c r="C747" s="191"/>
      <c r="D747" s="969" t="s">
        <v>2344</v>
      </c>
      <c r="E747" s="975"/>
      <c r="F747" s="975"/>
      <c r="H747" s="267"/>
      <c r="I747" s="267"/>
    </row>
    <row r="748" spans="1:9" ht="13.2">
      <c r="A748" s="191"/>
      <c r="B748" s="191"/>
      <c r="C748" s="191"/>
      <c r="D748" s="975"/>
      <c r="E748" s="975"/>
      <c r="F748" s="975"/>
      <c r="H748" s="267"/>
      <c r="I748" s="267"/>
    </row>
    <row r="749" spans="1:9" ht="13.2">
      <c r="A749" s="191"/>
      <c r="B749" s="191"/>
      <c r="C749" s="191"/>
      <c r="D749" s="975"/>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1037" t="s">
        <v>1595</v>
      </c>
      <c r="E754" s="1037"/>
      <c r="F754" s="1037"/>
      <c r="H754" s="267"/>
      <c r="I754" s="267"/>
    </row>
    <row r="755" spans="1:9" ht="13.2">
      <c r="A755" s="191"/>
      <c r="B755" s="191"/>
      <c r="C755" s="191"/>
      <c r="D755" s="567"/>
      <c r="H755" s="267"/>
      <c r="I755" s="267"/>
    </row>
    <row r="756" spans="1:9" ht="13.2">
      <c r="A756" s="1020" t="s">
        <v>1492</v>
      </c>
      <c r="B756" s="1020"/>
      <c r="C756" s="1020"/>
      <c r="D756" s="1020"/>
      <c r="E756" s="1020"/>
      <c r="F756" s="1020"/>
      <c r="G756" s="1020"/>
      <c r="H756" s="267"/>
      <c r="I756" s="267"/>
    </row>
    <row r="757" spans="1:9" ht="13.2">
      <c r="A757" s="191"/>
      <c r="B757" s="191"/>
      <c r="C757" s="191"/>
      <c r="D757" s="212"/>
      <c r="H757" s="267"/>
      <c r="I757" s="267"/>
    </row>
    <row r="758" spans="1:9" ht="13.2">
      <c r="C758" s="191"/>
      <c r="D758" s="1002" t="s">
        <v>1513</v>
      </c>
      <c r="E758" s="1002"/>
      <c r="F758" s="1002"/>
      <c r="H758" s="267"/>
      <c r="I758" s="267"/>
    </row>
    <row r="759" spans="1:9" ht="13.2">
      <c r="A759" s="190"/>
      <c r="B759" s="190"/>
      <c r="C759" s="190"/>
      <c r="D759" s="999" t="s">
        <v>1516</v>
      </c>
      <c r="E759" s="999"/>
      <c r="F759" s="999"/>
      <c r="H759" s="267"/>
      <c r="I759" s="267"/>
    </row>
    <row r="760" spans="1:9" ht="13.2">
      <c r="A760" s="191"/>
      <c r="B760" s="191"/>
      <c r="C760" s="191"/>
      <c r="H760" s="267"/>
      <c r="I760" s="267"/>
    </row>
    <row r="761" spans="1:9" ht="14.25" customHeight="1">
      <c r="A761" s="271"/>
      <c r="B761" s="616" t="s">
        <v>1438</v>
      </c>
      <c r="D761" s="975" t="s">
        <v>1514</v>
      </c>
      <c r="E761" s="975"/>
      <c r="F761" s="975"/>
      <c r="H761" s="267"/>
      <c r="I761" s="267"/>
    </row>
    <row r="762" spans="1:9" ht="11.25" customHeight="1">
      <c r="D762" s="975"/>
      <c r="E762" s="975"/>
      <c r="F762" s="975"/>
      <c r="H762" s="267"/>
      <c r="I762" s="267"/>
    </row>
    <row r="763" spans="1:9" ht="13.2">
      <c r="D763" s="975"/>
      <c r="E763" s="975"/>
      <c r="F763" s="975"/>
      <c r="H763" s="267"/>
      <c r="I763" s="267"/>
    </row>
    <row r="764" spans="1:9" ht="13.2">
      <c r="D764" s="975"/>
      <c r="E764" s="975"/>
      <c r="F764" s="975"/>
      <c r="H764" s="267"/>
      <c r="I764" s="267"/>
    </row>
    <row r="765" spans="1:9" ht="13.2">
      <c r="D765" s="975"/>
      <c r="E765" s="975"/>
      <c r="F765" s="975"/>
      <c r="H765" s="267"/>
      <c r="I765" s="267"/>
    </row>
    <row r="766" spans="1:9" ht="17.25" customHeight="1">
      <c r="D766" s="975"/>
      <c r="E766" s="975"/>
      <c r="F766" s="975"/>
      <c r="H766" s="267"/>
      <c r="I766" s="267"/>
    </row>
    <row r="767" spans="1:9" ht="13.2">
      <c r="D767" s="44"/>
      <c r="E767" s="44"/>
      <c r="F767" s="44"/>
      <c r="H767" s="267"/>
      <c r="I767" s="267"/>
    </row>
    <row r="768" spans="1:9" ht="12.75" customHeight="1">
      <c r="B768" s="616" t="s">
        <v>131</v>
      </c>
      <c r="D768" s="1010" t="s">
        <v>1949</v>
      </c>
      <c r="E768" s="1010"/>
      <c r="F768" s="1010"/>
      <c r="H768" s="267"/>
      <c r="I768" s="267"/>
    </row>
    <row r="769" spans="1:9" ht="13.2">
      <c r="D769" s="1010"/>
      <c r="E769" s="1010"/>
      <c r="F769" s="1010"/>
      <c r="H769" s="267"/>
      <c r="I769" s="267"/>
    </row>
    <row r="770" spans="1:9" ht="13.2">
      <c r="D770" s="1010"/>
      <c r="E770" s="1010"/>
      <c r="F770" s="1010"/>
      <c r="H770" s="267"/>
      <c r="I770" s="267"/>
    </row>
    <row r="771" spans="1:9" ht="13.2">
      <c r="D771" s="1010"/>
      <c r="E771" s="1010"/>
      <c r="F771" s="1010"/>
      <c r="H771" s="267"/>
      <c r="I771" s="267"/>
    </row>
    <row r="772" spans="1:9" ht="13.2">
      <c r="D772" s="44"/>
      <c r="H772" s="267"/>
      <c r="I772" s="267"/>
    </row>
    <row r="773" spans="1:9" ht="13.2">
      <c r="B773" s="616" t="s">
        <v>131</v>
      </c>
      <c r="C773" s="437"/>
      <c r="D773" s="1008" t="s">
        <v>1950</v>
      </c>
      <c r="E773" s="1021"/>
      <c r="F773" s="1021"/>
      <c r="G773" s="376"/>
      <c r="H773" s="267"/>
      <c r="I773" s="267"/>
    </row>
    <row r="774" spans="1:9" ht="13.2">
      <c r="A774" s="437"/>
      <c r="B774" s="437"/>
      <c r="C774" s="437"/>
      <c r="D774" s="1021"/>
      <c r="E774" s="1021"/>
      <c r="F774" s="1021"/>
      <c r="G774" s="376"/>
      <c r="H774" s="267"/>
      <c r="I774" s="267"/>
    </row>
    <row r="775" spans="1:9" ht="13.2">
      <c r="A775" s="437"/>
      <c r="B775" s="437"/>
      <c r="C775" s="437"/>
      <c r="D775" s="1021"/>
      <c r="E775" s="1021"/>
      <c r="F775" s="1021"/>
      <c r="G775" s="376"/>
      <c r="H775" s="267"/>
      <c r="I775" s="267"/>
    </row>
    <row r="776" spans="1:9" ht="13.2">
      <c r="D776" s="44"/>
      <c r="E776" s="44"/>
      <c r="F776" s="44"/>
      <c r="H776" s="267"/>
      <c r="I776" s="267"/>
    </row>
    <row r="777" spans="1:9" ht="13.2">
      <c r="B777" s="616" t="s">
        <v>131</v>
      </c>
      <c r="D777" s="975" t="s">
        <v>1515</v>
      </c>
      <c r="E777" s="975"/>
      <c r="F777" s="975"/>
      <c r="H777" s="267"/>
      <c r="I777" s="267"/>
    </row>
    <row r="778" spans="1:9" ht="13.2">
      <c r="D778" s="975"/>
      <c r="E778" s="975"/>
      <c r="F778" s="975"/>
      <c r="H778" s="267"/>
      <c r="I778" s="267"/>
    </row>
    <row r="779" spans="1:9" ht="13.2">
      <c r="D779" s="24"/>
      <c r="E779" s="24"/>
      <c r="F779" s="24"/>
      <c r="H779" s="267"/>
      <c r="I779" s="267"/>
    </row>
    <row r="780" spans="1:9" ht="13.65" customHeight="1">
      <c r="B780" s="616" t="s">
        <v>131</v>
      </c>
      <c r="D780" s="969" t="s">
        <v>1826</v>
      </c>
      <c r="E780" s="975"/>
      <c r="F780" s="975"/>
      <c r="H780" s="267"/>
      <c r="I780" s="267"/>
    </row>
    <row r="781" spans="1:9" ht="13.2">
      <c r="D781" s="975"/>
      <c r="E781" s="975"/>
      <c r="F781" s="975"/>
      <c r="H781" s="267"/>
      <c r="I781" s="267"/>
    </row>
    <row r="782" spans="1:9" ht="13.2">
      <c r="D782" s="975"/>
      <c r="E782" s="975"/>
      <c r="F782" s="975"/>
      <c r="H782" s="267"/>
      <c r="I782" s="267"/>
    </row>
    <row r="783" spans="1:9" ht="13.2">
      <c r="D783" s="24"/>
      <c r="E783" s="24"/>
      <c r="F783" s="24"/>
      <c r="H783" s="267"/>
      <c r="I783" s="267"/>
    </row>
    <row r="784" spans="1:9" ht="12" customHeight="1">
      <c r="A784" s="1020" t="s">
        <v>1660</v>
      </c>
      <c r="B784" s="1020"/>
      <c r="C784" s="1020"/>
      <c r="D784" s="1020"/>
      <c r="E784" s="1020"/>
      <c r="F784" s="1020"/>
      <c r="G784" s="1020"/>
      <c r="H784" s="267"/>
      <c r="I784" s="267"/>
    </row>
    <row r="785" spans="1:9" ht="13.2">
      <c r="A785" s="63"/>
      <c r="B785" s="63"/>
      <c r="H785" s="267"/>
      <c r="I785" s="267"/>
    </row>
    <row r="786" spans="1:9" ht="13.65" customHeight="1">
      <c r="A786" s="63"/>
      <c r="B786" s="63"/>
      <c r="D786" s="1048" t="s">
        <v>1661</v>
      </c>
      <c r="E786" s="1048"/>
      <c r="F786" s="1048"/>
      <c r="H786" s="267"/>
      <c r="I786" s="267"/>
    </row>
    <row r="787" spans="1:9" ht="13.2">
      <c r="A787" s="63"/>
      <c r="B787" s="63"/>
      <c r="D787" s="1005" t="s">
        <v>1662</v>
      </c>
      <c r="E787" s="1005"/>
      <c r="F787" s="1005"/>
      <c r="H787" s="267"/>
      <c r="I787" s="267"/>
    </row>
    <row r="788" spans="1:9" ht="13.2">
      <c r="A788" s="63"/>
      <c r="B788" s="63"/>
      <c r="D788" s="424"/>
      <c r="E788" s="424"/>
      <c r="F788" s="424"/>
      <c r="H788" s="267"/>
      <c r="I788" s="267"/>
    </row>
    <row r="789" spans="1:9" ht="13.2">
      <c r="A789" s="63"/>
      <c r="B789" s="616" t="s">
        <v>131</v>
      </c>
      <c r="D789" s="1021" t="s">
        <v>1663</v>
      </c>
      <c r="E789" s="1021"/>
      <c r="F789" s="1021"/>
      <c r="H789" s="267"/>
      <c r="I789" s="267"/>
    </row>
    <row r="790" spans="1:9" ht="13.2">
      <c r="A790" s="63"/>
      <c r="B790" s="63"/>
      <c r="D790" s="1021"/>
      <c r="E790" s="1021"/>
      <c r="F790" s="1021"/>
      <c r="H790" s="267"/>
      <c r="I790" s="267"/>
    </row>
    <row r="791" spans="1:9" ht="13.2">
      <c r="A791" s="191"/>
      <c r="B791" s="191"/>
      <c r="C791" s="191"/>
      <c r="D791" s="1021"/>
      <c r="E791" s="1021"/>
      <c r="F791" s="1021"/>
      <c r="G791" s="44"/>
      <c r="H791" s="267"/>
      <c r="I791" s="267"/>
    </row>
    <row r="792" spans="1:9" ht="13.2">
      <c r="D792" s="192"/>
      <c r="H792" s="267"/>
      <c r="I792" s="267"/>
    </row>
    <row r="793" spans="1:9" ht="13.2">
      <c r="A793" s="190"/>
      <c r="B793" s="616" t="s">
        <v>131</v>
      </c>
      <c r="C793" s="190"/>
      <c r="D793" s="1008" t="s">
        <v>2333</v>
      </c>
      <c r="E793" s="1021"/>
      <c r="F793" s="1021"/>
      <c r="H793" s="267"/>
      <c r="I793" s="267"/>
    </row>
    <row r="794" spans="1:9" ht="13.2">
      <c r="A794" s="190"/>
      <c r="B794" s="190"/>
      <c r="C794" s="190"/>
      <c r="D794" s="1021"/>
      <c r="E794" s="1021"/>
      <c r="F794" s="1021"/>
      <c r="H794" s="267"/>
      <c r="I794" s="267"/>
    </row>
    <row r="795" spans="1:9" ht="27.75" customHeight="1">
      <c r="A795" s="190"/>
      <c r="B795" s="190"/>
      <c r="C795" s="190"/>
      <c r="D795" s="1021"/>
      <c r="E795" s="1021"/>
      <c r="F795" s="1021"/>
      <c r="H795" s="267"/>
      <c r="I795" s="267"/>
    </row>
    <row r="796" spans="1:9" ht="13.2">
      <c r="A796" s="191"/>
      <c r="B796" s="191"/>
      <c r="C796" s="191"/>
      <c r="E796" s="188"/>
      <c r="F796" s="188"/>
      <c r="G796" s="188"/>
      <c r="H796" s="267"/>
      <c r="I796" s="267"/>
    </row>
    <row r="797" spans="1:9" ht="14.4" customHeight="1">
      <c r="A797" s="271"/>
      <c r="B797" s="616" t="s">
        <v>131</v>
      </c>
      <c r="C797" s="207"/>
      <c r="D797" s="1008" t="s">
        <v>1767</v>
      </c>
      <c r="E797" s="1008"/>
      <c r="F797" s="1008"/>
      <c r="G797" s="188"/>
      <c r="H797" s="267"/>
      <c r="I797" s="267"/>
    </row>
    <row r="798" spans="1:9" ht="14.4">
      <c r="A798" s="271"/>
      <c r="B798" s="271"/>
      <c r="C798" s="207"/>
      <c r="D798" s="1008"/>
      <c r="E798" s="1008"/>
      <c r="F798" s="1008"/>
      <c r="G798" s="188"/>
      <c r="H798" s="267"/>
      <c r="I798" s="267"/>
    </row>
    <row r="799" spans="1:9" ht="14.4">
      <c r="A799" s="271"/>
      <c r="B799" s="271"/>
      <c r="C799" s="207"/>
      <c r="D799" s="1008"/>
      <c r="E799" s="1008"/>
      <c r="F799" s="1008"/>
      <c r="G799" s="188"/>
      <c r="H799" s="267"/>
      <c r="I799" s="267"/>
    </row>
    <row r="800" spans="1:9" ht="14.4">
      <c r="A800" s="271"/>
      <c r="B800" s="271"/>
      <c r="C800" s="207"/>
      <c r="D800" s="44"/>
      <c r="G800" s="188"/>
      <c r="H800" s="267"/>
      <c r="I800" s="267"/>
    </row>
    <row r="801" spans="1:9" ht="14.25" customHeight="1">
      <c r="A801" s="271"/>
      <c r="B801" s="616" t="s">
        <v>131</v>
      </c>
      <c r="C801" s="207"/>
      <c r="D801" s="1021" t="s">
        <v>1664</v>
      </c>
      <c r="E801" s="1021"/>
      <c r="F801" s="1021"/>
      <c r="G801" s="188"/>
      <c r="H801" s="267"/>
      <c r="I801" s="267"/>
    </row>
    <row r="802" spans="1:9" ht="14.4">
      <c r="A802" s="271"/>
      <c r="B802" s="271"/>
      <c r="C802" s="207"/>
      <c r="D802" s="1021"/>
      <c r="E802" s="1021"/>
      <c r="F802" s="1021"/>
      <c r="G802" s="188"/>
      <c r="H802" s="267"/>
      <c r="I802" s="267"/>
    </row>
    <row r="803" spans="1:9" ht="14.4">
      <c r="A803" s="271"/>
      <c r="B803" s="271"/>
      <c r="C803" s="207"/>
      <c r="D803" s="1021"/>
      <c r="E803" s="1021"/>
      <c r="F803" s="1021"/>
      <c r="G803" s="188"/>
      <c r="H803" s="267"/>
      <c r="I803" s="267"/>
    </row>
    <row r="804" spans="1:9" ht="14.4">
      <c r="A804" s="271"/>
      <c r="B804" s="271"/>
      <c r="C804" s="207"/>
      <c r="D804" s="1021"/>
      <c r="E804" s="1021"/>
      <c r="F804" s="1021"/>
      <c r="G804" s="188"/>
      <c r="H804" s="267"/>
      <c r="I804" s="267"/>
    </row>
    <row r="805" spans="1:9" ht="14.4">
      <c r="A805" s="271"/>
      <c r="B805" s="271"/>
      <c r="C805" s="207"/>
      <c r="D805" s="1021"/>
      <c r="E805" s="1021"/>
      <c r="F805" s="1021"/>
      <c r="G805" s="188"/>
      <c r="H805" s="267"/>
      <c r="I805" s="267"/>
    </row>
    <row r="806" spans="1:9" ht="14.4">
      <c r="A806" s="271"/>
      <c r="B806" s="271"/>
      <c r="C806" s="207"/>
      <c r="D806" s="1008" t="s">
        <v>2104</v>
      </c>
      <c r="E806" s="1008"/>
      <c r="F806" s="1008"/>
      <c r="G806" s="188"/>
      <c r="H806" s="267"/>
      <c r="I806" s="267"/>
    </row>
    <row r="807" spans="1:9" ht="14.4">
      <c r="A807" s="271"/>
      <c r="B807" s="271"/>
      <c r="C807" s="207"/>
      <c r="D807" s="1008"/>
      <c r="E807" s="1008"/>
      <c r="F807" s="1008"/>
      <c r="G807" s="188"/>
      <c r="H807" s="267"/>
      <c r="I807" s="267"/>
    </row>
    <row r="808" spans="1:9" ht="14.4">
      <c r="A808" s="271"/>
      <c r="B808" s="271"/>
      <c r="C808" s="207"/>
      <c r="D808" s="1008"/>
      <c r="E808" s="1008"/>
      <c r="F808" s="1008"/>
      <c r="G808" s="188"/>
      <c r="H808" s="267"/>
      <c r="I808" s="267"/>
    </row>
    <row r="809" spans="1:9" ht="14.4">
      <c r="A809" s="271"/>
      <c r="C809" s="207"/>
      <c r="D809" s="800"/>
      <c r="E809" s="800"/>
      <c r="F809" s="800"/>
      <c r="G809" s="188"/>
      <c r="H809" s="267"/>
      <c r="I809" s="267"/>
    </row>
    <row r="810" spans="1:9" ht="14.4">
      <c r="A810" s="271"/>
      <c r="B810" s="616" t="s">
        <v>131</v>
      </c>
      <c r="C810" s="207"/>
      <c r="D810" s="1021" t="s">
        <v>1666</v>
      </c>
      <c r="E810" s="1021"/>
      <c r="F810" s="1021"/>
      <c r="G810" s="188"/>
      <c r="H810" s="267"/>
      <c r="I810" s="267"/>
    </row>
    <row r="811" spans="1:9" ht="14.4">
      <c r="A811" s="271"/>
      <c r="B811" s="271"/>
      <c r="C811" s="207"/>
      <c r="D811" s="1021"/>
      <c r="E811" s="1021"/>
      <c r="F811" s="1021"/>
      <c r="G811" s="188"/>
      <c r="H811" s="267"/>
      <c r="I811" s="267"/>
    </row>
    <row r="812" spans="1:9" ht="14.4">
      <c r="A812" s="271"/>
      <c r="B812" s="271"/>
      <c r="C812" s="207"/>
      <c r="D812" s="1021"/>
      <c r="E812" s="1021"/>
      <c r="F812" s="1021"/>
      <c r="G812" s="188"/>
      <c r="H812" s="267"/>
      <c r="I812" s="267"/>
    </row>
    <row r="813" spans="1:9" ht="14.4">
      <c r="A813" s="271"/>
      <c r="B813" s="271"/>
      <c r="C813" s="207"/>
      <c r="D813" s="1021"/>
      <c r="E813" s="1021"/>
      <c r="F813" s="1021"/>
      <c r="G813" s="188"/>
      <c r="H813" s="267"/>
      <c r="I813" s="267"/>
    </row>
    <row r="814" spans="1:9" ht="14.4">
      <c r="A814" s="271"/>
      <c r="B814" s="271"/>
      <c r="C814" s="207"/>
      <c r="D814" s="1021"/>
      <c r="E814" s="1021"/>
      <c r="F814" s="1021"/>
      <c r="G814" s="188"/>
      <c r="H814" s="267"/>
      <c r="I814" s="267"/>
    </row>
    <row r="815" spans="1:9" ht="14.4">
      <c r="A815" s="271"/>
      <c r="B815" s="271"/>
      <c r="C815" s="207"/>
      <c r="D815" s="1021"/>
      <c r="E815" s="1021"/>
      <c r="F815" s="1021"/>
      <c r="G815" s="188"/>
      <c r="H815" s="267"/>
      <c r="I815" s="267"/>
    </row>
    <row r="816" spans="1:9" ht="14.4">
      <c r="A816" s="271"/>
      <c r="B816" s="271"/>
      <c r="C816" s="207"/>
      <c r="D816" s="661"/>
      <c r="E816" s="661"/>
      <c r="F816" s="661"/>
      <c r="G816" s="188"/>
      <c r="H816" s="267"/>
      <c r="I816" s="267"/>
    </row>
    <row r="817" spans="1:9" ht="14.4">
      <c r="A817" s="271"/>
      <c r="B817" s="616" t="s">
        <v>131</v>
      </c>
      <c r="C817" s="207"/>
      <c r="D817" s="1008" t="s">
        <v>1951</v>
      </c>
      <c r="E817" s="1021"/>
      <c r="F817" s="1021"/>
      <c r="G817" s="188"/>
      <c r="H817" s="267"/>
      <c r="I817" s="267"/>
    </row>
    <row r="818" spans="1:9" ht="14.4">
      <c r="A818" s="271"/>
      <c r="B818" s="271"/>
      <c r="C818" s="207"/>
      <c r="D818" s="1021"/>
      <c r="E818" s="1021"/>
      <c r="F818" s="1021"/>
      <c r="G818" s="188"/>
      <c r="H818" s="267"/>
      <c r="I818" s="267"/>
    </row>
    <row r="819" spans="1:9" ht="14.4">
      <c r="A819" s="271"/>
      <c r="B819" s="271"/>
      <c r="C819" s="207"/>
      <c r="D819" s="1021"/>
      <c r="E819" s="1021"/>
      <c r="F819" s="1021"/>
      <c r="G819" s="188"/>
      <c r="H819" s="267"/>
      <c r="I819" s="267"/>
    </row>
    <row r="820" spans="1:9" ht="14.4">
      <c r="A820" s="271"/>
      <c r="B820" s="271"/>
      <c r="C820" s="207"/>
      <c r="D820" s="1021"/>
      <c r="E820" s="1021"/>
      <c r="F820" s="1021"/>
      <c r="G820" s="188"/>
      <c r="H820" s="267"/>
      <c r="I820" s="267"/>
    </row>
    <row r="821" spans="1:9" ht="14.4">
      <c r="A821" s="271"/>
      <c r="B821" s="271"/>
      <c r="C821" s="207"/>
      <c r="D821" s="1021"/>
      <c r="E821" s="1021"/>
      <c r="F821" s="1021"/>
      <c r="G821" s="188"/>
      <c r="H821" s="267"/>
      <c r="I821" s="267"/>
    </row>
    <row r="822" spans="1:9" ht="14.4">
      <c r="A822" s="271"/>
      <c r="B822" s="271"/>
      <c r="C822" s="207"/>
      <c r="D822" s="661"/>
      <c r="E822" s="661"/>
      <c r="F822" s="661"/>
      <c r="G822" s="188"/>
      <c r="H822" s="267"/>
      <c r="I822" s="267"/>
    </row>
    <row r="823" spans="1:9" ht="14.4">
      <c r="A823" s="271"/>
      <c r="B823" s="616" t="s">
        <v>131</v>
      </c>
      <c r="C823" s="207"/>
      <c r="D823" s="1021" t="s">
        <v>1665</v>
      </c>
      <c r="E823" s="1021"/>
      <c r="F823" s="1021"/>
      <c r="G823" s="188"/>
      <c r="H823" s="267"/>
      <c r="I823" s="267"/>
    </row>
    <row r="824" spans="1:9" ht="14.4">
      <c r="A824" s="271"/>
      <c r="B824" s="271"/>
      <c r="C824" s="207"/>
      <c r="D824" s="1021"/>
      <c r="E824" s="1021"/>
      <c r="F824" s="1021"/>
      <c r="G824" s="188"/>
      <c r="H824" s="267"/>
      <c r="I824" s="267"/>
    </row>
    <row r="825" spans="1:9" ht="14.4">
      <c r="A825" s="271"/>
      <c r="B825" s="271"/>
      <c r="C825" s="207"/>
      <c r="D825" s="1021"/>
      <c r="E825" s="1021"/>
      <c r="F825" s="1021"/>
      <c r="G825" s="188"/>
      <c r="H825" s="267"/>
      <c r="I825" s="267"/>
    </row>
    <row r="826" spans="1:9" ht="14.4">
      <c r="A826" s="271"/>
      <c r="B826" s="271"/>
      <c r="C826" s="207"/>
      <c r="D826" s="1021"/>
      <c r="E826" s="1021"/>
      <c r="F826" s="1021"/>
      <c r="G826" s="188"/>
      <c r="H826" s="267"/>
      <c r="I826" s="267"/>
    </row>
    <row r="827" spans="1:9" ht="14.4">
      <c r="A827" s="271"/>
      <c r="B827" s="271"/>
      <c r="C827" s="207"/>
      <c r="D827" s="188"/>
      <c r="G827" s="188"/>
      <c r="H827" s="267"/>
      <c r="I827" s="267"/>
    </row>
    <row r="828" spans="1:9" ht="14.4">
      <c r="A828" s="271"/>
      <c r="B828" s="616" t="s">
        <v>131</v>
      </c>
      <c r="C828" s="207"/>
      <c r="D828" s="1029" t="s">
        <v>1668</v>
      </c>
      <c r="E828" s="1029"/>
      <c r="F828" s="1029"/>
      <c r="G828" s="188"/>
      <c r="H828" s="267"/>
      <c r="I828" s="267"/>
    </row>
    <row r="829" spans="1:9" ht="14.4">
      <c r="A829" s="271"/>
      <c r="B829" s="271"/>
      <c r="C829" s="207"/>
      <c r="D829" s="1029"/>
      <c r="E829" s="1029"/>
      <c r="F829" s="1029"/>
      <c r="G829" s="188"/>
      <c r="H829" s="267"/>
      <c r="I829" s="267"/>
    </row>
    <row r="830" spans="1:9" ht="13.2">
      <c r="A830" s="18"/>
      <c r="B830" s="18"/>
      <c r="C830" s="207"/>
      <c r="D830" s="1029"/>
      <c r="E830" s="1029"/>
      <c r="F830" s="1029"/>
      <c r="G830" s="188"/>
      <c r="H830" s="267"/>
      <c r="I830" s="267"/>
    </row>
    <row r="831" spans="1:9" ht="14.4">
      <c r="A831" s="271"/>
      <c r="B831" s="18"/>
      <c r="C831" s="207"/>
      <c r="D831" s="1029"/>
      <c r="E831" s="1029"/>
      <c r="F831" s="1029"/>
      <c r="G831" s="188"/>
      <c r="H831" s="267"/>
      <c r="I831" s="267"/>
    </row>
    <row r="832" spans="1:9" ht="14.4">
      <c r="A832" s="271"/>
      <c r="B832" s="18"/>
      <c r="C832" s="207"/>
      <c r="D832" s="1029"/>
      <c r="E832" s="1029"/>
      <c r="F832" s="1029"/>
      <c r="G832" s="188"/>
      <c r="H832" s="267"/>
      <c r="I832" s="267"/>
    </row>
    <row r="833" spans="1:9" ht="14.4">
      <c r="A833" s="271"/>
      <c r="B833" s="18"/>
      <c r="C833" s="207"/>
      <c r="D833" s="1029"/>
      <c r="E833" s="1029"/>
      <c r="F833" s="1029"/>
      <c r="G833" s="188"/>
      <c r="H833" s="267"/>
      <c r="I833" s="267"/>
    </row>
    <row r="834" spans="1:9" ht="14.4">
      <c r="A834" s="271"/>
      <c r="B834" s="18"/>
      <c r="C834" s="207"/>
      <c r="D834" s="660"/>
      <c r="E834" s="660"/>
      <c r="F834" s="660"/>
      <c r="G834" s="188"/>
      <c r="H834" s="267"/>
      <c r="I834" s="267"/>
    </row>
    <row r="835" spans="1:9" ht="14.4">
      <c r="A835" s="271"/>
      <c r="B835" s="616" t="s">
        <v>131</v>
      </c>
      <c r="C835" s="207"/>
      <c r="D835" s="1021" t="s">
        <v>1667</v>
      </c>
      <c r="E835" s="1021"/>
      <c r="F835" s="1021"/>
      <c r="G835" s="188"/>
      <c r="H835" s="267"/>
      <c r="I835" s="267"/>
    </row>
    <row r="836" spans="1:9" ht="14.4">
      <c r="A836" s="271"/>
      <c r="B836" s="271"/>
      <c r="C836" s="207"/>
      <c r="D836" s="1021"/>
      <c r="E836" s="1021"/>
      <c r="F836" s="1021"/>
      <c r="G836" s="188"/>
      <c r="H836" s="267"/>
      <c r="I836" s="267"/>
    </row>
    <row r="837" spans="1:9" ht="14.4">
      <c r="A837" s="271"/>
      <c r="B837" s="271"/>
      <c r="C837" s="207"/>
      <c r="D837" s="188"/>
      <c r="G837" s="188"/>
      <c r="H837" s="267"/>
      <c r="I837" s="267"/>
    </row>
    <row r="838" spans="1:9" ht="14.4">
      <c r="A838" s="271"/>
      <c r="B838" s="616" t="s">
        <v>131</v>
      </c>
      <c r="C838" s="207"/>
      <c r="D838" s="1029" t="s">
        <v>1669</v>
      </c>
      <c r="E838" s="1029"/>
      <c r="F838" s="1029"/>
      <c r="G838" s="188"/>
      <c r="H838" s="267"/>
      <c r="I838" s="267"/>
    </row>
    <row r="839" spans="1:9" ht="14.4">
      <c r="A839" s="271"/>
      <c r="B839" s="271"/>
      <c r="C839" s="207"/>
      <c r="D839" s="1029"/>
      <c r="E839" s="1029"/>
      <c r="F839" s="1029"/>
      <c r="G839" s="188"/>
      <c r="H839" s="267"/>
      <c r="I839" s="267"/>
    </row>
    <row r="840" spans="1:9" ht="13.2">
      <c r="A840" s="18"/>
      <c r="B840" s="18"/>
      <c r="C840" s="207"/>
      <c r="D840" s="188"/>
      <c r="G840" s="188"/>
      <c r="H840" s="267"/>
      <c r="I840" s="267"/>
    </row>
    <row r="841" spans="1:9" ht="13.2">
      <c r="A841" s="1000" t="s">
        <v>1968</v>
      </c>
      <c r="B841" s="1000"/>
      <c r="C841" s="1000"/>
      <c r="D841" s="1000"/>
      <c r="E841" s="1000"/>
      <c r="F841" s="1000"/>
      <c r="G841" s="1000"/>
      <c r="H841" s="267"/>
      <c r="I841" s="267"/>
    </row>
    <row r="842" spans="1:9" ht="13.2">
      <c r="A842" s="190"/>
      <c r="B842" s="190"/>
      <c r="C842" s="207"/>
      <c r="D842" s="188"/>
      <c r="E842" s="188"/>
      <c r="F842" s="188"/>
      <c r="G842" s="188"/>
      <c r="H842" s="267"/>
      <c r="I842" s="267"/>
    </row>
    <row r="843" spans="1:9" ht="14.4">
      <c r="A843" s="271"/>
      <c r="B843" s="271"/>
      <c r="D843" s="1002" t="s">
        <v>1583</v>
      </c>
      <c r="E843" s="1002"/>
      <c r="F843" s="1002"/>
      <c r="H843" s="267"/>
      <c r="I843" s="267"/>
    </row>
    <row r="844" spans="1:9" ht="14.4">
      <c r="A844" s="271"/>
      <c r="B844" s="271"/>
      <c r="D844" s="969" t="s">
        <v>1965</v>
      </c>
      <c r="E844" s="969"/>
      <c r="F844" s="969"/>
      <c r="H844" s="267"/>
      <c r="I844" s="267"/>
    </row>
    <row r="845" spans="1:9" ht="14.4">
      <c r="A845" s="271"/>
      <c r="B845" s="271"/>
      <c r="D845" s="24"/>
      <c r="E845" s="210"/>
      <c r="F845" s="210"/>
      <c r="H845" s="267"/>
      <c r="I845" s="267"/>
    </row>
    <row r="846" spans="1:9" ht="13.2">
      <c r="B846" s="616" t="s">
        <v>1438</v>
      </c>
      <c r="C846" s="207"/>
      <c r="D846" s="975" t="s">
        <v>1519</v>
      </c>
      <c r="E846" s="975"/>
      <c r="F846" s="975"/>
      <c r="H846" s="267"/>
      <c r="I846" s="267"/>
    </row>
    <row r="847" spans="1:9" ht="13.2">
      <c r="A847" s="18"/>
      <c r="B847" s="18"/>
      <c r="C847" s="207"/>
      <c r="D847" s="3" t="s">
        <v>1496</v>
      </c>
      <c r="E847" s="976" t="s">
        <v>2169</v>
      </c>
      <c r="F847" s="976"/>
      <c r="H847" s="267"/>
      <c r="I847" s="267"/>
    </row>
    <row r="848" spans="1:9" ht="13.2">
      <c r="A848" s="18"/>
      <c r="B848" s="18"/>
      <c r="C848" s="207"/>
      <c r="D848" s="213"/>
      <c r="H848" s="267"/>
      <c r="I848" s="267"/>
    </row>
    <row r="849" spans="1:9" ht="13.2">
      <c r="A849" s="18"/>
      <c r="B849" s="616" t="s">
        <v>131</v>
      </c>
      <c r="C849" s="207"/>
      <c r="D849" s="1038" t="s">
        <v>1748</v>
      </c>
      <c r="E849" s="1038"/>
      <c r="F849" s="1038"/>
      <c r="H849" s="267"/>
      <c r="I849" s="267"/>
    </row>
    <row r="850" spans="1:9" ht="13.2">
      <c r="A850" s="18"/>
      <c r="B850" s="18"/>
      <c r="C850" s="207"/>
      <c r="D850" s="1038"/>
      <c r="E850" s="1038"/>
      <c r="F850" s="1038"/>
      <c r="H850" s="267"/>
      <c r="I850" s="267"/>
    </row>
    <row r="851" spans="1:9" ht="13.2">
      <c r="A851" s="18"/>
      <c r="B851" s="18"/>
      <c r="C851" s="207"/>
      <c r="D851" s="1038"/>
      <c r="E851" s="1038"/>
      <c r="F851" s="1038"/>
      <c r="H851" s="267"/>
      <c r="I851" s="267"/>
    </row>
    <row r="852" spans="1:9" ht="13.2">
      <c r="A852" s="18"/>
      <c r="B852" s="18"/>
      <c r="C852" s="207"/>
      <c r="D852" s="1038"/>
      <c r="E852" s="1038"/>
      <c r="F852" s="1038"/>
      <c r="H852" s="267"/>
      <c r="I852" s="267"/>
    </row>
    <row r="853" spans="1:9" ht="13.2">
      <c r="A853" s="18"/>
      <c r="B853" s="18"/>
      <c r="C853" s="207"/>
      <c r="D853" s="1038"/>
      <c r="E853" s="1038"/>
      <c r="F853" s="1038"/>
      <c r="H853" s="267"/>
      <c r="I853" s="267"/>
    </row>
    <row r="854" spans="1:9" ht="13.2">
      <c r="A854" s="18"/>
      <c r="B854" s="18"/>
      <c r="C854" s="207"/>
      <c r="D854" s="1038"/>
      <c r="E854" s="1038"/>
      <c r="F854" s="1038"/>
      <c r="H854" s="267"/>
      <c r="I854" s="267"/>
    </row>
    <row r="855" spans="1:9" ht="13.2">
      <c r="A855" s="18"/>
      <c r="B855" s="18"/>
      <c r="C855" s="207"/>
      <c r="D855" s="1038"/>
      <c r="E855" s="1038"/>
      <c r="F855" s="1038"/>
      <c r="H855" s="267"/>
      <c r="I855" s="267"/>
    </row>
    <row r="856" spans="1:9" ht="13.2">
      <c r="A856" s="18"/>
      <c r="B856" s="18"/>
      <c r="C856" s="207"/>
      <c r="D856" s="1038"/>
      <c r="E856" s="1038"/>
      <c r="F856" s="1038"/>
      <c r="H856" s="267"/>
      <c r="I856" s="267"/>
    </row>
    <row r="857" spans="1:9" ht="13.2">
      <c r="A857" s="18"/>
      <c r="B857" s="18"/>
      <c r="C857" s="207"/>
      <c r="D857" s="1038"/>
      <c r="E857" s="1038"/>
      <c r="F857" s="1038"/>
      <c r="H857" s="267"/>
      <c r="I857" s="267"/>
    </row>
    <row r="858" spans="1:9" ht="13.2">
      <c r="A858" s="18"/>
      <c r="B858" s="18"/>
      <c r="C858" s="207"/>
      <c r="D858" s="213"/>
      <c r="H858" s="267"/>
      <c r="I858" s="267"/>
    </row>
    <row r="859" spans="1:9" ht="14.4">
      <c r="A859" s="271"/>
      <c r="B859" s="616" t="s">
        <v>1438</v>
      </c>
      <c r="C859" s="207"/>
      <c r="D859" s="975" t="s">
        <v>1520</v>
      </c>
      <c r="E859" s="975"/>
      <c r="F859" s="975"/>
      <c r="H859" s="267"/>
      <c r="I859" s="267"/>
    </row>
    <row r="860" spans="1:9" ht="14.4">
      <c r="A860" s="271"/>
      <c r="B860" s="271"/>
      <c r="C860" s="207"/>
      <c r="D860" s="975"/>
      <c r="E860" s="975"/>
      <c r="F860" s="975"/>
      <c r="H860" s="267"/>
      <c r="I860" s="267"/>
    </row>
    <row r="861" spans="1:9" ht="14.4">
      <c r="A861" s="271"/>
      <c r="B861" s="271"/>
      <c r="C861" s="207"/>
      <c r="D861" s="975"/>
      <c r="E861" s="975"/>
      <c r="F861" s="975"/>
      <c r="H861" s="267"/>
      <c r="I861" s="267"/>
    </row>
    <row r="862" spans="1:9" ht="14.4">
      <c r="A862" s="271"/>
      <c r="B862" s="271"/>
      <c r="C862" s="207"/>
      <c r="D862" s="44"/>
      <c r="H862" s="267"/>
      <c r="I862" s="267"/>
    </row>
    <row r="863" spans="1:9" ht="13.2">
      <c r="A863" s="423"/>
      <c r="B863" s="616" t="s">
        <v>131</v>
      </c>
      <c r="C863" s="207"/>
      <c r="D863" s="1002" t="s">
        <v>1521</v>
      </c>
      <c r="E863" s="1002"/>
      <c r="F863" s="1002"/>
      <c r="H863" s="267"/>
      <c r="I863" s="267"/>
    </row>
    <row r="864" spans="1:9" ht="13.2">
      <c r="B864" s="423"/>
      <c r="C864" s="207"/>
      <c r="D864" s="1002"/>
      <c r="E864" s="1002"/>
      <c r="F864" s="1002"/>
      <c r="H864" s="267"/>
      <c r="I864" s="267"/>
    </row>
    <row r="865" spans="1:9" ht="14.25" customHeight="1">
      <c r="A865" s="271"/>
      <c r="C865" s="207"/>
      <c r="D865" s="975" t="s">
        <v>2267</v>
      </c>
      <c r="E865" s="975"/>
      <c r="F865" s="975"/>
      <c r="H865" s="267"/>
      <c r="I865" s="267"/>
    </row>
    <row r="866" spans="1:9" ht="14.4">
      <c r="A866" s="271"/>
      <c r="B866" s="271"/>
      <c r="C866" s="207"/>
      <c r="D866" s="975"/>
      <c r="E866" s="975"/>
      <c r="F866" s="975"/>
      <c r="H866" s="267"/>
      <c r="I866" s="267"/>
    </row>
    <row r="867" spans="1:9" ht="14.4">
      <c r="A867" s="271"/>
      <c r="B867" s="271"/>
      <c r="C867" s="207"/>
      <c r="D867" s="975"/>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25" customHeight="1">
      <c r="A870" s="271"/>
      <c r="B870" s="271"/>
      <c r="C870" s="207"/>
      <c r="D870" s="975"/>
      <c r="E870" s="975"/>
      <c r="F870" s="975"/>
      <c r="H870" s="267"/>
      <c r="I870" s="267"/>
    </row>
    <row r="871" spans="1:9" ht="14.4">
      <c r="A871" s="271"/>
      <c r="B871" s="271"/>
      <c r="C871" s="207"/>
      <c r="D871" s="44"/>
      <c r="H871" s="267"/>
      <c r="I871" s="267"/>
    </row>
    <row r="872" spans="1:9" ht="14.4">
      <c r="A872" s="271"/>
      <c r="B872" s="616" t="s">
        <v>131</v>
      </c>
      <c r="C872" s="207"/>
      <c r="D872" s="975" t="s">
        <v>1221</v>
      </c>
      <c r="E872" s="975"/>
      <c r="F872" s="975"/>
      <c r="H872" s="267"/>
      <c r="I872" s="267"/>
    </row>
    <row r="873" spans="1:9" ht="14.4">
      <c r="A873" s="271"/>
      <c r="B873" s="271"/>
      <c r="C873" s="207"/>
      <c r="D873" s="975" t="s">
        <v>1222</v>
      </c>
      <c r="E873" s="975"/>
      <c r="F873" s="975"/>
      <c r="H873" s="267"/>
      <c r="I873" s="267"/>
    </row>
    <row r="874" spans="1:9" ht="14.4">
      <c r="A874" s="271"/>
      <c r="B874" s="271"/>
      <c r="C874" s="207"/>
      <c r="D874" s="3" t="s">
        <v>1495</v>
      </c>
      <c r="E874" s="976" t="s">
        <v>2171</v>
      </c>
      <c r="F874" s="976"/>
      <c r="H874" s="267"/>
      <c r="I874" s="267"/>
    </row>
    <row r="875" spans="1:9" ht="14.4">
      <c r="A875" s="271"/>
      <c r="B875" s="271"/>
      <c r="C875" s="207"/>
      <c r="D875" s="44"/>
      <c r="H875" s="267"/>
      <c r="I875" s="267"/>
    </row>
    <row r="876" spans="1:9" ht="14.4">
      <c r="A876" s="271"/>
      <c r="B876" s="616" t="s">
        <v>131</v>
      </c>
      <c r="C876" s="207"/>
      <c r="D876" s="975" t="s">
        <v>1522</v>
      </c>
      <c r="E876" s="975"/>
      <c r="F876" s="975"/>
      <c r="H876" s="267"/>
      <c r="I876" s="267"/>
    </row>
    <row r="877" spans="1:9" ht="14.4">
      <c r="A877" s="271"/>
      <c r="B877" s="271"/>
      <c r="C877" s="207"/>
      <c r="D877" s="975"/>
      <c r="E877" s="975"/>
      <c r="F877" s="975"/>
      <c r="H877" s="267"/>
      <c r="I877" s="267"/>
    </row>
    <row r="878" spans="1:9" ht="14.4">
      <c r="A878" s="271"/>
      <c r="B878" s="271"/>
      <c r="C878" s="207"/>
      <c r="D878" s="975"/>
      <c r="E878" s="975"/>
      <c r="F878" s="975"/>
      <c r="H878" s="267"/>
      <c r="I878" s="267"/>
    </row>
    <row r="879" spans="1:9" ht="14.4">
      <c r="A879" s="271"/>
      <c r="B879" s="271"/>
      <c r="C879" s="207"/>
      <c r="D879" s="975"/>
      <c r="E879" s="975"/>
      <c r="F879" s="975"/>
      <c r="H879" s="267"/>
      <c r="I879" s="267"/>
    </row>
    <row r="880" spans="1:9" ht="13.2">
      <c r="A880" s="190"/>
      <c r="B880" s="190"/>
      <c r="C880" s="190"/>
      <c r="D880" s="44"/>
      <c r="H880" s="267"/>
      <c r="I880" s="267"/>
    </row>
    <row r="881" spans="1:9" ht="13.2">
      <c r="A881" s="272" t="s">
        <v>1464</v>
      </c>
      <c r="B881" s="272"/>
      <c r="C881" s="618"/>
      <c r="D881" s="618"/>
      <c r="E881" s="618"/>
      <c r="F881" s="618"/>
      <c r="G881" s="618"/>
      <c r="H881" s="267"/>
      <c r="I881" s="267"/>
    </row>
    <row r="882" spans="1:9" ht="13.2">
      <c r="A882" s="190"/>
      <c r="B882" s="190"/>
      <c r="C882" s="190"/>
      <c r="D882" s="212"/>
      <c r="H882" s="267"/>
      <c r="I882" s="267"/>
    </row>
    <row r="883" spans="1:9" ht="13.2">
      <c r="C883" s="191"/>
      <c r="D883" s="1001" t="s">
        <v>1582</v>
      </c>
      <c r="E883" s="1001"/>
      <c r="F883" s="1001"/>
      <c r="G883" s="188"/>
      <c r="H883" s="267"/>
      <c r="I883" s="267"/>
    </row>
    <row r="884" spans="1:9" ht="13.2">
      <c r="C884" s="191"/>
      <c r="D884" s="1046" t="s">
        <v>1966</v>
      </c>
      <c r="E884" s="1047"/>
      <c r="F884" s="1047"/>
      <c r="G884" s="188"/>
      <c r="H884" s="267"/>
      <c r="I884" s="267"/>
    </row>
    <row r="885" spans="1:9" ht="13.2">
      <c r="C885" s="191"/>
      <c r="D885" s="647"/>
      <c r="E885" s="647"/>
      <c r="F885" s="647"/>
      <c r="G885" s="188"/>
      <c r="H885" s="267"/>
      <c r="I885" s="267"/>
    </row>
    <row r="886" spans="1:9" ht="14.4">
      <c r="A886" s="271"/>
      <c r="B886" s="616" t="s">
        <v>1438</v>
      </c>
      <c r="D886" s="995" t="s">
        <v>1541</v>
      </c>
      <c r="E886" s="995"/>
      <c r="F886" s="995"/>
      <c r="G886" s="188"/>
      <c r="H886" s="267"/>
      <c r="I886" s="267"/>
    </row>
    <row r="887" spans="1:9" ht="13.2">
      <c r="D887" s="3" t="s">
        <v>1495</v>
      </c>
      <c r="E887" s="1045" t="s">
        <v>2171</v>
      </c>
      <c r="F887" s="1045"/>
      <c r="G887" s="188"/>
    </row>
    <row r="888" spans="1:9" ht="13.2">
      <c r="D888" s="44"/>
      <c r="E888" s="188"/>
      <c r="F888" s="188"/>
      <c r="G888" s="188"/>
      <c r="H888" s="267"/>
      <c r="I888" s="267"/>
    </row>
    <row r="889" spans="1:9" ht="14.4">
      <c r="A889" s="271"/>
      <c r="B889" s="616" t="s">
        <v>1438</v>
      </c>
      <c r="D889" s="969" t="s">
        <v>1969</v>
      </c>
      <c r="E889" s="1022"/>
      <c r="F889" s="1022"/>
    </row>
    <row r="890" spans="1:9" ht="12.6" customHeight="1">
      <c r="D890" s="1022"/>
      <c r="E890" s="1022"/>
      <c r="F890" s="1022"/>
    </row>
    <row r="891" spans="1:9" ht="14.4">
      <c r="A891" s="271"/>
      <c r="B891" s="271"/>
      <c r="D891" s="44"/>
      <c r="E891" s="188"/>
      <c r="F891" s="188"/>
      <c r="G891" s="188"/>
      <c r="H891" s="267"/>
      <c r="I891" s="267"/>
    </row>
    <row r="892" spans="1:9" ht="13.2">
      <c r="B892" s="616" t="s">
        <v>131</v>
      </c>
      <c r="D892" s="1043" t="s">
        <v>1750</v>
      </c>
      <c r="E892" s="1043"/>
      <c r="F892" s="1043"/>
      <c r="G892" s="188"/>
      <c r="H892" s="267"/>
      <c r="I892" s="267"/>
    </row>
    <row r="893" spans="1:9" ht="29.4" customHeight="1">
      <c r="B893" s="572"/>
      <c r="D893" s="1043"/>
      <c r="E893" s="1043"/>
      <c r="F893" s="1043"/>
      <c r="G893" s="188"/>
      <c r="H893" s="267"/>
      <c r="I893" s="267"/>
    </row>
    <row r="894" spans="1:9" ht="14.4">
      <c r="A894" s="271"/>
      <c r="B894"/>
      <c r="D894" s="975" t="s">
        <v>2267</v>
      </c>
      <c r="E894" s="975"/>
      <c r="F894" s="975"/>
      <c r="G894" s="188"/>
      <c r="H894" s="267"/>
      <c r="I894" s="267"/>
    </row>
    <row r="895" spans="1:9" ht="14.4">
      <c r="A895" s="271"/>
      <c r="B895" s="271"/>
      <c r="D895" s="975"/>
      <c r="E895" s="975"/>
      <c r="F895" s="975"/>
      <c r="G895" s="188"/>
      <c r="H895" s="267"/>
      <c r="I895" s="267"/>
    </row>
    <row r="896" spans="1:9" ht="14.4">
      <c r="A896" s="271"/>
      <c r="B896" s="271"/>
      <c r="D896" s="975"/>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44"/>
      <c r="E900" s="188"/>
      <c r="F900" s="188"/>
      <c r="G900" s="188"/>
      <c r="H900" s="267"/>
      <c r="I900" s="267"/>
    </row>
    <row r="901" spans="1:9" ht="14.4">
      <c r="A901" s="271"/>
      <c r="B901" s="616" t="s">
        <v>131</v>
      </c>
      <c r="D901" s="999" t="s">
        <v>1221</v>
      </c>
      <c r="E901" s="999"/>
      <c r="F901" s="999"/>
      <c r="G901" s="188"/>
      <c r="H901" s="267"/>
      <c r="I901" s="267"/>
    </row>
    <row r="902" spans="1:9" ht="14.4">
      <c r="A902" s="271"/>
      <c r="B902" s="271"/>
      <c r="D902" s="999" t="s">
        <v>1222</v>
      </c>
      <c r="E902" s="999"/>
      <c r="F902" s="999"/>
      <c r="G902" s="188"/>
      <c r="H902" s="267"/>
      <c r="I902" s="267"/>
    </row>
    <row r="903" spans="1:9" ht="14.4">
      <c r="A903" s="271"/>
      <c r="B903" s="271"/>
      <c r="D903" s="3" t="s">
        <v>1542</v>
      </c>
      <c r="E903" s="1044" t="s">
        <v>2171</v>
      </c>
      <c r="F903" s="1044"/>
      <c r="G903" s="188"/>
      <c r="H903" s="267"/>
      <c r="I903" s="267"/>
    </row>
    <row r="904" spans="1:9" ht="14.4">
      <c r="A904" s="271"/>
      <c r="B904" s="271"/>
      <c r="D904" s="44"/>
      <c r="E904" s="188"/>
      <c r="F904" s="188"/>
      <c r="G904" s="188"/>
      <c r="H904" s="267"/>
      <c r="I904" s="267"/>
    </row>
    <row r="905" spans="1:9" ht="14.4">
      <c r="A905" s="271"/>
      <c r="B905" s="616" t="s">
        <v>131</v>
      </c>
      <c r="D905" s="975" t="s">
        <v>1522</v>
      </c>
      <c r="E905" s="975"/>
      <c r="F905" s="975"/>
      <c r="G905" s="188"/>
      <c r="H905" s="267"/>
      <c r="I905" s="267"/>
    </row>
    <row r="906" spans="1:9" ht="14.4">
      <c r="A906" s="271"/>
      <c r="B906" s="271"/>
      <c r="D906" s="975"/>
      <c r="E906" s="975"/>
      <c r="F906" s="975"/>
      <c r="G906" s="188"/>
      <c r="H906" s="267"/>
      <c r="I906" s="267"/>
    </row>
    <row r="907" spans="1:9" ht="14.4">
      <c r="A907" s="271"/>
      <c r="B907" s="271"/>
      <c r="D907" s="975"/>
      <c r="E907" s="975"/>
      <c r="F907" s="975"/>
      <c r="G907" s="188"/>
      <c r="H907" s="267"/>
      <c r="I907" s="267"/>
    </row>
    <row r="908" spans="1:9" ht="14.4">
      <c r="A908" s="271"/>
      <c r="B908" s="271"/>
      <c r="D908" s="975"/>
      <c r="E908" s="975"/>
      <c r="F908" s="975"/>
      <c r="G908" s="188"/>
      <c r="H908" s="267"/>
      <c r="I908" s="267"/>
    </row>
    <row r="909" spans="1:9" ht="13.2">
      <c r="A909" s="44"/>
      <c r="B909" s="44"/>
      <c r="C909" s="207"/>
      <c r="D909" s="188"/>
      <c r="E909" s="188"/>
      <c r="F909" s="188"/>
      <c r="G909" s="188"/>
      <c r="H909" s="267"/>
      <c r="I909" s="267"/>
    </row>
    <row r="910" spans="1:9" ht="13.2">
      <c r="A910" s="1000" t="s">
        <v>1465</v>
      </c>
      <c r="B910" s="1000"/>
      <c r="C910" s="1000"/>
      <c r="D910" s="1000"/>
      <c r="E910" s="1000"/>
      <c r="F910" s="1000"/>
      <c r="G910" s="1000"/>
      <c r="H910" s="267"/>
      <c r="I910" s="267"/>
    </row>
    <row r="911" spans="1:9" ht="13.2">
      <c r="A911" s="44"/>
      <c r="B911" s="44"/>
      <c r="C911" s="207"/>
      <c r="D911" s="188"/>
      <c r="E911" s="188"/>
      <c r="F911" s="188"/>
      <c r="G911" s="188"/>
      <c r="H911" s="267"/>
      <c r="I911" s="267"/>
    </row>
    <row r="912" spans="1:9" ht="13.2">
      <c r="C912" s="207"/>
      <c r="D912" s="1026" t="s">
        <v>1703</v>
      </c>
      <c r="E912" s="1026"/>
      <c r="F912" s="1026"/>
      <c r="G912" s="188"/>
      <c r="H912" s="267"/>
      <c r="I912" s="267"/>
    </row>
    <row r="913" spans="1:9" ht="13.2">
      <c r="A913" s="190"/>
      <c r="B913" s="190"/>
      <c r="C913" s="190"/>
      <c r="D913" s="995" t="s">
        <v>1540</v>
      </c>
      <c r="E913" s="995"/>
      <c r="F913" s="995"/>
      <c r="G913" s="188"/>
      <c r="H913" s="267"/>
      <c r="I913" s="267"/>
    </row>
    <row r="914" spans="1:9" ht="13.2">
      <c r="A914" s="190"/>
      <c r="B914" s="190"/>
      <c r="C914" s="190"/>
      <c r="F914" s="188"/>
      <c r="G914" s="188"/>
      <c r="H914" s="267"/>
      <c r="I914" s="267"/>
    </row>
    <row r="915" spans="1:9" ht="13.65" customHeight="1">
      <c r="A915" s="190"/>
      <c r="B915" s="616" t="s">
        <v>131</v>
      </c>
      <c r="C915" s="190"/>
      <c r="D915" s="1002" t="s">
        <v>1713</v>
      </c>
      <c r="E915" s="1002"/>
      <c r="F915" s="1002"/>
      <c r="G915" s="188"/>
      <c r="H915" s="267"/>
      <c r="I915" s="267"/>
    </row>
    <row r="916" spans="1:9" ht="13.2">
      <c r="A916" s="190"/>
      <c r="B916" s="190"/>
      <c r="C916" s="190"/>
      <c r="D916" s="1002"/>
      <c r="E916" s="1002"/>
      <c r="F916" s="1002"/>
      <c r="G916" s="188"/>
      <c r="H916" s="267"/>
      <c r="I916" s="267"/>
    </row>
    <row r="917" spans="1:9" ht="13.2">
      <c r="A917" s="190"/>
      <c r="B917" s="190"/>
      <c r="C917" s="190"/>
      <c r="D917" s="1002"/>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1"/>
      <c r="B920" s="191"/>
      <c r="C920" s="191"/>
      <c r="F920" s="188"/>
      <c r="G920" s="188"/>
      <c r="H920" s="267"/>
      <c r="I920" s="267"/>
    </row>
    <row r="921" spans="1:9" ht="14.25" customHeight="1">
      <c r="A921" s="271"/>
      <c r="B921" s="616" t="s">
        <v>1438</v>
      </c>
      <c r="C921" s="191"/>
      <c r="D921" s="976" t="s">
        <v>1799</v>
      </c>
      <c r="E921" s="976"/>
      <c r="F921" s="976"/>
      <c r="G921" s="188"/>
      <c r="H921" s="267"/>
      <c r="I921" s="267"/>
    </row>
    <row r="922" spans="1:9" ht="14.25" customHeight="1">
      <c r="A922" s="271"/>
      <c r="B922" s="271"/>
      <c r="C922" s="191"/>
      <c r="D922" s="976"/>
      <c r="E922" s="976"/>
      <c r="F922" s="976"/>
      <c r="G922" s="188"/>
      <c r="H922" s="267"/>
      <c r="I922" s="267"/>
    </row>
    <row r="923" spans="1:9" ht="14.25" customHeight="1">
      <c r="A923" s="271"/>
      <c r="B923" s="271"/>
      <c r="C923" s="191"/>
      <c r="D923" s="976"/>
      <c r="E923" s="976"/>
      <c r="F923" s="976"/>
      <c r="G923" s="188"/>
      <c r="H923" s="267"/>
      <c r="I923" s="267"/>
    </row>
    <row r="924" spans="1:9" ht="14.25" customHeight="1">
      <c r="A924" s="271"/>
      <c r="B924" s="271"/>
      <c r="C924" s="191"/>
      <c r="D924" s="976"/>
      <c r="E924" s="976"/>
      <c r="F924" s="976"/>
      <c r="G924" s="188"/>
      <c r="H924" s="267"/>
      <c r="I924" s="267"/>
    </row>
    <row r="925" spans="1:9" ht="14.25" customHeight="1">
      <c r="A925" s="191"/>
      <c r="B925" s="191"/>
      <c r="C925" s="191"/>
      <c r="D925" s="976"/>
      <c r="E925" s="976"/>
      <c r="F925" s="976"/>
      <c r="G925" s="188"/>
      <c r="H925" s="267"/>
      <c r="I925" s="267"/>
    </row>
    <row r="926" spans="1:9" ht="14.25" customHeight="1">
      <c r="A926" s="191"/>
      <c r="B926" s="19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3"/>
      <c r="F928" s="188"/>
      <c r="G928" s="188"/>
      <c r="H928" s="267"/>
      <c r="I928" s="267"/>
    </row>
    <row r="929" spans="1:9" s="324" customFormat="1" ht="14.25" customHeight="1">
      <c r="A929" s="359"/>
      <c r="B929" s="616" t="s">
        <v>131</v>
      </c>
      <c r="C929" s="360"/>
      <c r="D929" s="976" t="s">
        <v>1800</v>
      </c>
      <c r="E929" s="976"/>
      <c r="F929" s="976"/>
      <c r="G929" s="362"/>
      <c r="H929" s="363"/>
      <c r="I929" s="363"/>
    </row>
    <row r="930" spans="1:9" s="324" customFormat="1" ht="14.25" customHeight="1">
      <c r="A930" s="359"/>
      <c r="B930" s="359"/>
      <c r="C930" s="360"/>
      <c r="D930" s="976"/>
      <c r="E930" s="976"/>
      <c r="F930" s="976"/>
      <c r="G930" s="362"/>
      <c r="H930" s="363"/>
      <c r="I930" s="363"/>
    </row>
    <row r="931" spans="1:9" s="324" customFormat="1" ht="14.25" customHeight="1">
      <c r="A931" s="359"/>
      <c r="B931" s="359"/>
      <c r="C931" s="360"/>
      <c r="D931" s="976"/>
      <c r="E931" s="976"/>
      <c r="F931" s="976"/>
      <c r="G931" s="362"/>
      <c r="H931" s="363"/>
      <c r="I931" s="363"/>
    </row>
    <row r="932" spans="1:9" s="324" customFormat="1" ht="14.25" customHeight="1">
      <c r="A932" s="359"/>
      <c r="B932" s="359"/>
      <c r="C932" s="360"/>
      <c r="D932" s="976"/>
      <c r="E932" s="976"/>
      <c r="F932" s="976"/>
      <c r="G932" s="362"/>
      <c r="H932" s="363"/>
      <c r="I932" s="363"/>
    </row>
    <row r="933" spans="1:9" s="324" customFormat="1" ht="14.25" customHeight="1">
      <c r="A933" s="359"/>
      <c r="B933" s="359"/>
      <c r="C933" s="360"/>
      <c r="D933" s="976"/>
      <c r="E933" s="976"/>
      <c r="F933" s="976"/>
      <c r="G933" s="362"/>
      <c r="H933" s="363"/>
      <c r="I933" s="363"/>
    </row>
    <row r="934" spans="1:9" s="324" customFormat="1" ht="14.4">
      <c r="A934" s="359"/>
      <c r="B934" s="359"/>
      <c r="C934" s="360"/>
      <c r="D934" s="976"/>
      <c r="E934" s="976"/>
      <c r="F934" s="976"/>
      <c r="G934" s="362"/>
      <c r="H934" s="363"/>
      <c r="I934" s="363"/>
    </row>
    <row r="935" spans="1:9" s="324" customFormat="1" ht="14.25" customHeight="1">
      <c r="A935" s="359"/>
      <c r="B935" s="359"/>
      <c r="C935" s="360"/>
      <c r="D935" s="976"/>
      <c r="E935" s="976"/>
      <c r="F935" s="976"/>
      <c r="G935" s="362"/>
      <c r="H935" s="363"/>
      <c r="I935" s="363"/>
    </row>
    <row r="936" spans="1:9" s="324" customFormat="1" ht="14.25" customHeight="1">
      <c r="A936" s="359"/>
      <c r="B936" s="359"/>
      <c r="C936" s="360"/>
      <c r="D936" s="976"/>
      <c r="E936" s="976"/>
      <c r="F936" s="976"/>
      <c r="G936" s="362"/>
      <c r="H936" s="363"/>
      <c r="I936" s="363"/>
    </row>
    <row r="937" spans="1:9" s="324" customFormat="1" ht="14.25" customHeight="1">
      <c r="A937" s="359"/>
      <c r="B937" s="359"/>
      <c r="C937" s="360"/>
      <c r="D937" s="976"/>
      <c r="E937" s="976"/>
      <c r="F937" s="976"/>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024" t="s">
        <v>1714</v>
      </c>
      <c r="E939" s="1024"/>
      <c r="F939" s="1024"/>
      <c r="G939" s="188"/>
      <c r="H939" s="267"/>
      <c r="I939" s="267"/>
    </row>
    <row r="940" spans="1:9" ht="14.25" customHeight="1">
      <c r="A940" s="271"/>
      <c r="B940" s="271"/>
      <c r="C940" s="191"/>
      <c r="D940" s="1024"/>
      <c r="E940" s="1024"/>
      <c r="F940" s="1024"/>
      <c r="G940" s="188"/>
      <c r="H940" s="267"/>
      <c r="I940" s="267"/>
    </row>
    <row r="941" spans="1:9" ht="14.25" customHeight="1">
      <c r="A941" s="271"/>
      <c r="B941" s="271"/>
      <c r="C941" s="191"/>
      <c r="D941" s="1024"/>
      <c r="E941" s="1024"/>
      <c r="F941" s="1024"/>
      <c r="G941" s="188"/>
      <c r="H941" s="267"/>
      <c r="I941" s="267"/>
    </row>
    <row r="942" spans="1:9" ht="14.25" customHeight="1">
      <c r="A942" s="271"/>
      <c r="B942" s="271"/>
      <c r="C942" s="191"/>
      <c r="D942" s="1024"/>
      <c r="E942" s="1024"/>
      <c r="F942" s="1024"/>
      <c r="G942" s="188"/>
      <c r="H942" s="267"/>
      <c r="I942" s="267"/>
    </row>
    <row r="943" spans="1:9" ht="14.25" customHeight="1">
      <c r="A943" s="271"/>
      <c r="B943" s="271"/>
      <c r="C943" s="191"/>
      <c r="D943" s="1024"/>
      <c r="E943" s="1024"/>
      <c r="F943" s="1024"/>
      <c r="G943" s="188"/>
      <c r="H943" s="267"/>
      <c r="I943" s="267"/>
    </row>
    <row r="944" spans="1:9" ht="14.25" customHeight="1">
      <c r="A944" s="271"/>
      <c r="B944" s="271"/>
      <c r="C944" s="191"/>
      <c r="D944" s="1024"/>
      <c r="E944" s="1024"/>
      <c r="F944" s="1024"/>
      <c r="G944" s="188"/>
      <c r="H944" s="267"/>
      <c r="I944" s="267"/>
    </row>
    <row r="945" spans="1:9" ht="14.25" customHeight="1">
      <c r="A945" s="271"/>
      <c r="B945" s="271"/>
      <c r="C945" s="191"/>
      <c r="D945" s="1024"/>
      <c r="E945" s="1024"/>
      <c r="F945" s="1024"/>
      <c r="G945" s="188"/>
      <c r="H945" s="267"/>
      <c r="I945" s="267"/>
    </row>
    <row r="946" spans="1:9" ht="14.25" customHeight="1">
      <c r="A946" s="271"/>
      <c r="B946" s="271"/>
      <c r="C946" s="191"/>
      <c r="D946" s="377"/>
      <c r="F946" s="188"/>
      <c r="G946" s="188"/>
      <c r="H946" s="267"/>
      <c r="I946" s="267"/>
    </row>
    <row r="947" spans="1:9" s="452" customFormat="1" ht="14.4">
      <c r="A947" s="271"/>
      <c r="B947" s="616" t="s">
        <v>131</v>
      </c>
      <c r="C947" s="191"/>
      <c r="D947" s="976" t="s">
        <v>1715</v>
      </c>
      <c r="E947" s="976"/>
      <c r="F947" s="976"/>
      <c r="G947" s="188"/>
    </row>
    <row r="948" spans="1:9" s="452" customFormat="1" ht="14.4">
      <c r="A948" s="271"/>
      <c r="B948" s="271"/>
      <c r="C948" s="191"/>
      <c r="D948" s="976"/>
      <c r="E948" s="976"/>
      <c r="F948" s="976"/>
      <c r="G948" s="188"/>
    </row>
    <row r="949" spans="1:9" s="452" customFormat="1" ht="14.4">
      <c r="A949" s="271"/>
      <c r="B949" s="271"/>
      <c r="C949" s="191"/>
      <c r="D949" s="976"/>
      <c r="E949" s="976"/>
      <c r="F949" s="976"/>
      <c r="G949" s="188"/>
    </row>
    <row r="950" spans="1:9" s="452" customFormat="1" ht="14.4">
      <c r="A950" s="271"/>
      <c r="B950" s="271"/>
      <c r="C950" s="191"/>
      <c r="D950" s="976"/>
      <c r="E950" s="976"/>
      <c r="F950" s="976"/>
      <c r="G950" s="188"/>
    </row>
    <row r="951" spans="1:9" s="452" customFormat="1" ht="14.4">
      <c r="A951" s="271"/>
      <c r="B951" s="271"/>
      <c r="C951" s="191"/>
      <c r="D951" s="3"/>
      <c r="E951" s="5"/>
      <c r="F951" s="188"/>
      <c r="G951" s="188"/>
    </row>
    <row r="952" spans="1:9" ht="14.25" customHeight="1">
      <c r="A952" s="18"/>
      <c r="B952" s="18"/>
      <c r="C952" s="207"/>
      <c r="D952" s="975" t="s">
        <v>1716</v>
      </c>
      <c r="E952" s="975"/>
      <c r="F952" s="975"/>
      <c r="G952" s="188"/>
      <c r="H952" s="267"/>
      <c r="I952" s="267"/>
    </row>
    <row r="953" spans="1:9" ht="14.25" customHeight="1">
      <c r="A953" s="207"/>
      <c r="B953" s="207"/>
      <c r="C953" s="207"/>
      <c r="D953" s="975"/>
      <c r="E953" s="975"/>
      <c r="F953" s="975"/>
      <c r="G953" s="188"/>
      <c r="H953" s="267"/>
      <c r="I953" s="267"/>
    </row>
    <row r="954" spans="1:9" ht="14.25" customHeight="1">
      <c r="A954" s="207"/>
      <c r="B954" s="207"/>
      <c r="C954" s="207"/>
      <c r="D954" s="3"/>
      <c r="E954" s="188"/>
      <c r="F954" s="188"/>
      <c r="G954" s="188"/>
      <c r="H954" s="267"/>
      <c r="I954" s="267"/>
    </row>
    <row r="955" spans="1:9" ht="14.4">
      <c r="A955" s="271"/>
      <c r="B955" s="616" t="s">
        <v>131</v>
      </c>
      <c r="D955" s="975" t="s">
        <v>1717</v>
      </c>
      <c r="E955" s="975"/>
      <c r="F955" s="975"/>
    </row>
    <row r="956" spans="1:9" ht="13.2">
      <c r="D956" s="975"/>
      <c r="E956" s="975"/>
      <c r="F956" s="975"/>
    </row>
    <row r="957" spans="1:9" ht="14.25" customHeight="1">
      <c r="A957" s="207"/>
      <c r="B957" s="207"/>
      <c r="C957" s="207"/>
      <c r="D957" s="3"/>
      <c r="E957" s="188"/>
      <c r="F957" s="188"/>
      <c r="G957" s="188"/>
      <c r="H957" s="267"/>
      <c r="I957" s="267"/>
    </row>
    <row r="958" spans="1:9" ht="14.25" customHeight="1">
      <c r="A958" s="191"/>
      <c r="B958" s="191"/>
      <c r="C958" s="191"/>
      <c r="D958" s="1026" t="s">
        <v>1706</v>
      </c>
      <c r="E958" s="1026"/>
      <c r="F958" s="1026"/>
      <c r="G958" s="188"/>
      <c r="H958" s="267"/>
      <c r="I958" s="267"/>
    </row>
    <row r="959" spans="1:9" ht="14.25" customHeight="1">
      <c r="A959" s="191"/>
      <c r="B959" s="191"/>
      <c r="C959" s="191"/>
      <c r="D959" s="192"/>
      <c r="F959" s="188"/>
      <c r="G959" s="188"/>
      <c r="H959" s="267"/>
      <c r="I959" s="267"/>
    </row>
    <row r="960" spans="1:9" ht="14.4" customHeight="1">
      <c r="A960" s="271"/>
      <c r="B960" s="616" t="s">
        <v>1438</v>
      </c>
      <c r="C960" s="207"/>
      <c r="D960" s="1003" t="s">
        <v>1705</v>
      </c>
      <c r="E960" s="1003"/>
      <c r="F960" s="1003"/>
      <c r="G960" s="188"/>
      <c r="H960" s="267"/>
      <c r="I960" s="267"/>
    </row>
    <row r="961" spans="1:9" ht="13.2">
      <c r="A961" s="207"/>
      <c r="B961" s="207"/>
      <c r="C961" s="207"/>
      <c r="D961" s="1003"/>
      <c r="E961" s="1003"/>
      <c r="F961" s="1003"/>
      <c r="G961" s="188"/>
      <c r="H961" s="267"/>
      <c r="I961" s="267"/>
    </row>
    <row r="962" spans="1:9" ht="13.2">
      <c r="A962" s="207"/>
      <c r="B962" s="207"/>
      <c r="C962" s="207"/>
      <c r="D962" s="1003"/>
      <c r="E962" s="1003"/>
      <c r="F962" s="1003"/>
      <c r="G962" s="188"/>
      <c r="H962" s="267"/>
      <c r="I962" s="267"/>
    </row>
    <row r="963" spans="1:9" ht="13.2">
      <c r="A963" s="207"/>
      <c r="B963" s="207"/>
      <c r="C963" s="207"/>
      <c r="D963" s="1003"/>
      <c r="E963" s="1003"/>
      <c r="F963" s="1003"/>
      <c r="G963" s="188"/>
      <c r="H963" s="267"/>
      <c r="I963" s="267"/>
    </row>
    <row r="964" spans="1:9" ht="13.2">
      <c r="A964" s="207"/>
      <c r="B964" s="207"/>
      <c r="C964" s="207"/>
      <c r="D964" s="1003"/>
      <c r="E964" s="1003"/>
      <c r="F964" s="1003"/>
      <c r="G964" s="188"/>
      <c r="H964" s="267"/>
      <c r="I964" s="267"/>
    </row>
    <row r="965" spans="1:9" ht="13.2">
      <c r="A965" s="207"/>
      <c r="B965" s="207"/>
      <c r="C965" s="207"/>
      <c r="D965" s="1003"/>
      <c r="E965" s="1003"/>
      <c r="F965" s="1003"/>
      <c r="G965" s="188"/>
      <c r="H965" s="267"/>
      <c r="I965" s="267"/>
    </row>
    <row r="966" spans="1:9" ht="13.2">
      <c r="A966" s="207"/>
      <c r="B966" s="207"/>
      <c r="C966" s="207"/>
      <c r="D966" s="620"/>
      <c r="E966" s="620"/>
      <c r="F966" s="620"/>
      <c r="G966" s="188"/>
      <c r="H966" s="267"/>
      <c r="I966" s="267"/>
    </row>
    <row r="967" spans="1:9" ht="14.4" customHeight="1">
      <c r="A967" s="271"/>
      <c r="B967" s="616" t="s">
        <v>131</v>
      </c>
      <c r="C967" s="207"/>
      <c r="D967" s="1003" t="s">
        <v>1704</v>
      </c>
      <c r="E967" s="1003"/>
      <c r="F967" s="1003"/>
      <c r="G967" s="188"/>
      <c r="H967" s="267"/>
      <c r="I967" s="267"/>
    </row>
    <row r="968" spans="1:9" ht="13.2">
      <c r="A968" s="207"/>
      <c r="B968" s="207"/>
      <c r="C968" s="207"/>
      <c r="D968" s="1003"/>
      <c r="E968" s="1003"/>
      <c r="F968" s="1003"/>
      <c r="G968" s="188"/>
      <c r="H968" s="267"/>
      <c r="I968" s="267"/>
    </row>
    <row r="969" spans="1:9" ht="13.2">
      <c r="A969" s="207"/>
      <c r="B969" s="207"/>
      <c r="C969" s="207"/>
      <c r="D969" s="1003"/>
      <c r="E969" s="1003"/>
      <c r="F969" s="1003"/>
      <c r="G969" s="188"/>
      <c r="H969" s="267"/>
      <c r="I969" s="267"/>
    </row>
    <row r="970" spans="1:9" ht="13.2">
      <c r="A970" s="207"/>
      <c r="B970" s="207"/>
      <c r="C970" s="207"/>
      <c r="D970" s="1003"/>
      <c r="E970" s="1003"/>
      <c r="F970" s="1003"/>
      <c r="G970" s="188"/>
      <c r="H970" s="267"/>
      <c r="I970" s="267"/>
    </row>
    <row r="971" spans="1:9" ht="13.2">
      <c r="A971" s="207"/>
      <c r="B971" s="207"/>
      <c r="C971" s="207"/>
      <c r="D971" s="1003"/>
      <c r="E971" s="1003"/>
      <c r="F971" s="1003"/>
      <c r="G971" s="188"/>
      <c r="H971" s="267"/>
      <c r="I971" s="267"/>
    </row>
    <row r="972" spans="1:9" ht="13.2">
      <c r="A972" s="207"/>
      <c r="B972" s="207"/>
      <c r="C972" s="207"/>
      <c r="D972" s="375"/>
      <c r="E972" s="188"/>
      <c r="F972" s="188"/>
      <c r="G972" s="188"/>
      <c r="H972" s="267"/>
      <c r="I972" s="267"/>
    </row>
    <row r="973" spans="1:9" ht="14.4">
      <c r="A973" s="271"/>
      <c r="B973" s="616" t="s">
        <v>131</v>
      </c>
      <c r="C973" s="207"/>
      <c r="D973" s="1003" t="s">
        <v>1707</v>
      </c>
      <c r="E973" s="1003"/>
      <c r="F973" s="1003"/>
      <c r="G973" s="188"/>
      <c r="H973" s="267"/>
      <c r="I973" s="267"/>
    </row>
    <row r="974" spans="1:9" ht="13.2">
      <c r="A974" s="207"/>
      <c r="B974" s="207"/>
      <c r="C974" s="207"/>
      <c r="D974" s="1003"/>
      <c r="E974" s="1003"/>
      <c r="F974" s="1003"/>
      <c r="G974" s="188"/>
      <c r="H974" s="267"/>
      <c r="I974" s="267"/>
    </row>
    <row r="975" spans="1:9" ht="13.2">
      <c r="A975" s="207"/>
      <c r="B975" s="207"/>
      <c r="C975" s="207"/>
      <c r="D975" s="1003"/>
      <c r="E975" s="1003"/>
      <c r="F975" s="1003"/>
      <c r="G975" s="188"/>
      <c r="H975" s="267"/>
      <c r="I975" s="267"/>
    </row>
    <row r="976" spans="1:9" ht="13.2">
      <c r="A976" s="207"/>
      <c r="B976" s="207"/>
      <c r="C976" s="207"/>
      <c r="D976" s="1003"/>
      <c r="E976" s="1003"/>
      <c r="F976" s="1003"/>
      <c r="G976" s="188"/>
      <c r="H976" s="267"/>
      <c r="I976" s="267"/>
    </row>
    <row r="977" spans="1:9" ht="13.2">
      <c r="A977" s="207"/>
      <c r="B977" s="207"/>
      <c r="C977" s="207"/>
      <c r="D977" s="1003"/>
      <c r="E977" s="1003"/>
      <c r="F977" s="1003"/>
      <c r="G977" s="188"/>
      <c r="H977" s="267"/>
      <c r="I977" s="267"/>
    </row>
    <row r="978" spans="1:9" ht="13.2">
      <c r="A978" s="207"/>
      <c r="B978" s="207"/>
      <c r="C978" s="207"/>
      <c r="D978" s="375"/>
      <c r="E978" s="188"/>
      <c r="F978" s="188"/>
      <c r="G978" s="188"/>
      <c r="H978" s="267"/>
      <c r="I978" s="267"/>
    </row>
    <row r="979" spans="1:9" ht="14.4" customHeight="1">
      <c r="A979" s="271"/>
      <c r="B979" s="616" t="s">
        <v>131</v>
      </c>
      <c r="C979" s="207"/>
      <c r="D979" s="1003" t="s">
        <v>1708</v>
      </c>
      <c r="E979" s="1003"/>
      <c r="F979" s="1003"/>
      <c r="G979" s="188"/>
      <c r="H979" s="267"/>
      <c r="I979" s="267"/>
    </row>
    <row r="980" spans="1:9" ht="13.2">
      <c r="A980" s="207"/>
      <c r="B980" s="207"/>
      <c r="C980" s="207"/>
      <c r="D980" s="1003"/>
      <c r="E980" s="1003"/>
      <c r="F980" s="1003"/>
      <c r="G980" s="188"/>
      <c r="H980" s="267"/>
      <c r="I980" s="267"/>
    </row>
    <row r="981" spans="1:9" ht="13.2">
      <c r="A981" s="207"/>
      <c r="B981" s="207"/>
      <c r="C981" s="207"/>
      <c r="D981" s="1003"/>
      <c r="E981" s="1003"/>
      <c r="F981" s="1003"/>
      <c r="G981" s="188"/>
      <c r="H981" s="267"/>
      <c r="I981" s="267"/>
    </row>
    <row r="982" spans="1:9" ht="13.2">
      <c r="A982" s="207"/>
      <c r="B982" s="207"/>
      <c r="C982" s="207"/>
      <c r="D982" s="620"/>
      <c r="E982" s="620"/>
      <c r="F982" s="620"/>
      <c r="G982" s="188"/>
      <c r="H982" s="267"/>
      <c r="I982" s="267"/>
    </row>
    <row r="983" spans="1:9" ht="14.4">
      <c r="A983" s="271"/>
      <c r="B983" s="616" t="s">
        <v>131</v>
      </c>
      <c r="C983" s="207"/>
      <c r="D983" s="1003" t="s">
        <v>1709</v>
      </c>
      <c r="E983" s="1003"/>
      <c r="F983" s="1003"/>
      <c r="G983" s="188"/>
      <c r="H983" s="267"/>
      <c r="I983" s="267"/>
    </row>
    <row r="984" spans="1:9" ht="13.2">
      <c r="A984" s="207"/>
      <c r="B984" s="207"/>
      <c r="C984" s="207"/>
      <c r="D984" s="1003"/>
      <c r="E984" s="1003"/>
      <c r="F984" s="1003"/>
      <c r="G984" s="188"/>
      <c r="H984" s="267"/>
      <c r="I984" s="267"/>
    </row>
    <row r="985" spans="1:9" ht="13.2">
      <c r="A985" s="207"/>
      <c r="B985" s="207"/>
      <c r="C985" s="207"/>
      <c r="D985" s="375"/>
      <c r="E985" s="188"/>
      <c r="F985" s="188"/>
      <c r="G985" s="188"/>
      <c r="H985" s="267"/>
      <c r="I985" s="267"/>
    </row>
    <row r="986" spans="1:9" ht="13.2">
      <c r="A986" s="207"/>
      <c r="B986" s="616" t="s">
        <v>131</v>
      </c>
      <c r="C986" s="207"/>
      <c r="D986" s="975" t="s">
        <v>1710</v>
      </c>
      <c r="E986" s="975"/>
      <c r="F986" s="975"/>
      <c r="G986" s="188"/>
      <c r="H986" s="267"/>
      <c r="I986" s="267"/>
    </row>
    <row r="987" spans="1:9" ht="13.2">
      <c r="A987" s="207"/>
      <c r="B987" s="207"/>
      <c r="C987" s="207"/>
      <c r="D987" s="975"/>
      <c r="E987" s="975"/>
      <c r="F987" s="975"/>
      <c r="G987" s="188"/>
      <c r="H987" s="267"/>
      <c r="I987" s="267"/>
    </row>
    <row r="988" spans="1:9" ht="13.2">
      <c r="A988" s="207"/>
      <c r="B988" s="207"/>
      <c r="C988" s="207"/>
      <c r="D988" s="188"/>
      <c r="E988" s="188"/>
      <c r="F988" s="188"/>
      <c r="G988" s="188"/>
      <c r="H988" s="267"/>
      <c r="I988" s="267"/>
    </row>
    <row r="989" spans="1:9" ht="13.2">
      <c r="A989" s="207"/>
      <c r="B989" s="616" t="s">
        <v>131</v>
      </c>
      <c r="C989" s="207"/>
      <c r="D989" s="1031" t="s">
        <v>1843</v>
      </c>
      <c r="E989" s="1029"/>
      <c r="F989" s="1029"/>
      <c r="G989" s="188"/>
      <c r="H989" s="267"/>
      <c r="I989" s="267"/>
    </row>
    <row r="990" spans="1:9" ht="13.2">
      <c r="A990" s="207"/>
      <c r="B990" s="207"/>
      <c r="C990" s="207"/>
      <c r="D990" s="1031"/>
      <c r="E990" s="1029"/>
      <c r="F990" s="1029"/>
      <c r="G990" s="188"/>
      <c r="H990" s="267"/>
      <c r="I990" s="267"/>
    </row>
    <row r="991" spans="1:9" ht="13.2">
      <c r="A991" s="207"/>
      <c r="B991" s="207"/>
      <c r="C991" s="207"/>
      <c r="D991" s="1031"/>
      <c r="E991" s="1029"/>
      <c r="F991" s="1029"/>
      <c r="G991" s="188"/>
      <c r="H991" s="267"/>
      <c r="I991" s="267"/>
    </row>
    <row r="992" spans="1:9" ht="13.2">
      <c r="A992" s="207"/>
      <c r="B992" s="207"/>
      <c r="C992" s="207"/>
      <c r="D992" s="1029"/>
      <c r="E992" s="1029"/>
      <c r="F992" s="1029"/>
      <c r="G992" s="188"/>
      <c r="H992" s="267"/>
      <c r="I992" s="267"/>
    </row>
    <row r="993" spans="1:9" ht="13.2">
      <c r="A993" s="207"/>
      <c r="B993" s="207"/>
      <c r="C993" s="207"/>
      <c r="D993" s="44"/>
      <c r="E993" s="188"/>
      <c r="F993" s="188"/>
      <c r="G993" s="188"/>
      <c r="H993" s="267"/>
      <c r="I993" s="267"/>
    </row>
    <row r="994" spans="1:9" ht="13.2">
      <c r="A994" s="207"/>
      <c r="B994" s="616" t="s">
        <v>131</v>
      </c>
      <c r="C994" s="207"/>
      <c r="D994" s="995" t="s">
        <v>2268</v>
      </c>
      <c r="E994" s="995"/>
      <c r="F994" s="995"/>
      <c r="G994" s="188"/>
      <c r="H994" s="267"/>
      <c r="I994" s="267"/>
    </row>
    <row r="995" spans="1:9" ht="13.2">
      <c r="A995" s="207"/>
      <c r="B995" s="207"/>
      <c r="C995" s="207"/>
      <c r="D995" s="44"/>
      <c r="E995" s="188"/>
      <c r="F995" s="188"/>
      <c r="G995" s="188"/>
      <c r="H995" s="267"/>
      <c r="I995" s="267"/>
    </row>
    <row r="996" spans="1:9" ht="13.2">
      <c r="A996" s="207"/>
      <c r="B996" s="616" t="s">
        <v>131</v>
      </c>
      <c r="C996" s="207"/>
      <c r="D996" s="995" t="s">
        <v>2269</v>
      </c>
      <c r="E996" s="995"/>
      <c r="F996" s="995"/>
      <c r="G996" s="188"/>
      <c r="H996" s="267"/>
      <c r="I996" s="267"/>
    </row>
    <row r="997" spans="1:9" ht="12.75" customHeight="1">
      <c r="A997" s="207"/>
      <c r="B997" s="207"/>
      <c r="C997" s="207"/>
      <c r="D997" s="188"/>
      <c r="E997" s="188"/>
      <c r="F997" s="188"/>
      <c r="G997" s="188"/>
      <c r="H997" s="267"/>
      <c r="I997" s="267"/>
    </row>
    <row r="998" spans="1:9" ht="13.2">
      <c r="A998" s="207"/>
      <c r="C998" s="207"/>
      <c r="D998" s="1001" t="s">
        <v>1543</v>
      </c>
      <c r="E998" s="1001"/>
      <c r="F998" s="1001"/>
      <c r="G998" s="188"/>
      <c r="H998" s="267"/>
      <c r="I998" s="267"/>
    </row>
    <row r="999" spans="1:9" ht="13.2">
      <c r="A999" s="207"/>
      <c r="C999" s="207"/>
      <c r="D999" s="192"/>
      <c r="E999" s="188"/>
      <c r="F999" s="188"/>
      <c r="G999" s="188"/>
      <c r="H999" s="267"/>
      <c r="I999" s="267"/>
    </row>
    <row r="1000" spans="1:9" ht="14.4">
      <c r="A1000" s="271"/>
      <c r="B1000" s="616" t="s">
        <v>131</v>
      </c>
      <c r="C1000" s="207"/>
      <c r="D1000" s="975" t="s">
        <v>1711</v>
      </c>
      <c r="E1000" s="975"/>
      <c r="F1000" s="975"/>
      <c r="G1000" s="188"/>
      <c r="H1000" s="267"/>
      <c r="I1000" s="267"/>
    </row>
    <row r="1001" spans="1:9" ht="13.2">
      <c r="A1001" s="207"/>
      <c r="B1001" s="207"/>
      <c r="C1001" s="207"/>
      <c r="D1001" s="975"/>
      <c r="E1001" s="975"/>
      <c r="F1001" s="975"/>
      <c r="G1001" s="188"/>
      <c r="H1001" s="267"/>
      <c r="I1001" s="267"/>
    </row>
    <row r="1002" spans="1:9" ht="13.2">
      <c r="A1002" s="207"/>
      <c r="B1002" s="207"/>
      <c r="C1002" s="207"/>
      <c r="D1002" s="975"/>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G1005" s="188"/>
      <c r="H1005" s="267"/>
      <c r="I1005" s="267"/>
    </row>
    <row r="1006" spans="1:9" ht="14.4">
      <c r="A1006" s="271"/>
      <c r="B1006" s="616" t="s">
        <v>1438</v>
      </c>
      <c r="C1006" s="207"/>
      <c r="D1006" s="975" t="s">
        <v>1712</v>
      </c>
      <c r="E1006" s="975"/>
      <c r="F1006" s="975"/>
      <c r="G1006" s="188"/>
      <c r="H1006" s="267"/>
      <c r="I1006" s="267"/>
    </row>
    <row r="1007" spans="1:9" ht="13.2">
      <c r="A1007" s="207"/>
      <c r="B1007" s="207"/>
      <c r="C1007" s="207"/>
      <c r="D1007" s="975"/>
      <c r="E1007" s="975"/>
      <c r="F1007" s="975"/>
      <c r="G1007" s="188"/>
      <c r="H1007" s="267"/>
      <c r="I1007" s="267"/>
    </row>
    <row r="1008" spans="1:9" ht="13.2">
      <c r="A1008" s="207"/>
      <c r="B1008" s="207"/>
      <c r="C1008" s="207"/>
      <c r="D1008" s="975"/>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188"/>
      <c r="E1011" s="188"/>
      <c r="F1011" s="188"/>
      <c r="G1011" s="188"/>
      <c r="H1011" s="267"/>
      <c r="I1011" s="267"/>
    </row>
    <row r="1012" spans="1:9" ht="13.2">
      <c r="A1012" s="207"/>
      <c r="B1012" s="207"/>
      <c r="C1012" s="207"/>
      <c r="D1012" s="1001" t="s">
        <v>1544</v>
      </c>
      <c r="E1012" s="1001"/>
      <c r="F1012" s="1001"/>
      <c r="G1012" s="188"/>
      <c r="H1012" s="267"/>
      <c r="I1012" s="267"/>
    </row>
    <row r="1013" spans="1:9" ht="13.2">
      <c r="A1013" s="207"/>
      <c r="B1013" s="207"/>
      <c r="C1013" s="207"/>
      <c r="D1013" s="192"/>
      <c r="E1013" s="188"/>
      <c r="F1013" s="188"/>
      <c r="G1013" s="188"/>
      <c r="H1013" s="267"/>
      <c r="I1013" s="267"/>
    </row>
    <row r="1014" spans="1:9" ht="14.4">
      <c r="A1014" s="271"/>
      <c r="B1014" s="616" t="s">
        <v>1438</v>
      </c>
      <c r="C1014" s="207"/>
      <c r="D1014" s="975" t="s">
        <v>1718</v>
      </c>
      <c r="E1014" s="975"/>
      <c r="F1014" s="975"/>
      <c r="G1014" s="188"/>
      <c r="H1014" s="267"/>
      <c r="I1014" s="267"/>
    </row>
    <row r="1015" spans="1:9" ht="13.2">
      <c r="A1015" s="207"/>
      <c r="B1015" s="207"/>
      <c r="C1015" s="207"/>
      <c r="D1015" s="975"/>
      <c r="E1015" s="975"/>
      <c r="F1015" s="975"/>
      <c r="G1015" s="188"/>
      <c r="H1015" s="267"/>
      <c r="I1015" s="267"/>
    </row>
    <row r="1016" spans="1:9" ht="13.2">
      <c r="A1016" s="207"/>
      <c r="B1016" s="207"/>
      <c r="C1016" s="207"/>
      <c r="D1016" s="975"/>
      <c r="E1016" s="975"/>
      <c r="F1016" s="975"/>
      <c r="G1016" s="188"/>
      <c r="H1016" s="267"/>
      <c r="I1016" s="267"/>
    </row>
    <row r="1017" spans="1:9" ht="13.2">
      <c r="A1017" s="207"/>
      <c r="B1017" s="207"/>
      <c r="C1017" s="207"/>
      <c r="G1017" s="188"/>
      <c r="H1017" s="267"/>
      <c r="I1017" s="267"/>
    </row>
    <row r="1018" spans="1:9" ht="14.4">
      <c r="A1018" s="271"/>
      <c r="B1018" s="616" t="s">
        <v>131</v>
      </c>
      <c r="C1018" s="207"/>
      <c r="D1018" s="975" t="s">
        <v>1719</v>
      </c>
      <c r="E1018" s="975"/>
      <c r="F1018" s="975"/>
      <c r="G1018" s="188"/>
      <c r="H1018" s="267"/>
      <c r="I1018" s="267"/>
    </row>
    <row r="1019" spans="1:9" ht="13.2">
      <c r="A1019" s="207"/>
      <c r="B1019" s="207"/>
      <c r="C1019" s="207"/>
      <c r="D1019" s="975"/>
      <c r="E1019" s="975"/>
      <c r="F1019" s="975"/>
      <c r="G1019" s="188"/>
      <c r="H1019" s="267"/>
      <c r="I1019" s="267"/>
    </row>
    <row r="1020" spans="1:9" ht="13.2">
      <c r="A1020" s="207"/>
      <c r="B1020" s="207"/>
      <c r="C1020" s="207"/>
      <c r="D1020" s="975"/>
      <c r="E1020" s="975"/>
      <c r="F1020" s="975"/>
      <c r="G1020" s="188"/>
      <c r="H1020" s="267"/>
      <c r="I1020" s="267"/>
    </row>
    <row r="1021" spans="1:9" ht="13.2">
      <c r="A1021" s="207"/>
      <c r="B1021" s="207"/>
      <c r="C1021" s="207"/>
      <c r="D1021" s="44"/>
      <c r="E1021" s="188"/>
      <c r="F1021" s="188"/>
      <c r="G1021" s="188"/>
      <c r="H1021" s="267"/>
      <c r="I1021" s="267"/>
    </row>
    <row r="1022" spans="1:9" ht="13.2">
      <c r="A1022" s="207"/>
      <c r="B1022" s="207"/>
      <c r="C1022" s="207"/>
      <c r="D1022" s="1001" t="s">
        <v>1545</v>
      </c>
      <c r="E1022" s="1001"/>
      <c r="F1022" s="1001"/>
      <c r="G1022" s="188"/>
      <c r="H1022" s="267"/>
      <c r="I1022" s="267"/>
    </row>
    <row r="1023" spans="1:9" ht="13.2">
      <c r="A1023" s="207"/>
      <c r="B1023" s="207"/>
      <c r="C1023" s="207"/>
      <c r="D1023" s="192"/>
      <c r="E1023" s="188"/>
      <c r="F1023" s="188"/>
      <c r="G1023" s="188"/>
      <c r="H1023" s="267"/>
      <c r="I1023" s="267"/>
    </row>
    <row r="1024" spans="1:9" ht="14.25" customHeight="1">
      <c r="A1024" s="271"/>
      <c r="B1024" s="616" t="s">
        <v>1438</v>
      </c>
      <c r="C1024" s="207"/>
      <c r="D1024" s="975" t="s">
        <v>1721</v>
      </c>
      <c r="E1024" s="975"/>
      <c r="F1024" s="975"/>
      <c r="G1024" s="24"/>
      <c r="H1024" s="209"/>
      <c r="I1024" s="209"/>
    </row>
    <row r="1025" spans="1:9" ht="13.2">
      <c r="A1025" s="207"/>
      <c r="B1025" s="207"/>
      <c r="C1025" s="207"/>
      <c r="D1025" s="975"/>
      <c r="E1025" s="975"/>
      <c r="F1025" s="975"/>
      <c r="G1025" s="24"/>
      <c r="H1025" s="209"/>
      <c r="I1025" s="209"/>
    </row>
    <row r="1026" spans="1:9" ht="13.2">
      <c r="A1026" s="207"/>
      <c r="B1026" s="207"/>
      <c r="C1026" s="207"/>
      <c r="D1026" s="975"/>
      <c r="E1026" s="975"/>
      <c r="F1026" s="975"/>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131</v>
      </c>
      <c r="C1028" s="207"/>
      <c r="D1028" s="975" t="s">
        <v>1720</v>
      </c>
      <c r="E1028" s="975"/>
      <c r="F1028" s="975"/>
      <c r="G1028" s="209"/>
      <c r="H1028" s="267"/>
      <c r="I1028" s="267"/>
    </row>
    <row r="1029" spans="1:9" ht="13.2">
      <c r="A1029" s="207"/>
      <c r="B1029" s="207"/>
      <c r="C1029" s="207"/>
      <c r="D1029" s="975"/>
      <c r="E1029" s="975"/>
      <c r="F1029" s="975"/>
      <c r="G1029" s="209"/>
      <c r="H1029" s="267"/>
      <c r="I1029" s="267"/>
    </row>
    <row r="1030" spans="1:9" ht="13.2">
      <c r="A1030" s="207"/>
      <c r="B1030" s="207"/>
      <c r="C1030" s="207"/>
      <c r="D1030" s="975"/>
      <c r="E1030" s="975"/>
      <c r="F1030" s="975"/>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3" t="s">
        <v>1722</v>
      </c>
      <c r="E1032" s="973"/>
      <c r="F1032" s="973"/>
      <c r="G1032" s="208"/>
      <c r="H1032" s="267"/>
      <c r="I1032" s="267"/>
    </row>
    <row r="1033" spans="1:9" ht="13.2">
      <c r="A1033" s="207"/>
      <c r="B1033" s="207"/>
      <c r="C1033" s="207"/>
      <c r="D1033" s="973"/>
      <c r="E1033" s="973"/>
      <c r="F1033" s="973"/>
      <c r="G1033" s="208"/>
      <c r="H1033" s="267"/>
      <c r="I1033" s="267"/>
    </row>
    <row r="1034" spans="1:9" ht="13.2">
      <c r="A1034" s="207"/>
      <c r="B1034" s="207"/>
      <c r="C1034" s="207"/>
      <c r="D1034" s="973"/>
      <c r="E1034" s="973"/>
      <c r="F1034" s="973"/>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75" t="s">
        <v>1723</v>
      </c>
      <c r="E1036" s="975"/>
      <c r="F1036" s="975"/>
      <c r="G1036" s="208"/>
      <c r="H1036" s="208"/>
      <c r="I1036" s="208"/>
    </row>
    <row r="1037" spans="1:9" ht="13.2">
      <c r="A1037" s="207"/>
      <c r="B1037" s="207"/>
      <c r="C1037" s="207"/>
      <c r="D1037" s="975"/>
      <c r="E1037" s="975"/>
      <c r="F1037" s="975"/>
      <c r="G1037" s="208"/>
      <c r="H1037" s="208"/>
      <c r="I1037" s="208"/>
    </row>
    <row r="1038" spans="1:9" ht="13.2">
      <c r="A1038" s="207"/>
      <c r="B1038" s="207"/>
      <c r="C1038" s="207"/>
      <c r="D1038" s="975"/>
      <c r="E1038" s="975"/>
      <c r="F1038" s="975"/>
      <c r="G1038" s="208"/>
      <c r="H1038" s="208"/>
      <c r="I1038" s="208"/>
    </row>
    <row r="1039" spans="1:9" ht="14.4">
      <c r="A1039" s="271"/>
      <c r="B1039" s="271"/>
      <c r="C1039" s="207"/>
      <c r="D1039" s="44"/>
      <c r="E1039" s="188"/>
      <c r="F1039" s="188"/>
      <c r="G1039" s="188"/>
      <c r="H1039" s="267"/>
      <c r="I1039" s="267"/>
    </row>
    <row r="1040" spans="1:9" ht="12.75" customHeight="1">
      <c r="A1040" s="207"/>
      <c r="B1040" s="616" t="s">
        <v>131</v>
      </c>
      <c r="C1040" s="207"/>
      <c r="D1040" s="975" t="s">
        <v>1724</v>
      </c>
      <c r="E1040" s="975"/>
      <c r="F1040" s="975"/>
      <c r="G1040" s="208"/>
      <c r="H1040" s="208"/>
      <c r="I1040" s="208"/>
    </row>
    <row r="1041" spans="1:9" ht="13.2">
      <c r="A1041" s="207"/>
      <c r="B1041" s="207"/>
      <c r="C1041" s="207"/>
      <c r="D1041" s="975"/>
      <c r="E1041" s="975"/>
      <c r="F1041" s="975"/>
      <c r="G1041" s="208"/>
      <c r="H1041" s="208"/>
      <c r="I1041" s="208"/>
    </row>
    <row r="1042" spans="1:9" ht="13.2">
      <c r="A1042" s="207"/>
      <c r="B1042" s="207"/>
      <c r="C1042" s="207"/>
      <c r="D1042" s="975"/>
      <c r="E1042" s="975"/>
      <c r="F1042" s="975"/>
      <c r="G1042" s="208"/>
      <c r="H1042" s="208"/>
      <c r="I1042" s="208"/>
    </row>
    <row r="1043" spans="1:9" ht="13.2">
      <c r="A1043" s="207"/>
      <c r="B1043" s="207"/>
      <c r="C1043" s="207"/>
      <c r="D1043" s="44"/>
      <c r="E1043" s="188"/>
      <c r="F1043" s="188"/>
      <c r="G1043" s="188"/>
      <c r="H1043" s="267"/>
      <c r="I1043" s="267"/>
    </row>
    <row r="1044" spans="1:9" ht="12.75" customHeight="1">
      <c r="A1044" s="207"/>
      <c r="B1044" s="616" t="s">
        <v>131</v>
      </c>
      <c r="C1044" s="207"/>
      <c r="D1044" s="975" t="s">
        <v>1546</v>
      </c>
      <c r="E1044" s="975"/>
      <c r="F1044" s="975"/>
      <c r="G1044" s="24"/>
      <c r="H1044" s="267"/>
      <c r="I1044" s="267"/>
    </row>
    <row r="1045" spans="1:9" ht="13.2">
      <c r="A1045" s="207"/>
      <c r="B1045" s="207"/>
      <c r="C1045" s="207"/>
      <c r="D1045" s="975"/>
      <c r="E1045" s="975"/>
      <c r="F1045" s="975"/>
      <c r="G1045" s="24"/>
      <c r="H1045" s="267"/>
      <c r="I1045" s="267"/>
    </row>
    <row r="1046" spans="1:9" ht="13.2">
      <c r="A1046" s="207"/>
      <c r="B1046" s="207"/>
      <c r="C1046" s="207"/>
      <c r="D1046" s="975"/>
      <c r="E1046" s="975"/>
      <c r="F1046" s="975"/>
      <c r="G1046" s="24"/>
      <c r="H1046" s="267"/>
      <c r="I1046" s="267"/>
    </row>
    <row r="1047" spans="1:9" ht="13.2">
      <c r="A1047" s="207"/>
      <c r="B1047" s="207"/>
      <c r="C1047" s="207"/>
      <c r="D1047" s="24"/>
      <c r="E1047" s="24"/>
      <c r="F1047" s="24"/>
      <c r="G1047" s="24"/>
      <c r="H1047" s="267"/>
      <c r="I1047" s="267"/>
    </row>
    <row r="1048" spans="1:9" ht="12.75" customHeight="1">
      <c r="A1048" s="207"/>
      <c r="B1048" s="616" t="s">
        <v>131</v>
      </c>
      <c r="C1048" s="207"/>
      <c r="D1048" s="975" t="s">
        <v>1547</v>
      </c>
      <c r="E1048" s="975"/>
      <c r="F1048" s="975"/>
      <c r="G1048" s="24"/>
      <c r="H1048" s="267"/>
      <c r="I1048" s="267"/>
    </row>
    <row r="1049" spans="1:9" ht="13.2">
      <c r="A1049" s="207"/>
      <c r="B1049" s="207"/>
      <c r="C1049" s="207"/>
      <c r="D1049" s="975"/>
      <c r="E1049" s="975"/>
      <c r="F1049" s="975"/>
      <c r="G1049" s="24"/>
      <c r="H1049" s="267"/>
      <c r="I1049" s="267"/>
    </row>
    <row r="1050" spans="1:9" ht="13.2">
      <c r="A1050" s="207"/>
      <c r="B1050" s="207"/>
      <c r="C1050" s="207"/>
      <c r="D1050" s="975"/>
      <c r="E1050" s="975"/>
      <c r="F1050" s="975"/>
      <c r="G1050" s="24"/>
      <c r="H1050" s="267"/>
      <c r="I1050" s="267"/>
    </row>
    <row r="1051" spans="1:9" ht="13.2">
      <c r="A1051" s="207"/>
      <c r="B1051" s="207"/>
      <c r="C1051" s="207"/>
      <c r="D1051" s="302"/>
      <c r="E1051" s="302"/>
      <c r="F1051" s="302"/>
      <c r="G1051" s="302"/>
      <c r="H1051" s="267"/>
      <c r="I1051" s="267"/>
    </row>
    <row r="1052" spans="1:9" ht="12.75" customHeight="1">
      <c r="A1052" s="207"/>
      <c r="B1052" s="616" t="s">
        <v>1438</v>
      </c>
      <c r="C1052" s="207"/>
      <c r="D1052" s="1019" t="s">
        <v>1170</v>
      </c>
      <c r="E1052" s="1019"/>
      <c r="F1052" s="1019"/>
      <c r="G1052" s="615"/>
      <c r="H1052" s="267"/>
      <c r="I1052" s="267"/>
    </row>
    <row r="1053" spans="1:9" ht="13.2">
      <c r="A1053" s="207"/>
      <c r="B1053" s="207"/>
      <c r="C1053" s="207"/>
      <c r="D1053" s="1019"/>
      <c r="E1053" s="1019"/>
      <c r="F1053" s="1019"/>
      <c r="G1053" s="615"/>
      <c r="H1053" s="267"/>
      <c r="I1053" s="267"/>
    </row>
    <row r="1054" spans="1:9" ht="13.2">
      <c r="A1054" s="207"/>
      <c r="B1054" s="207"/>
      <c r="C1054" s="207"/>
      <c r="D1054" s="1019"/>
      <c r="E1054" s="1019"/>
      <c r="F1054" s="1019"/>
      <c r="G1054" s="615"/>
      <c r="H1054" s="267"/>
      <c r="I1054" s="267"/>
    </row>
    <row r="1055" spans="1:9" ht="13.2">
      <c r="A1055" s="207"/>
      <c r="B1055" s="207"/>
      <c r="C1055" s="207"/>
      <c r="D1055" s="1019"/>
      <c r="E1055" s="1019"/>
      <c r="F1055" s="1019"/>
      <c r="G1055" s="615"/>
      <c r="H1055" s="267"/>
      <c r="I1055" s="267"/>
    </row>
    <row r="1056" spans="1:9" ht="13.2">
      <c r="A1056" s="207"/>
      <c r="B1056" s="207"/>
      <c r="C1056" s="207"/>
      <c r="D1056" s="1019"/>
      <c r="E1056" s="1019"/>
      <c r="F1056" s="1019"/>
      <c r="G1056" s="615"/>
      <c r="H1056" s="267"/>
      <c r="I1056" s="267"/>
    </row>
    <row r="1057" spans="1:9" ht="13.2">
      <c r="A1057" s="207"/>
      <c r="B1057" s="207"/>
      <c r="C1057" s="207"/>
      <c r="D1057" s="1019"/>
      <c r="E1057" s="1019"/>
      <c r="F1057" s="1019"/>
      <c r="G1057" s="615"/>
      <c r="H1057" s="267"/>
      <c r="I1057" s="267"/>
    </row>
    <row r="1058" spans="1:9" ht="13.2">
      <c r="A1058" s="207"/>
      <c r="B1058" s="207"/>
      <c r="C1058" s="207"/>
      <c r="D1058" s="1019"/>
      <c r="E1058" s="1019"/>
      <c r="F1058" s="1019"/>
      <c r="G1058" s="615"/>
      <c r="H1058" s="267"/>
      <c r="I1058" s="267"/>
    </row>
    <row r="1059" spans="1:9" ht="13.2">
      <c r="A1059" s="207"/>
      <c r="B1059" s="207"/>
      <c r="C1059" s="207"/>
      <c r="D1059" s="1019"/>
      <c r="E1059" s="1019"/>
      <c r="F1059" s="1019"/>
      <c r="G1059" s="615"/>
      <c r="H1059" s="267"/>
      <c r="I1059" s="267"/>
    </row>
    <row r="1060" spans="1:9" ht="13.2">
      <c r="A1060" s="207"/>
      <c r="B1060" s="207"/>
      <c r="C1060" s="207"/>
      <c r="D1060" s="1019"/>
      <c r="E1060" s="1019"/>
      <c r="F1060" s="1019"/>
      <c r="G1060" s="615"/>
      <c r="H1060" s="267"/>
      <c r="I1060" s="267"/>
    </row>
    <row r="1061" spans="1:9" ht="13.2">
      <c r="A1061" s="207"/>
      <c r="B1061" s="207"/>
      <c r="C1061" s="207"/>
      <c r="D1061" s="1019"/>
      <c r="E1061" s="1019"/>
      <c r="F1061" s="1019"/>
      <c r="G1061" s="615"/>
      <c r="H1061" s="267"/>
      <c r="I1061" s="267"/>
    </row>
    <row r="1062" spans="1:9" ht="27.6" customHeight="1">
      <c r="A1062" s="207"/>
      <c r="B1062" s="207"/>
      <c r="C1062" s="207"/>
      <c r="D1062" s="1019"/>
      <c r="E1062" s="1019"/>
      <c r="F1062" s="1019"/>
      <c r="G1062" s="615"/>
      <c r="H1062" s="267"/>
      <c r="I1062" s="267"/>
    </row>
    <row r="1063" spans="1:9" ht="13.2">
      <c r="A1063" s="207"/>
      <c r="B1063" s="207"/>
      <c r="C1063" s="207"/>
      <c r="D1063" s="422"/>
      <c r="E1063" s="422"/>
      <c r="F1063" s="422"/>
      <c r="G1063" s="422"/>
      <c r="H1063" s="267"/>
      <c r="I1063" s="267"/>
    </row>
    <row r="1064" spans="1:9" ht="12.75" customHeight="1">
      <c r="A1064" s="207"/>
      <c r="B1064" s="207"/>
      <c r="C1064" s="207"/>
      <c r="D1064" s="1001" t="s">
        <v>1548</v>
      </c>
      <c r="E1064" s="1001"/>
      <c r="F1064" s="1001"/>
      <c r="G1064" s="422"/>
      <c r="H1064" s="267"/>
      <c r="I1064" s="267"/>
    </row>
    <row r="1065" spans="1:9" ht="12.75" customHeight="1">
      <c r="A1065" s="207"/>
      <c r="B1065" s="207"/>
      <c r="C1065" s="207"/>
      <c r="D1065" s="192"/>
      <c r="E1065" s="422"/>
      <c r="F1065" s="422"/>
      <c r="G1065" s="422"/>
      <c r="H1065" s="267"/>
      <c r="I1065" s="267"/>
    </row>
    <row r="1066" spans="1:9" ht="14.4">
      <c r="A1066" s="271"/>
      <c r="B1066" s="616" t="s">
        <v>131</v>
      </c>
      <c r="C1066" s="207"/>
      <c r="D1066" s="969" t="s">
        <v>2321</v>
      </c>
      <c r="E1066" s="975"/>
      <c r="F1066" s="975"/>
      <c r="G1066" s="188"/>
      <c r="H1066" s="267"/>
      <c r="I1066" s="267"/>
    </row>
    <row r="1067" spans="1:9" ht="13.2">
      <c r="A1067" s="207"/>
      <c r="B1067" s="207"/>
      <c r="C1067" s="207"/>
      <c r="D1067" s="975"/>
      <c r="E1067" s="975"/>
      <c r="F1067" s="975"/>
      <c r="G1067" s="188"/>
      <c r="H1067" s="267"/>
      <c r="I1067" s="267"/>
    </row>
    <row r="1068" spans="1:9" ht="13.2">
      <c r="A1068" s="207"/>
      <c r="B1068" s="207"/>
      <c r="C1068" s="207"/>
      <c r="D1068" s="975"/>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188"/>
      <c r="E1070" s="188"/>
      <c r="F1070" s="188"/>
      <c r="G1070" s="188"/>
      <c r="H1070" s="267"/>
      <c r="I1070" s="267"/>
    </row>
    <row r="1071" spans="1:9" ht="14.4">
      <c r="A1071" s="271"/>
      <c r="B1071" s="616" t="s">
        <v>131</v>
      </c>
      <c r="C1071" s="207"/>
      <c r="D1071" s="969" t="s">
        <v>2322</v>
      </c>
      <c r="E1071" s="975"/>
      <c r="F1071" s="975"/>
      <c r="G1071" s="188"/>
      <c r="H1071" s="267"/>
      <c r="I1071" s="267"/>
    </row>
    <row r="1072" spans="1:9" ht="13.2">
      <c r="A1072" s="207"/>
      <c r="B1072" s="207"/>
      <c r="C1072" s="207"/>
      <c r="D1072" s="975"/>
      <c r="E1072" s="975"/>
      <c r="F1072" s="975"/>
      <c r="G1072" s="188"/>
      <c r="H1072" s="267"/>
      <c r="I1072" s="267"/>
    </row>
    <row r="1073" spans="1:9" ht="13.2">
      <c r="A1073" s="207"/>
      <c r="B1073" s="207"/>
      <c r="C1073" s="207"/>
      <c r="D1073" s="975"/>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188"/>
      <c r="E1075" s="188"/>
      <c r="F1075" s="188"/>
      <c r="G1075" s="188"/>
    </row>
    <row r="1076" spans="1:9" ht="13.2">
      <c r="A1076" s="207"/>
      <c r="B1076" s="616" t="s">
        <v>131</v>
      </c>
      <c r="C1076" s="207"/>
      <c r="D1076" s="1029" t="s">
        <v>1725</v>
      </c>
      <c r="E1076" s="1029"/>
      <c r="F1076" s="1029"/>
      <c r="G1076" s="188"/>
    </row>
    <row r="1077" spans="1:9" ht="13.2">
      <c r="A1077" s="207"/>
      <c r="B1077" s="207"/>
      <c r="C1077" s="207"/>
      <c r="D1077" s="1029"/>
      <c r="E1077" s="1029"/>
      <c r="F1077" s="1029"/>
      <c r="G1077" s="188"/>
    </row>
    <row r="1078" spans="1:9" ht="13.2">
      <c r="A1078" s="207"/>
      <c r="B1078" s="207"/>
      <c r="C1078" s="207"/>
      <c r="D1078" s="1029"/>
      <c r="E1078" s="1029"/>
      <c r="F1078" s="1029"/>
      <c r="G1078" s="188"/>
    </row>
    <row r="1079" spans="1:9" ht="13.2">
      <c r="A1079" s="207"/>
      <c r="B1079" s="207"/>
      <c r="C1079" s="207"/>
      <c r="D1079" s="188"/>
      <c r="E1079" s="188"/>
      <c r="F1079" s="188"/>
      <c r="G1079" s="188"/>
    </row>
    <row r="1080" spans="1:9" ht="14.4">
      <c r="A1080" s="271"/>
      <c r="B1080" s="616" t="s">
        <v>131</v>
      </c>
      <c r="C1080" s="433"/>
      <c r="D1080" s="1030" t="s">
        <v>2270</v>
      </c>
      <c r="E1080" s="1030"/>
      <c r="F1080" s="1030"/>
      <c r="G1080" s="453"/>
    </row>
    <row r="1081" spans="1:9" ht="13.2">
      <c r="A1081" s="433"/>
      <c r="B1081" s="433"/>
      <c r="C1081" s="433"/>
      <c r="D1081" s="1030"/>
      <c r="E1081" s="1030"/>
      <c r="F1081" s="1030"/>
      <c r="G1081" s="453"/>
    </row>
    <row r="1082" spans="1:9" ht="13.2">
      <c r="A1082" s="433"/>
      <c r="B1082" s="433"/>
      <c r="C1082" s="433"/>
      <c r="D1082" s="1030"/>
      <c r="E1082" s="1030"/>
      <c r="F1082" s="1030"/>
      <c r="G1082" s="453"/>
    </row>
    <row r="1083" spans="1:9" ht="13.2">
      <c r="A1083" s="207"/>
      <c r="B1083" s="207"/>
      <c r="C1083" s="207"/>
      <c r="D1083" s="188"/>
      <c r="E1083" s="188"/>
      <c r="F1083" s="188"/>
      <c r="G1083" s="188"/>
    </row>
    <row r="1084" spans="1:9" ht="13.2">
      <c r="C1084" s="207"/>
      <c r="D1084" s="1001" t="s">
        <v>1549</v>
      </c>
      <c r="E1084" s="1001"/>
      <c r="F1084" s="1001"/>
      <c r="G1084" s="188"/>
    </row>
    <row r="1085" spans="1:9" ht="13.2">
      <c r="C1085" s="207"/>
      <c r="D1085" s="192"/>
      <c r="E1085" s="188"/>
      <c r="F1085" s="188"/>
      <c r="G1085" s="188"/>
    </row>
    <row r="1086" spans="1:9" ht="13.2">
      <c r="A1086" s="207"/>
      <c r="B1086" s="616" t="s">
        <v>131</v>
      </c>
      <c r="C1086" s="207"/>
      <c r="D1086" s="975" t="s">
        <v>1726</v>
      </c>
      <c r="E1086" s="975"/>
      <c r="F1086" s="975"/>
      <c r="G1086" s="188"/>
    </row>
    <row r="1087" spans="1:9" ht="13.2">
      <c r="A1087" s="207"/>
      <c r="B1087" s="207"/>
      <c r="C1087" s="207"/>
      <c r="D1087" s="975"/>
      <c r="E1087" s="975"/>
      <c r="F1087" s="975"/>
      <c r="G1087" s="188"/>
    </row>
    <row r="1088" spans="1:9" ht="13.2">
      <c r="A1088" s="207"/>
      <c r="B1088" s="207"/>
      <c r="C1088" s="207"/>
      <c r="D1088" s="975"/>
      <c r="E1088" s="975"/>
      <c r="F1088" s="975"/>
      <c r="G1088" s="188"/>
    </row>
    <row r="1089" spans="1:7" ht="13.2">
      <c r="A1089" s="207"/>
      <c r="B1089" s="207"/>
      <c r="C1089" s="207"/>
      <c r="D1089" s="188"/>
      <c r="E1089" s="188"/>
      <c r="F1089" s="188"/>
      <c r="G1089" s="188"/>
    </row>
    <row r="1090" spans="1:7" ht="14.4">
      <c r="A1090" s="271"/>
      <c r="B1090" s="616" t="s">
        <v>131</v>
      </c>
      <c r="C1090" s="207"/>
      <c r="D1090" s="975" t="s">
        <v>1727</v>
      </c>
      <c r="E1090" s="975"/>
      <c r="F1090" s="975"/>
      <c r="G1090" s="188"/>
    </row>
    <row r="1091" spans="1:7" ht="13.2">
      <c r="A1091" s="207"/>
      <c r="B1091" s="207"/>
      <c r="C1091" s="207"/>
      <c r="D1091" s="975"/>
      <c r="E1091" s="975"/>
      <c r="F1091" s="975"/>
      <c r="G1091" s="188"/>
    </row>
    <row r="1092" spans="1:7" ht="13.2">
      <c r="A1092" s="207"/>
      <c r="B1092" s="207"/>
      <c r="C1092" s="207"/>
      <c r="D1092" s="975"/>
      <c r="E1092" s="975"/>
      <c r="F1092" s="975"/>
      <c r="G1092" s="188"/>
    </row>
    <row r="1093" spans="1:7" ht="13.2">
      <c r="A1093" s="207"/>
      <c r="B1093" s="207"/>
      <c r="C1093" s="207"/>
      <c r="D1093" s="188"/>
      <c r="E1093" s="188"/>
      <c r="F1093" s="188"/>
      <c r="G1093" s="188"/>
    </row>
    <row r="1094" spans="1:7" ht="13.2">
      <c r="A1094" s="207"/>
      <c r="B1094" s="207"/>
      <c r="C1094" s="207"/>
      <c r="D1094" s="1001" t="s">
        <v>1162</v>
      </c>
      <c r="E1094" s="1001"/>
      <c r="F1094" s="1001"/>
      <c r="G1094" s="188"/>
    </row>
    <row r="1095" spans="1:7" ht="13.2">
      <c r="A1095" s="207"/>
      <c r="B1095" s="207"/>
      <c r="C1095" s="207"/>
      <c r="D1095" s="995" t="s">
        <v>1550</v>
      </c>
      <c r="E1095" s="995"/>
      <c r="F1095" s="995"/>
      <c r="G1095" s="188"/>
    </row>
    <row r="1096" spans="1:7" ht="13.2">
      <c r="A1096" s="207"/>
      <c r="B1096" s="207"/>
      <c r="C1096" s="207"/>
      <c r="D1096" s="423"/>
      <c r="E1096" s="188"/>
      <c r="F1096" s="188"/>
      <c r="G1096" s="188"/>
    </row>
    <row r="1097" spans="1:7" ht="14.4">
      <c r="A1097" s="271"/>
      <c r="B1097" s="616" t="s">
        <v>131</v>
      </c>
      <c r="C1097" s="207"/>
      <c r="D1097" s="975" t="s">
        <v>1728</v>
      </c>
      <c r="E1097" s="975"/>
      <c r="F1097" s="975"/>
      <c r="G1097" s="188"/>
    </row>
    <row r="1098" spans="1:7" ht="13.2">
      <c r="A1098" s="207"/>
      <c r="B1098" s="207"/>
      <c r="C1098" s="207"/>
      <c r="D1098" s="975"/>
      <c r="E1098" s="975"/>
      <c r="F1098" s="975"/>
      <c r="G1098" s="188"/>
    </row>
    <row r="1099" spans="1:7" ht="13.2">
      <c r="A1099" s="207"/>
      <c r="B1099" s="207"/>
      <c r="C1099" s="207"/>
      <c r="D1099" s="188"/>
      <c r="E1099" s="188"/>
      <c r="F1099" s="188"/>
      <c r="G1099" s="188"/>
    </row>
    <row r="1100" spans="1:7" ht="14.4">
      <c r="A1100" s="271"/>
      <c r="B1100" s="616" t="s">
        <v>131</v>
      </c>
      <c r="C1100" s="207"/>
      <c r="D1100" s="975" t="s">
        <v>1729</v>
      </c>
      <c r="E1100" s="975"/>
      <c r="F1100" s="975"/>
      <c r="G1100" s="188"/>
    </row>
    <row r="1101" spans="1:7" ht="13.2">
      <c r="A1101" s="207"/>
      <c r="B1101" s="207"/>
      <c r="C1101" s="207"/>
      <c r="D1101" s="975"/>
      <c r="E1101" s="975"/>
      <c r="F1101" s="975"/>
      <c r="G1101" s="188"/>
    </row>
    <row r="1102" spans="1:7" ht="13.2">
      <c r="A1102" s="207"/>
      <c r="B1102" s="207"/>
      <c r="C1102" s="207"/>
      <c r="E1102" s="188"/>
      <c r="F1102" s="188"/>
      <c r="G1102" s="188"/>
    </row>
    <row r="1103" spans="1:7" ht="13.2">
      <c r="A1103" s="207"/>
      <c r="B1103" s="207"/>
      <c r="C1103" s="207"/>
      <c r="D1103" s="1001" t="s">
        <v>1551</v>
      </c>
      <c r="E1103" s="1001"/>
      <c r="F1103" s="1001"/>
      <c r="G1103" s="188"/>
    </row>
    <row r="1104" spans="1:7" ht="13.2">
      <c r="A1104" s="207"/>
      <c r="B1104" s="207"/>
      <c r="C1104" s="207"/>
      <c r="D1104" s="192"/>
      <c r="E1104" s="188"/>
      <c r="F1104" s="188"/>
      <c r="G1104" s="188"/>
    </row>
    <row r="1105" spans="1:7" ht="14.4">
      <c r="A1105" s="271"/>
      <c r="B1105" s="616" t="s">
        <v>131</v>
      </c>
      <c r="C1105" s="207"/>
      <c r="D1105" s="975" t="s">
        <v>1730</v>
      </c>
      <c r="E1105" s="975"/>
      <c r="F1105" s="975"/>
      <c r="G1105" s="188"/>
    </row>
    <row r="1106" spans="1:7" ht="13.2">
      <c r="A1106" s="207"/>
      <c r="B1106" s="207"/>
      <c r="C1106" s="207"/>
      <c r="D1106" s="975"/>
      <c r="E1106" s="975"/>
      <c r="F1106" s="975"/>
      <c r="G1106" s="188"/>
    </row>
    <row r="1107" spans="1:7" ht="13.2">
      <c r="A1107" s="207"/>
      <c r="B1107" s="207"/>
      <c r="C1107" s="207"/>
      <c r="D1107" s="975"/>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188"/>
      <c r="E1112" s="188"/>
      <c r="F1112" s="188"/>
      <c r="G1112" s="188"/>
    </row>
    <row r="1113" spans="1:7" ht="14.4">
      <c r="A1113" s="271"/>
      <c r="B1113" s="616" t="s">
        <v>131</v>
      </c>
      <c r="C1113" s="207"/>
      <c r="D1113" s="975" t="s">
        <v>1731</v>
      </c>
      <c r="E1113" s="975"/>
      <c r="F1113" s="975"/>
      <c r="G1113" s="188"/>
    </row>
    <row r="1114" spans="1:7" ht="13.2">
      <c r="A1114" s="207"/>
      <c r="B1114" s="207"/>
      <c r="C1114" s="207"/>
      <c r="D1114" s="975"/>
      <c r="E1114" s="975"/>
      <c r="F1114" s="975"/>
      <c r="G1114" s="188"/>
    </row>
    <row r="1115" spans="1:7" ht="13.2">
      <c r="A1115" s="207"/>
      <c r="B1115" s="207"/>
      <c r="C1115" s="207"/>
      <c r="D1115" s="975"/>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24"/>
      <c r="E1120" s="24"/>
      <c r="F1120" s="24"/>
      <c r="G1120" s="188"/>
    </row>
    <row r="1121" spans="1:7" ht="12.45" customHeight="1">
      <c r="A1121" s="207"/>
      <c r="B1121" s="616" t="s">
        <v>131</v>
      </c>
      <c r="C1121" s="207"/>
      <c r="D1121" s="1031" t="s">
        <v>1844</v>
      </c>
      <c r="E1121" s="1029"/>
      <c r="F1121" s="1029"/>
      <c r="G1121" s="188"/>
    </row>
    <row r="1122" spans="1:7" ht="12.45" customHeight="1">
      <c r="A1122" s="207"/>
      <c r="B1122" s="207"/>
      <c r="C1122" s="207"/>
      <c r="D1122" s="1029"/>
      <c r="E1122" s="1029"/>
      <c r="F1122" s="1029"/>
      <c r="G1122" s="188"/>
    </row>
    <row r="1123" spans="1:7" ht="13.2">
      <c r="A1123" s="207"/>
      <c r="B1123" s="207"/>
      <c r="C1123" s="207"/>
      <c r="D1123" s="1029"/>
      <c r="E1123" s="1029"/>
      <c r="F1123" s="1029"/>
      <c r="G1123" s="188"/>
    </row>
    <row r="1124" spans="1:7" ht="13.2">
      <c r="A1124" s="207"/>
      <c r="B1124" s="207"/>
      <c r="C1124" s="207"/>
      <c r="D1124" s="660"/>
      <c r="E1124" s="660"/>
      <c r="F1124" s="660"/>
      <c r="G1124" s="188"/>
    </row>
    <row r="1125" spans="1:7" ht="13.2">
      <c r="D1125" s="1001" t="s">
        <v>1552</v>
      </c>
      <c r="E1125" s="1001"/>
      <c r="F1125" s="1001"/>
    </row>
    <row r="1126" spans="1:7" ht="13.2">
      <c r="D1126" s="192"/>
    </row>
    <row r="1127" spans="1:7" ht="14.4">
      <c r="A1127" s="271"/>
      <c r="B1127" s="616" t="s">
        <v>1438</v>
      </c>
      <c r="D1127" s="975" t="s">
        <v>1732</v>
      </c>
      <c r="E1127" s="975"/>
      <c r="F1127" s="975"/>
    </row>
    <row r="1128" spans="1:7" ht="13.2">
      <c r="D1128" s="975"/>
      <c r="E1128" s="975"/>
      <c r="F1128" s="975"/>
    </row>
    <row r="1129" spans="1:7" ht="13.2"/>
    <row r="1130" spans="1:7" ht="14.4">
      <c r="A1130" s="271"/>
      <c r="B1130" s="616" t="s">
        <v>131</v>
      </c>
      <c r="D1130" s="975" t="s">
        <v>1733</v>
      </c>
      <c r="E1130" s="975"/>
      <c r="F1130" s="975"/>
    </row>
    <row r="1131" spans="1:7" ht="13.2">
      <c r="D1131" s="975"/>
      <c r="E1131" s="975"/>
      <c r="F1131" s="975"/>
    </row>
    <row r="1132" spans="1:7" ht="13.2"/>
    <row r="1133" spans="1:7" ht="13.2">
      <c r="D1133" s="1001" t="s">
        <v>1553</v>
      </c>
      <c r="E1133" s="1001"/>
      <c r="F1133" s="1001"/>
    </row>
    <row r="1134" spans="1:7" ht="13.2">
      <c r="D1134" s="192"/>
    </row>
    <row r="1135" spans="1:7" ht="14.4">
      <c r="A1135" s="271"/>
      <c r="B1135" s="616" t="s">
        <v>131</v>
      </c>
      <c r="D1135" s="995" t="s">
        <v>1734</v>
      </c>
      <c r="E1135" s="995"/>
      <c r="F1135" s="995"/>
    </row>
    <row r="1136" spans="1:7" ht="13.2"/>
    <row r="1137" spans="1:7" ht="14.4">
      <c r="A1137" s="271"/>
      <c r="B1137" s="616" t="s">
        <v>131</v>
      </c>
      <c r="D1137" s="975" t="s">
        <v>1735</v>
      </c>
      <c r="E1137" s="975"/>
      <c r="F1137" s="975"/>
    </row>
    <row r="1138" spans="1:7" ht="14.4">
      <c r="A1138" s="271"/>
      <c r="B1138" s="271"/>
      <c r="D1138" s="975"/>
      <c r="E1138" s="975"/>
      <c r="F1138" s="975"/>
    </row>
    <row r="1139" spans="1:7" ht="14.4">
      <c r="A1139" s="271"/>
      <c r="B1139" s="271"/>
      <c r="D1139" s="24"/>
      <c r="E1139" s="24"/>
      <c r="F1139" s="24"/>
      <c r="G1139"/>
    </row>
    <row r="1140" spans="1:7" ht="13.2">
      <c r="D1140" s="1001" t="s">
        <v>1745</v>
      </c>
      <c r="E1140" s="1001"/>
      <c r="F1140" s="1001"/>
      <c r="G1140"/>
    </row>
    <row r="1141" spans="1:7" ht="13.2">
      <c r="D1141" s="192"/>
      <c r="G1141"/>
    </row>
    <row r="1142" spans="1:7" ht="14.4" customHeight="1">
      <c r="A1142" s="271"/>
      <c r="B1142" s="616" t="s">
        <v>131</v>
      </c>
      <c r="D1142" s="969" t="s">
        <v>2323</v>
      </c>
      <c r="E1142" s="975"/>
      <c r="F1142" s="975"/>
      <c r="G1142"/>
    </row>
    <row r="1143" spans="1:7" ht="14.4">
      <c r="A1143" s="271"/>
      <c r="B1143" s="271"/>
      <c r="D1143" s="975"/>
      <c r="E1143" s="975"/>
      <c r="F1143" s="975"/>
      <c r="G1143"/>
    </row>
    <row r="1144" spans="1:7" ht="14.4">
      <c r="A1144" s="271"/>
      <c r="B1144" s="271"/>
      <c r="D1144" s="975"/>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38.25" customHeight="1">
      <c r="A1155" s="271"/>
      <c r="B1155" s="271"/>
      <c r="D1155" s="975"/>
      <c r="E1155" s="975"/>
      <c r="F1155" s="975"/>
    </row>
    <row r="1156" spans="1:7" ht="13.2"/>
    <row r="1157" spans="1:7" ht="13.2">
      <c r="A1157" s="1000" t="s">
        <v>1466</v>
      </c>
      <c r="B1157" s="1000"/>
      <c r="C1157" s="1000"/>
      <c r="D1157" s="1000"/>
      <c r="E1157" s="1000"/>
      <c r="F1157" s="1000"/>
      <c r="G1157" s="1000"/>
    </row>
    <row r="1158" spans="1:7" ht="13.2">
      <c r="A1158" s="44"/>
      <c r="B1158" s="44"/>
    </row>
    <row r="1159" spans="1:7" ht="13.2">
      <c r="C1159" s="207"/>
      <c r="D1159" s="1001" t="s">
        <v>1736</v>
      </c>
      <c r="E1159" s="1001"/>
      <c r="F1159" s="1001"/>
    </row>
    <row r="1160" spans="1:7" ht="13.2">
      <c r="A1160" s="190"/>
      <c r="B1160" s="190"/>
      <c r="C1160" s="190"/>
      <c r="D1160" s="994" t="s">
        <v>1557</v>
      </c>
      <c r="E1160" s="995"/>
      <c r="F1160" s="995"/>
    </row>
    <row r="1161" spans="1:7" ht="13.2">
      <c r="A1161" s="190"/>
      <c r="B1161" s="190"/>
      <c r="C1161" s="190"/>
      <c r="F1161" s="188"/>
      <c r="G1161"/>
    </row>
    <row r="1162" spans="1:7" ht="13.65" customHeight="1">
      <c r="B1162" s="616" t="s">
        <v>1438</v>
      </c>
      <c r="D1162" s="992" t="s">
        <v>2188</v>
      </c>
      <c r="E1162" s="992"/>
      <c r="F1162" s="992"/>
      <c r="G1162"/>
    </row>
    <row r="1163" spans="1:7" ht="13.2">
      <c r="D1163" s="992"/>
      <c r="E1163" s="992"/>
      <c r="F1163" s="992"/>
      <c r="G1163"/>
    </row>
    <row r="1164" spans="1:7" ht="13.2">
      <c r="D1164" s="15"/>
      <c r="E1164" s="934" t="s">
        <v>2189</v>
      </c>
      <c r="F1164" s="15"/>
      <c r="G1164"/>
    </row>
    <row r="1165" spans="1:7" ht="13.2">
      <c r="D1165" s="15"/>
      <c r="E1165" s="15"/>
      <c r="F1165" s="15"/>
      <c r="G1165"/>
    </row>
    <row r="1166" spans="1:7" ht="13.2">
      <c r="D1166" s="989" t="s">
        <v>2187</v>
      </c>
      <c r="E1166" s="989"/>
      <c r="F1166" s="989"/>
      <c r="G1166"/>
    </row>
    <row r="1167" spans="1:7" ht="13.2">
      <c r="A1167" s="191"/>
      <c r="B1167" s="191"/>
      <c r="C1167" s="191"/>
      <c r="D1167" s="989"/>
      <c r="E1167" s="989"/>
      <c r="F1167" s="989"/>
      <c r="G1167"/>
    </row>
    <row r="1168" spans="1:7" ht="14.4" customHeight="1">
      <c r="A1168" s="191"/>
      <c r="B1168" s="191"/>
      <c r="C1168" s="191"/>
      <c r="D1168" s="989"/>
      <c r="E1168" s="989"/>
      <c r="F1168" s="989"/>
      <c r="G1168"/>
    </row>
    <row r="1169" spans="1:7" ht="13.2">
      <c r="A1169" s="191"/>
      <c r="B1169" s="191"/>
      <c r="C1169" s="191"/>
      <c r="D1169" s="106"/>
      <c r="E1169" s="106"/>
      <c r="F1169" s="106"/>
      <c r="G1169"/>
    </row>
    <row r="1170" spans="1:7" ht="13.2">
      <c r="A1170" s="191"/>
      <c r="B1170" s="616" t="s">
        <v>131</v>
      </c>
      <c r="C1170" s="191"/>
      <c r="D1170" s="975" t="s">
        <v>1746</v>
      </c>
      <c r="E1170" s="975"/>
      <c r="F1170" s="975"/>
      <c r="G1170"/>
    </row>
    <row r="1171" spans="1:7" ht="13.2">
      <c r="A1171" s="191"/>
      <c r="B1171" s="191"/>
      <c r="C1171" s="191"/>
      <c r="D1171" s="975"/>
      <c r="E1171" s="975"/>
      <c r="F1171" s="975"/>
      <c r="G1171"/>
    </row>
    <row r="1172" spans="1:7" ht="13.2">
      <c r="A1172" s="191"/>
      <c r="B1172" s="191"/>
      <c r="C1172" s="191"/>
      <c r="D1172" s="975"/>
      <c r="E1172" s="975"/>
      <c r="F1172" s="975"/>
      <c r="G1172"/>
    </row>
    <row r="1173" spans="1:7" ht="13.2">
      <c r="A1173" s="191"/>
      <c r="B1173" s="191"/>
      <c r="C1173" s="191"/>
      <c r="D1173" s="975"/>
      <c r="E1173" s="975"/>
      <c r="F1173" s="975"/>
      <c r="G1173"/>
    </row>
    <row r="1174" spans="1:7" ht="13.2">
      <c r="A1174" s="191"/>
      <c r="B1174" s="191"/>
      <c r="C1174" s="191"/>
      <c r="D1174" s="24"/>
      <c r="E1174" s="24"/>
      <c r="F1174" s="24"/>
      <c r="G1174"/>
    </row>
    <row r="1175" spans="1:7" ht="13.2">
      <c r="A1175" s="191"/>
      <c r="B1175" s="616" t="s">
        <v>131</v>
      </c>
      <c r="C1175" s="191"/>
      <c r="D1175" s="969" t="s">
        <v>1827</v>
      </c>
      <c r="E1175" s="975"/>
      <c r="F1175" s="975"/>
      <c r="G1175"/>
    </row>
    <row r="1176" spans="1:7" ht="13.2">
      <c r="A1176" s="191"/>
      <c r="B1176" s="191"/>
      <c r="C1176" s="191"/>
      <c r="D1176" s="975"/>
      <c r="E1176" s="975"/>
      <c r="F1176" s="975"/>
      <c r="G1176"/>
    </row>
    <row r="1177" spans="1:7" ht="13.2">
      <c r="A1177" s="191"/>
      <c r="B1177" s="191"/>
      <c r="C1177" s="191"/>
      <c r="D1177" s="24"/>
      <c r="E1177" s="24"/>
      <c r="F1177" s="24"/>
      <c r="G1177"/>
    </row>
    <row r="1178" spans="1:7" ht="14.4">
      <c r="A1178" s="271"/>
      <c r="B1178" s="616" t="s">
        <v>131</v>
      </c>
      <c r="D1178" s="995" t="s">
        <v>1737</v>
      </c>
      <c r="E1178" s="995"/>
      <c r="F1178" s="995"/>
      <c r="G1178"/>
    </row>
    <row r="1179" spans="1:7" ht="13.2">
      <c r="G1179"/>
    </row>
    <row r="1180" spans="1:7" ht="14.4">
      <c r="A1180" s="271"/>
      <c r="B1180" s="616" t="s">
        <v>131</v>
      </c>
      <c r="D1180" s="995" t="s">
        <v>1738</v>
      </c>
      <c r="E1180" s="995"/>
      <c r="F1180" s="995"/>
      <c r="G1180"/>
    </row>
    <row r="1181" spans="1:7" ht="13.2">
      <c r="D1181" s="44"/>
      <c r="G1181"/>
    </row>
    <row r="1182" spans="1:7" ht="14.4">
      <c r="A1182" s="271"/>
      <c r="B1182" s="616" t="s">
        <v>1438</v>
      </c>
      <c r="D1182" s="995" t="s">
        <v>1739</v>
      </c>
      <c r="E1182" s="995"/>
      <c r="F1182" s="995"/>
      <c r="G1182"/>
    </row>
    <row r="1183" spans="1:7" ht="13.2">
      <c r="D1183" s="44"/>
      <c r="G1183"/>
    </row>
    <row r="1184" spans="1:7" ht="14.4">
      <c r="A1184" s="271"/>
      <c r="B1184" s="616" t="s">
        <v>131</v>
      </c>
      <c r="D1184" s="975" t="s">
        <v>1740</v>
      </c>
      <c r="E1184" s="975"/>
      <c r="F1184" s="975"/>
      <c r="G1184"/>
    </row>
    <row r="1185" spans="1:7" ht="14.4">
      <c r="A1185" s="271"/>
      <c r="B1185" s="271"/>
      <c r="D1185" s="975"/>
      <c r="E1185" s="975"/>
      <c r="F1185" s="975"/>
      <c r="G1185"/>
    </row>
    <row r="1186" spans="1:7" ht="14.4">
      <c r="A1186" s="271"/>
      <c r="B1186" s="271"/>
      <c r="D1186" s="44"/>
    </row>
    <row r="1187" spans="1:7" s="452" customFormat="1" ht="14.4">
      <c r="A1187" s="289"/>
      <c r="B1187" s="616" t="s">
        <v>131</v>
      </c>
      <c r="C1187" s="290"/>
      <c r="D1187" s="1021" t="s">
        <v>1741</v>
      </c>
      <c r="E1187" s="1021"/>
      <c r="F1187" s="1021"/>
      <c r="G1187" s="292"/>
    </row>
    <row r="1188" spans="1:7" s="452" customFormat="1" ht="13.2">
      <c r="A1188" s="290"/>
      <c r="B1188" s="290"/>
      <c r="C1188" s="290"/>
      <c r="D1188" s="1021"/>
      <c r="E1188" s="1021"/>
      <c r="F1188" s="1021"/>
      <c r="G1188" s="292"/>
    </row>
    <row r="1189" spans="1:7" s="452" customFormat="1" ht="13.2">
      <c r="A1189" s="290"/>
      <c r="B1189" s="290"/>
      <c r="C1189" s="290"/>
      <c r="D1189" s="291"/>
      <c r="E1189" s="292"/>
      <c r="F1189" s="292"/>
      <c r="G1189" s="292"/>
    </row>
    <row r="1190" spans="1:7" s="452" customFormat="1" ht="14.4">
      <c r="A1190" s="289"/>
      <c r="B1190" s="616" t="s">
        <v>1438</v>
      </c>
      <c r="C1190" s="290"/>
      <c r="D1190" s="1028" t="s">
        <v>1742</v>
      </c>
      <c r="E1190" s="1028"/>
      <c r="F1190" s="1028"/>
      <c r="G1190" s="292"/>
    </row>
    <row r="1191" spans="1:7" s="452" customFormat="1" ht="13.2">
      <c r="A1191" s="290"/>
      <c r="B1191" s="290"/>
      <c r="C1191" s="290"/>
      <c r="D1191" s="291"/>
      <c r="E1191" s="292"/>
      <c r="F1191" s="292"/>
      <c r="G1191" s="292"/>
    </row>
    <row r="1192" spans="1:7" ht="14.4">
      <c r="A1192" s="271"/>
      <c r="B1192" s="616" t="s">
        <v>131</v>
      </c>
      <c r="D1192" s="995" t="s">
        <v>1743</v>
      </c>
      <c r="E1192" s="995"/>
      <c r="F1192" s="995"/>
    </row>
    <row r="1193" spans="1:7" ht="14.4">
      <c r="A1193" s="271"/>
      <c r="B1193" s="271"/>
      <c r="D1193" s="44"/>
    </row>
    <row r="1194" spans="1:7" ht="14.4">
      <c r="A1194" s="271"/>
      <c r="B1194" s="616" t="s">
        <v>131</v>
      </c>
      <c r="D1194" s="975" t="s">
        <v>1744</v>
      </c>
      <c r="E1194" s="975"/>
      <c r="F1194" s="975"/>
    </row>
    <row r="1195" spans="1:7" ht="14.4">
      <c r="A1195" s="271"/>
      <c r="B1195" s="271"/>
      <c r="D1195" s="975"/>
      <c r="E1195" s="975"/>
      <c r="F1195" s="975"/>
    </row>
    <row r="1196" spans="1:7" ht="13.2"/>
    <row r="1197" spans="1:7" ht="13.2">
      <c r="A1197" s="1000" t="s">
        <v>2105</v>
      </c>
      <c r="B1197" s="1000"/>
      <c r="C1197" s="1000"/>
      <c r="D1197" s="1000"/>
      <c r="E1197" s="1000"/>
      <c r="F1197" s="1000"/>
      <c r="G1197" s="1000"/>
    </row>
    <row r="1198" spans="1:7" ht="13.2"/>
    <row r="1199" spans="1:7" ht="13.2">
      <c r="A1199" s="1000" t="s">
        <v>1467</v>
      </c>
      <c r="B1199" s="1000"/>
      <c r="C1199" s="1000"/>
      <c r="D1199" s="1000"/>
      <c r="E1199" s="1000"/>
      <c r="F1199" s="1000"/>
      <c r="G1199" s="1000"/>
    </row>
    <row r="1200" spans="1:7" ht="13.2"/>
    <row r="1201" spans="1:7" ht="13.2">
      <c r="D1201" s="1026" t="s">
        <v>1577</v>
      </c>
      <c r="E1201" s="1026"/>
      <c r="F1201" s="1026"/>
    </row>
    <row r="1202" spans="1:7" ht="13.2">
      <c r="D1202" s="1027" t="s">
        <v>2006</v>
      </c>
      <c r="E1202" s="1027"/>
      <c r="F1202" s="1027"/>
    </row>
    <row r="1203" spans="1:7" ht="13.2">
      <c r="A1203" s="190"/>
      <c r="B1203" s="190"/>
      <c r="C1203" s="190"/>
    </row>
    <row r="1204" spans="1:7" ht="14.4">
      <c r="A1204" s="271"/>
      <c r="B1204" s="271"/>
      <c r="C1204" s="191"/>
      <c r="D1204" s="1026" t="s">
        <v>1578</v>
      </c>
      <c r="E1204" s="1026"/>
      <c r="F1204" s="1026"/>
    </row>
    <row r="1205" spans="1:7" ht="13.2">
      <c r="B1205" s="616" t="s">
        <v>1438</v>
      </c>
      <c r="D1205" s="1028" t="s">
        <v>1579</v>
      </c>
      <c r="E1205" s="1028"/>
      <c r="F1205" s="1028"/>
    </row>
    <row r="1206" spans="1:7" ht="13.2">
      <c r="D1206" s="1027" t="s">
        <v>2007</v>
      </c>
      <c r="E1206" s="1027"/>
      <c r="F1206" s="1027"/>
    </row>
    <row r="1207" spans="1:7" ht="13.2">
      <c r="G1207"/>
    </row>
    <row r="1208" spans="1:7" ht="12.75" customHeight="1">
      <c r="B1208" s="616" t="s">
        <v>131</v>
      </c>
      <c r="D1208" s="1008" t="s">
        <v>1908</v>
      </c>
      <c r="E1208" s="1008"/>
      <c r="F1208" s="1008"/>
      <c r="G1208"/>
    </row>
    <row r="1209" spans="1:7" ht="13.2">
      <c r="D1209" s="1008"/>
      <c r="E1209" s="1008"/>
      <c r="F1209" s="1008"/>
      <c r="G1209"/>
    </row>
    <row r="1210" spans="1:7" ht="13.2">
      <c r="G1210"/>
    </row>
    <row r="1211" spans="1:7" ht="12.75" customHeight="1"/>
    <row r="1212" spans="1:7" ht="13.2">
      <c r="A1212" s="1000" t="s">
        <v>1469</v>
      </c>
      <c r="B1212" s="1000"/>
      <c r="C1212" s="1000"/>
      <c r="D1212" s="1000"/>
      <c r="E1212" s="1000"/>
      <c r="F1212" s="1000"/>
      <c r="G1212" s="1000"/>
    </row>
    <row r="1213" spans="1:7" ht="13.2">
      <c r="A1213" s="44"/>
      <c r="B1213" s="44"/>
    </row>
    <row r="1214" spans="1:7" ht="12.75" customHeight="1">
      <c r="A1214" s="44"/>
      <c r="B1214" s="44"/>
      <c r="D1214" s="1001" t="s">
        <v>1468</v>
      </c>
      <c r="E1214" s="1001"/>
      <c r="F1214" s="1001"/>
    </row>
    <row r="1215" spans="1:7" ht="12.75" customHeight="1">
      <c r="A1215" s="44"/>
      <c r="B1215" s="44"/>
      <c r="D1215" s="995" t="s">
        <v>1475</v>
      </c>
      <c r="E1215" s="995"/>
      <c r="F1215" s="995"/>
    </row>
    <row r="1216" spans="1:7" ht="12.75" customHeight="1">
      <c r="A1216" s="44"/>
      <c r="B1216" s="44"/>
    </row>
    <row r="1217" spans="1:7" ht="14.4">
      <c r="A1217" s="271"/>
      <c r="B1217" s="616" t="s">
        <v>131</v>
      </c>
      <c r="D1217" s="999" t="s">
        <v>1056</v>
      </c>
      <c r="E1217" s="999"/>
      <c r="F1217" s="999"/>
    </row>
    <row r="1218" spans="1:7" ht="13.2">
      <c r="D1218" s="995" t="s">
        <v>1179</v>
      </c>
      <c r="E1218" s="995"/>
      <c r="F1218" s="995"/>
    </row>
    <row r="1219" spans="1:7" ht="13.2">
      <c r="E1219" s="1012" t="s">
        <v>2190</v>
      </c>
      <c r="F1219" s="1012"/>
    </row>
    <row r="1220" spans="1:7" ht="13.2">
      <c r="D1220" s="3"/>
    </row>
    <row r="1221" spans="1:7" ht="13.2">
      <c r="D1221" s="1025" t="s">
        <v>1324</v>
      </c>
      <c r="E1221" s="1025"/>
      <c r="F1221" s="1025"/>
    </row>
    <row r="1222" spans="1:7" ht="13.2">
      <c r="B1222" s="616" t="s">
        <v>131</v>
      </c>
      <c r="D1222" s="969" t="s">
        <v>2191</v>
      </c>
      <c r="E1222" s="975"/>
      <c r="F1222" s="975"/>
      <c r="G1222"/>
    </row>
    <row r="1223" spans="1:7" ht="13.2">
      <c r="D1223" s="975"/>
      <c r="E1223" s="975"/>
      <c r="F1223" s="975"/>
      <c r="G1223"/>
    </row>
    <row r="1224" spans="1:7" ht="13.2">
      <c r="D1224" s="508" t="s">
        <v>1327</v>
      </c>
      <c r="E1224"/>
      <c r="F1224"/>
      <c r="G1224"/>
    </row>
    <row r="1225" spans="1:7" ht="13.65" customHeight="1">
      <c r="D1225" s="969" t="s">
        <v>2192</v>
      </c>
      <c r="E1225" s="975"/>
      <c r="F1225" s="975"/>
      <c r="G1225"/>
    </row>
    <row r="1226" spans="1:7" ht="13.2">
      <c r="D1226" s="975"/>
      <c r="E1226" s="975"/>
      <c r="F1226" s="975"/>
      <c r="G1226"/>
    </row>
    <row r="1227" spans="1:7" ht="13.2">
      <c r="D1227" s="975"/>
      <c r="E1227" s="975"/>
      <c r="F1227" s="975"/>
      <c r="G1227"/>
    </row>
    <row r="1228" spans="1:7" ht="13.2">
      <c r="D1228" s="975"/>
      <c r="E1228" s="975"/>
      <c r="F1228" s="975"/>
      <c r="G1228"/>
    </row>
    <row r="1229" spans="1:7" ht="13.2">
      <c r="D1229" s="1012" t="s">
        <v>1059</v>
      </c>
      <c r="E1229" s="1012"/>
      <c r="F1229" s="1012"/>
      <c r="G1229"/>
    </row>
    <row r="1230" spans="1:7" ht="13.2">
      <c r="B1230" s="616" t="s">
        <v>131</v>
      </c>
      <c r="D1230" s="999" t="s">
        <v>1325</v>
      </c>
      <c r="E1230" s="999"/>
      <c r="F1230" s="999"/>
      <c r="G1230"/>
    </row>
    <row r="1231" spans="1:7" ht="13.2">
      <c r="E1231"/>
      <c r="F1231"/>
      <c r="G1231"/>
    </row>
    <row r="1232" spans="1:7" ht="13.2">
      <c r="D1232" s="1007" t="s">
        <v>1326</v>
      </c>
      <c r="E1232" s="1007"/>
      <c r="F1232" s="1007"/>
      <c r="G1232"/>
    </row>
    <row r="1233" spans="1:7" ht="13.2">
      <c r="D1233" s="3" t="s">
        <v>1057</v>
      </c>
      <c r="E1233"/>
      <c r="F1233"/>
      <c r="G1233"/>
    </row>
    <row r="1234" spans="1:7" ht="14.4" customHeight="1">
      <c r="A1234" s="271"/>
      <c r="B1234" s="616" t="s">
        <v>131</v>
      </c>
      <c r="D1234" s="975" t="s">
        <v>1580</v>
      </c>
      <c r="E1234" s="975"/>
      <c r="F1234" s="975"/>
      <c r="G1234"/>
    </row>
    <row r="1235" spans="1:7" ht="14.4">
      <c r="A1235" s="271"/>
      <c r="B1235" s="271"/>
      <c r="D1235" s="975"/>
      <c r="E1235" s="975"/>
      <c r="F1235" s="975"/>
      <c r="G1235"/>
    </row>
    <row r="1236" spans="1:7" ht="14.4">
      <c r="A1236" s="271"/>
      <c r="B1236" s="271"/>
      <c r="D1236" s="975"/>
      <c r="E1236" s="975"/>
      <c r="F1236" s="975"/>
      <c r="G1236"/>
    </row>
    <row r="1237" spans="1:7" ht="14.4">
      <c r="A1237" s="271"/>
      <c r="B1237" s="271"/>
      <c r="E1237"/>
      <c r="F1237"/>
      <c r="G1237"/>
    </row>
    <row r="1238" spans="1:7" ht="14.4">
      <c r="A1238" s="271"/>
      <c r="B1238" s="271"/>
      <c r="D1238" s="423" t="s">
        <v>1177</v>
      </c>
      <c r="E1238" s="423"/>
      <c r="F1238" s="423"/>
    </row>
    <row r="1239" spans="1:7" ht="14.4">
      <c r="A1239" s="271"/>
      <c r="B1239" s="616" t="s">
        <v>131</v>
      </c>
      <c r="D1239" s="975" t="s">
        <v>1581</v>
      </c>
      <c r="E1239" s="975"/>
      <c r="F1239" s="975"/>
    </row>
    <row r="1240" spans="1:7" ht="14.4">
      <c r="A1240" s="271"/>
      <c r="B1240" s="271"/>
      <c r="D1240" s="975"/>
      <c r="E1240" s="975"/>
      <c r="F1240" s="975"/>
    </row>
    <row r="1241" spans="1:7" ht="14.4">
      <c r="A1241" s="271"/>
      <c r="B1241" s="271"/>
      <c r="D1241" s="975"/>
      <c r="E1241" s="975"/>
      <c r="F1241" s="975"/>
    </row>
    <row r="1242" spans="1:7" ht="14.4">
      <c r="A1242" s="271"/>
      <c r="B1242" s="271"/>
      <c r="D1242" s="975"/>
      <c r="E1242" s="975"/>
      <c r="F1242" s="975"/>
    </row>
    <row r="1243" spans="1:7" ht="14.4">
      <c r="A1243" s="271"/>
      <c r="B1243" s="271"/>
      <c r="D1243" s="975"/>
      <c r="E1243" s="975"/>
      <c r="F1243" s="975"/>
    </row>
    <row r="1244" spans="1:7" ht="12.75" customHeight="1">
      <c r="A1244" s="44"/>
      <c r="B1244" s="44"/>
    </row>
    <row r="1245" spans="1:7" ht="13.2">
      <c r="A1245" s="1000" t="s">
        <v>1503</v>
      </c>
      <c r="B1245" s="1000"/>
      <c r="C1245" s="1000"/>
      <c r="D1245" s="1000"/>
      <c r="E1245" s="1000"/>
      <c r="F1245" s="1000"/>
      <c r="G1245" s="1000"/>
    </row>
    <row r="1246" spans="1:7" ht="13.2">
      <c r="A1246" s="44"/>
      <c r="B1246" s="44"/>
    </row>
    <row r="1247" spans="1:7" ht="13.2">
      <c r="A1247" s="44"/>
      <c r="B1247" s="44"/>
      <c r="D1247" s="1009" t="s">
        <v>1504</v>
      </c>
      <c r="E1247" s="1009"/>
      <c r="F1247" s="1009"/>
    </row>
    <row r="1248" spans="1:7" ht="13.2">
      <c r="A1248" s="268"/>
      <c r="B1248" s="268"/>
      <c r="C1248" s="268"/>
      <c r="D1248" s="999" t="s">
        <v>1517</v>
      </c>
      <c r="E1248" s="999"/>
      <c r="F1248" s="999"/>
      <c r="G1248" s="269"/>
    </row>
    <row r="1249" spans="1:7" ht="10.5" customHeight="1"/>
    <row r="1250" spans="1:7" ht="14.4">
      <c r="A1250" s="271"/>
      <c r="B1250" s="616" t="s">
        <v>131</v>
      </c>
      <c r="D1250" s="999" t="s">
        <v>1180</v>
      </c>
      <c r="E1250" s="999"/>
      <c r="F1250" s="999"/>
    </row>
    <row r="1251" spans="1:7" ht="13.2">
      <c r="E1251" s="1012" t="s">
        <v>2193</v>
      </c>
      <c r="F1251" s="1012"/>
    </row>
    <row r="1252" spans="1:7" ht="13.2">
      <c r="D1252" s="104"/>
      <c r="E1252" s="104"/>
      <c r="F1252" s="104"/>
    </row>
    <row r="1253" spans="1:7" ht="13.65" customHeight="1"/>
    <row r="1254" spans="1:7" ht="13.65" customHeight="1"/>
    <row r="1255" spans="1:7" ht="13.65" customHeight="1"/>
    <row r="1256" spans="1:7" ht="13.65" customHeight="1"/>
    <row r="1257" spans="1:7" ht="13.65" customHeight="1"/>
    <row r="1258" spans="1:7" ht="13.65" customHeight="1"/>
    <row r="1259" spans="1:7" ht="13.65" customHeight="1"/>
    <row r="1260" spans="1:7" ht="13.65" customHeight="1">
      <c r="A1260"/>
      <c r="B1260"/>
      <c r="C1260"/>
      <c r="D1260"/>
      <c r="E1260"/>
      <c r="F1260"/>
      <c r="G1260"/>
    </row>
    <row r="1261" spans="1:7" ht="13.65" customHeight="1">
      <c r="A1261"/>
      <c r="B1261"/>
      <c r="C1261"/>
      <c r="D1261"/>
      <c r="E1261"/>
      <c r="F1261"/>
      <c r="G1261"/>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row r="1288" spans="1:7" ht="13.65" customHeight="1"/>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612" workbookViewId="0">
      <selection activeCell="AA320" sqref="AA320"/>
    </sheetView>
  </sheetViews>
  <sheetFormatPr defaultColWidth="0" defaultRowHeight="12.9"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6383" width="9.109375" hidden="1"/>
    <col min="16384" max="16384" width="5.6640625" hidden="1"/>
  </cols>
  <sheetData>
    <row r="1" spans="1:45" ht="12.9" customHeight="1">
      <c r="J1" s="183"/>
      <c r="AS1" s="926">
        <v>9</v>
      </c>
    </row>
    <row r="2" spans="1:45" ht="12.9" customHeight="1"/>
    <row r="3" spans="1:45" ht="12.9" customHeight="1"/>
    <row r="4" spans="1:45" ht="12.9" customHeight="1"/>
    <row r="5" spans="1:45" ht="12.9" customHeight="1"/>
    <row r="6" spans="1:45" ht="12.9" customHeight="1"/>
    <row r="7" spans="1:45" ht="12.9" customHeight="1"/>
    <row r="8" spans="1:45" ht="12.9" customHeight="1"/>
    <row r="9" spans="1:45" ht="12.9" customHeight="1">
      <c r="A9" s="1397" t="s">
        <v>828</v>
      </c>
      <c r="B9" s="1397"/>
      <c r="C9" s="1397"/>
      <c r="D9" s="1397"/>
      <c r="E9" s="1397"/>
      <c r="F9" s="1397"/>
      <c r="G9" s="1397"/>
      <c r="H9" s="1397"/>
      <c r="I9" s="1397"/>
      <c r="J9" s="1397"/>
      <c r="K9" s="1397"/>
      <c r="L9" s="1397"/>
      <c r="M9" s="1397"/>
      <c r="N9" s="1397"/>
      <c r="O9" s="1397"/>
      <c r="P9" s="1397"/>
      <c r="Q9" s="1397"/>
      <c r="R9" s="1397"/>
      <c r="S9" s="1397"/>
      <c r="T9" s="1397"/>
      <c r="U9" s="1397"/>
      <c r="V9" s="1397"/>
      <c r="W9" s="1397"/>
      <c r="X9" s="1397"/>
      <c r="Y9" s="1397"/>
      <c r="Z9" s="1397"/>
      <c r="AA9" s="1397"/>
      <c r="AB9" s="1397"/>
      <c r="AC9" s="1397"/>
      <c r="AD9" s="1397"/>
      <c r="AE9" s="1397"/>
      <c r="AF9" s="1397"/>
      <c r="AG9" s="1397"/>
      <c r="AH9" s="1397"/>
      <c r="AI9" s="1397"/>
      <c r="AJ9" s="1397"/>
      <c r="AK9" s="1397"/>
      <c r="AL9" s="1397"/>
    </row>
    <row r="10" spans="1:45" ht="12.9" customHeight="1">
      <c r="A10" s="1399" t="s">
        <v>2340</v>
      </c>
      <c r="B10" s="1399"/>
      <c r="C10" s="1399"/>
      <c r="D10" s="1399"/>
      <c r="E10" s="1399"/>
      <c r="F10" s="1399"/>
      <c r="G10" s="1399"/>
      <c r="H10" s="1399"/>
      <c r="I10" s="1399"/>
      <c r="J10" s="1399"/>
      <c r="K10" s="1399"/>
      <c r="L10" s="1399"/>
      <c r="M10" s="1399"/>
      <c r="N10" s="1399"/>
      <c r="O10" s="1399"/>
      <c r="P10" s="1399"/>
      <c r="Q10" s="1399"/>
      <c r="R10" s="1399"/>
      <c r="S10" s="1399"/>
      <c r="T10" s="1399"/>
      <c r="U10" s="1399"/>
      <c r="V10" s="1399"/>
      <c r="W10" s="1399"/>
      <c r="X10" s="1399"/>
      <c r="Y10" s="1399"/>
      <c r="Z10" s="1399"/>
      <c r="AA10" s="1399"/>
      <c r="AB10" s="1399"/>
      <c r="AC10" s="1399"/>
      <c r="AD10" s="1399"/>
      <c r="AE10" s="1399"/>
      <c r="AF10" s="1399"/>
      <c r="AG10" s="1399"/>
      <c r="AH10" s="1399"/>
      <c r="AI10" s="1399"/>
      <c r="AJ10" s="1399"/>
      <c r="AK10" s="1399"/>
      <c r="AL10" s="1399"/>
    </row>
    <row r="11" spans="1:45" s="267" customFormat="1" ht="12.9" customHeight="1">
      <c r="A11" s="1400" t="s">
        <v>2358</v>
      </c>
      <c r="B11" s="1401"/>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1401"/>
      <c r="Y11" s="1401"/>
      <c r="Z11" s="1401"/>
      <c r="AA11" s="1401"/>
      <c r="AB11" s="1401"/>
      <c r="AC11" s="1401"/>
      <c r="AD11" s="1401"/>
      <c r="AE11" s="1401"/>
      <c r="AF11" s="1401"/>
      <c r="AG11" s="1401"/>
      <c r="AH11" s="1401"/>
      <c r="AI11" s="1401"/>
      <c r="AJ11" s="1401"/>
      <c r="AK11" s="1401"/>
      <c r="AL11" s="1401"/>
    </row>
    <row r="12" spans="1:45" ht="12.9" customHeight="1">
      <c r="A12" s="965" t="s">
        <v>1959</v>
      </c>
      <c r="B12" s="965"/>
      <c r="C12" s="965"/>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c r="AL12" s="965"/>
    </row>
    <row r="13" spans="1:45" ht="12.9" customHeight="1" thickBot="1">
      <c r="A13" s="967"/>
      <c r="B13" s="967"/>
      <c r="C13" s="967"/>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c r="AL13" s="967"/>
    </row>
    <row r="14" spans="1:45" ht="12.9" customHeight="1" thickTop="1">
      <c r="A14" s="104"/>
      <c r="B14" s="104"/>
      <c r="C14" s="104"/>
      <c r="D14" s="104"/>
      <c r="E14" s="104"/>
      <c r="F14" s="104"/>
      <c r="G14" s="104"/>
      <c r="AC14" s="104"/>
      <c r="AD14" s="104"/>
      <c r="AE14" s="104"/>
      <c r="AF14" s="104"/>
      <c r="AG14" s="104"/>
      <c r="AH14" s="104"/>
      <c r="AI14" s="104"/>
      <c r="AJ14" s="104"/>
      <c r="AK14" s="104"/>
      <c r="AL14" s="104"/>
    </row>
    <row r="15" spans="1:45" ht="12.9" customHeight="1">
      <c r="A15" s="63" t="s">
        <v>585</v>
      </c>
      <c r="C15" s="5"/>
      <c r="D15" s="5"/>
      <c r="E15" s="5"/>
      <c r="F15" s="5"/>
      <c r="G15" s="5"/>
      <c r="H15" s="1277" t="s">
        <v>2363</v>
      </c>
      <c r="I15" s="1277"/>
      <c r="J15" s="1277"/>
      <c r="K15" s="1277"/>
      <c r="L15" s="1277"/>
      <c r="M15" s="1277"/>
      <c r="N15" s="1277"/>
      <c r="O15" s="1277"/>
      <c r="P15" s="1277"/>
      <c r="Q15" s="1277"/>
      <c r="R15" s="1277"/>
      <c r="S15" s="1277"/>
      <c r="T15" s="1277"/>
      <c r="U15" s="1277"/>
      <c r="V15" s="1277"/>
      <c r="W15" s="1277"/>
      <c r="X15" s="1277"/>
      <c r="Y15" s="1277"/>
      <c r="Z15" s="1277"/>
      <c r="AA15" s="1277"/>
      <c r="AB15" s="1277"/>
      <c r="AC15" s="1277"/>
      <c r="AD15" s="1277"/>
      <c r="AE15" s="1277"/>
      <c r="AF15" s="1277"/>
      <c r="AG15" s="1277"/>
      <c r="AH15" s="1277"/>
      <c r="AI15" s="1277"/>
      <c r="AJ15" s="1277"/>
    </row>
    <row r="16" spans="1:45" ht="12.9" customHeight="1"/>
    <row r="17" spans="1:40" ht="12.9" customHeight="1">
      <c r="A17" s="63" t="s">
        <v>829</v>
      </c>
      <c r="C17" s="5"/>
      <c r="D17" s="5"/>
      <c r="E17" s="5"/>
      <c r="F17" s="5"/>
      <c r="G17" s="5"/>
      <c r="H17" s="1280" t="s">
        <v>2362</v>
      </c>
      <c r="I17" s="1110"/>
      <c r="J17" s="1110"/>
      <c r="K17" s="1110"/>
      <c r="L17" s="1110"/>
      <c r="M17" s="1110"/>
      <c r="N17" s="1110"/>
      <c r="O17" s="1110"/>
      <c r="P17" s="1110"/>
      <c r="Q17" s="1110"/>
      <c r="R17" s="1110"/>
      <c r="S17" s="1110"/>
      <c r="T17" s="1110"/>
      <c r="U17" s="1110"/>
      <c r="V17" s="1110"/>
      <c r="W17" s="1110"/>
      <c r="X17" s="1110"/>
      <c r="Y17" s="1110"/>
      <c r="Z17" s="1110"/>
      <c r="AA17" s="1110"/>
      <c r="AB17" s="1110"/>
      <c r="AC17" s="1110"/>
      <c r="AD17" s="1110"/>
      <c r="AE17" s="1110"/>
      <c r="AF17" s="1110"/>
      <c r="AG17" s="1110"/>
      <c r="AH17" s="1110"/>
      <c r="AI17" s="1110"/>
      <c r="AJ17" s="1110"/>
    </row>
    <row r="18" spans="1:40" ht="12.9" customHeight="1"/>
    <row r="19" spans="1:40" ht="12.9" customHeight="1">
      <c r="A19" s="984" t="s">
        <v>1146</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 customHeight="1">
      <c r="A20" s="1402" t="s">
        <v>1403</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0"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 customHeight="1">
      <c r="A25" s="5"/>
      <c r="C25" s="5"/>
      <c r="D25" s="5"/>
      <c r="E25" s="5"/>
      <c r="F25" s="5"/>
      <c r="G25" s="5"/>
      <c r="H25" s="5"/>
      <c r="I25" s="5"/>
      <c r="J25" s="5"/>
      <c r="K25" s="5"/>
      <c r="L25" s="5"/>
      <c r="M25" s="1377">
        <f>ROUND('Basis &amp; Credits'!AB55,0)</f>
        <v>1394722</v>
      </c>
      <c r="N25" s="1377"/>
      <c r="O25" s="1377"/>
      <c r="P25" s="1377"/>
      <c r="Q25" s="1377"/>
      <c r="R25" s="5" t="s">
        <v>883</v>
      </c>
      <c r="S25" s="5"/>
      <c r="T25" s="5"/>
      <c r="U25" s="5"/>
      <c r="V25" s="5"/>
      <c r="W25" s="5"/>
      <c r="X25" s="5"/>
      <c r="Y25" s="5"/>
      <c r="Z25" s="5"/>
      <c r="AF25" s="5"/>
      <c r="AG25" s="5"/>
      <c r="AH25" s="5"/>
      <c r="AI25" s="5"/>
      <c r="AJ25" s="5"/>
      <c r="AK25" s="5"/>
    </row>
    <row r="26" spans="1:40"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 customHeight="1">
      <c r="A27" s="5"/>
      <c r="C27" s="5"/>
      <c r="D27" s="5"/>
      <c r="E27" s="5"/>
      <c r="F27" s="5"/>
      <c r="G27" s="5"/>
      <c r="H27" s="5"/>
      <c r="I27" s="5"/>
      <c r="J27" s="5"/>
      <c r="K27" s="5"/>
      <c r="L27" s="5"/>
      <c r="M27" s="1377">
        <f>'Basis &amp; Credits'!AB76</f>
        <v>0</v>
      </c>
      <c r="N27" s="1377"/>
      <c r="O27" s="1377"/>
      <c r="P27" s="1377"/>
      <c r="Q27" s="1377"/>
      <c r="R27" s="5" t="s">
        <v>1402</v>
      </c>
      <c r="S27" s="5"/>
      <c r="T27" s="5"/>
      <c r="U27" s="5"/>
      <c r="V27" s="5"/>
      <c r="W27" s="5"/>
      <c r="X27" s="5"/>
      <c r="Y27" s="5"/>
      <c r="Z27" s="5"/>
      <c r="AF27" s="5"/>
      <c r="AG27" s="5"/>
      <c r="AH27" s="5"/>
      <c r="AI27" s="5"/>
      <c r="AJ27" s="5"/>
      <c r="AK27" s="5"/>
    </row>
    <row r="28" spans="1:40"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 customHeight="1">
      <c r="A33" s="102" t="s">
        <v>1411</v>
      </c>
      <c r="C33" s="102"/>
      <c r="D33" s="102"/>
      <c r="E33" s="102"/>
      <c r="F33" s="102"/>
      <c r="G33" s="102"/>
      <c r="H33" s="102"/>
      <c r="I33" s="102"/>
      <c r="J33" s="102"/>
      <c r="K33" s="102"/>
      <c r="L33" s="102"/>
      <c r="M33" s="102"/>
      <c r="N33" s="102"/>
      <c r="O33" s="1109" t="s">
        <v>509</v>
      </c>
      <c r="P33" s="1109"/>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 customHeight="1">
      <c r="A38" t="s">
        <v>1973</v>
      </c>
      <c r="AM38" s="19"/>
    </row>
    <row r="39" spans="1:39" ht="12.9" customHeight="1">
      <c r="AM39" s="19"/>
    </row>
    <row r="40" spans="1:39" ht="12.9"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 customHeight="1"/>
    <row r="87" spans="1:39" ht="12.9" customHeight="1">
      <c r="A87" s="102" t="s">
        <v>312</v>
      </c>
      <c r="AM87" s="19"/>
    </row>
    <row r="88" spans="1:39" ht="12.9" customHeight="1">
      <c r="A88" s="102" t="s">
        <v>313</v>
      </c>
      <c r="AM88" s="19"/>
    </row>
    <row r="89" spans="1:39" ht="12.9"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 customHeight="1">
      <c r="A116" s="102" t="s">
        <v>2219</v>
      </c>
    </row>
    <row r="117" spans="1:39" ht="12.9"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 customHeight="1"/>
    <row r="124" spans="1:39" ht="12.9" customHeight="1">
      <c r="A124" s="102" t="s">
        <v>938</v>
      </c>
    </row>
    <row r="125" spans="1:39" ht="12.9" customHeight="1">
      <c r="A125" s="102" t="s">
        <v>1080</v>
      </c>
      <c r="V125" s="41"/>
      <c r="W125" s="41"/>
      <c r="AL125" s="41"/>
    </row>
    <row r="126" spans="1:39" ht="12.9" customHeight="1">
      <c r="A126" s="41"/>
      <c r="B126" s="41"/>
      <c r="AL126" s="41"/>
    </row>
    <row r="127" spans="1:39" ht="12.9" customHeight="1">
      <c r="A127" s="41"/>
      <c r="B127" s="41"/>
      <c r="AL127" s="41"/>
    </row>
    <row r="128" spans="1:39" ht="12.9" customHeight="1">
      <c r="A128" s="41"/>
      <c r="B128" s="41"/>
      <c r="C128" s="41" t="s">
        <v>438</v>
      </c>
      <c r="E128" s="41"/>
      <c r="F128" s="41"/>
      <c r="G128" s="1111"/>
      <c r="H128" s="1111"/>
      <c r="I128" s="41" t="s">
        <v>439</v>
      </c>
      <c r="J128" s="41"/>
      <c r="L128" s="1294" t="s">
        <v>2393</v>
      </c>
      <c r="M128" s="1295"/>
      <c r="N128" s="1295"/>
      <c r="O128" s="41" t="s">
        <v>2341</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2.9"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2.9" customHeight="1">
      <c r="A130" s="41"/>
      <c r="B130" s="41"/>
      <c r="C130" s="1294" t="s">
        <v>117</v>
      </c>
      <c r="D130" s="1295"/>
      <c r="E130" s="1295"/>
      <c r="F130" s="1295"/>
      <c r="G130" s="1295"/>
      <c r="H130" s="1295"/>
      <c r="I130" s="1295"/>
      <c r="J130" s="1295"/>
      <c r="K130" s="1295"/>
      <c r="L130" s="310" t="s">
        <v>440</v>
      </c>
      <c r="M130" s="41"/>
      <c r="O130" s="41"/>
      <c r="P130" s="41"/>
      <c r="Q130" s="41"/>
      <c r="R130" s="41"/>
      <c r="S130" s="41"/>
      <c r="T130" s="41"/>
      <c r="U130" s="41"/>
      <c r="V130" s="41"/>
      <c r="W130" s="41"/>
      <c r="X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0" t="s">
        <v>2391</v>
      </c>
      <c r="Z131" s="1110"/>
      <c r="AA131" s="1110"/>
      <c r="AB131" s="1110"/>
      <c r="AC131" s="1110"/>
      <c r="AD131" s="1110"/>
      <c r="AE131" s="1110"/>
      <c r="AF131" s="1110"/>
      <c r="AG131" s="1110"/>
      <c r="AH131" s="1110"/>
      <c r="AI131" s="1110"/>
      <c r="AJ131" s="1110"/>
      <c r="AK131" s="1110"/>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0" t="s">
        <v>2392</v>
      </c>
      <c r="Z134" s="1110"/>
      <c r="AA134" s="1110"/>
      <c r="AB134" s="1110"/>
      <c r="AC134" s="1110"/>
      <c r="AD134" s="1110"/>
      <c r="AE134" s="1110"/>
      <c r="AF134" s="1110"/>
      <c r="AG134" s="1110"/>
      <c r="AH134" s="1110"/>
      <c r="AI134" s="1110"/>
      <c r="AJ134" s="1110"/>
      <c r="AK134" s="1110"/>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2.9" customHeight="1">
      <c r="A136" s="495"/>
      <c r="B136" s="5"/>
      <c r="AL136" s="495"/>
    </row>
    <row r="137" spans="1:56" ht="12.9" customHeight="1">
      <c r="A137" s="41"/>
      <c r="B137" s="5"/>
      <c r="AL137" s="41"/>
    </row>
    <row r="138" spans="1:56" ht="12.9" customHeight="1">
      <c r="A138" s="41"/>
      <c r="AL138" s="41"/>
    </row>
    <row r="139" spans="1:56" ht="12.9" customHeight="1">
      <c r="A139" s="41"/>
      <c r="AL139" s="41"/>
    </row>
    <row r="140" spans="1:56" ht="12.9" customHeight="1">
      <c r="A140" s="41"/>
      <c r="AL140" s="41"/>
    </row>
    <row r="141" spans="1:56" ht="12.9" customHeight="1">
      <c r="A141" s="41"/>
      <c r="AL141" s="41"/>
    </row>
    <row r="142" spans="1:56" ht="12.9" customHeight="1">
      <c r="A142" s="41"/>
      <c r="AL142" s="41"/>
    </row>
    <row r="143" spans="1:56" ht="12.9" customHeight="1">
      <c r="A143" s="41"/>
      <c r="AL143" s="41"/>
    </row>
    <row r="144" spans="1:56" ht="12.9" customHeight="1">
      <c r="A144" s="41"/>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690</v>
      </c>
      <c r="O156" s="1280" t="s">
        <v>2364</v>
      </c>
      <c r="P156" s="1110"/>
      <c r="Q156" s="1110"/>
      <c r="R156" s="1110"/>
      <c r="S156" s="1110"/>
      <c r="T156" s="1110"/>
      <c r="U156" s="1110"/>
      <c r="V156" s="1110"/>
      <c r="W156" s="1110"/>
      <c r="X156" s="1110"/>
      <c r="Y156" s="1110"/>
      <c r="Z156" s="1110"/>
      <c r="AA156" s="1110"/>
      <c r="AB156" s="1110"/>
      <c r="AC156" s="1110"/>
      <c r="AD156" s="1110"/>
      <c r="AE156" s="1110"/>
      <c r="AF156" s="1110"/>
      <c r="AG156" s="1110"/>
      <c r="AH156" s="1110"/>
      <c r="BT156" t="s">
        <v>83</v>
      </c>
    </row>
    <row r="157" spans="1:72" ht="12.9" customHeight="1">
      <c r="D157" s="340" t="s">
        <v>572</v>
      </c>
      <c r="O157" s="1134" t="s">
        <v>2365</v>
      </c>
      <c r="P157" s="1279"/>
      <c r="Q157" s="1279"/>
      <c r="R157" s="1279"/>
      <c r="S157" s="1279"/>
      <c r="T157" s="1279"/>
      <c r="U157" s="1279"/>
      <c r="V157" s="1279"/>
      <c r="W157" s="1279"/>
      <c r="X157" s="1279"/>
      <c r="Y157" s="1279"/>
      <c r="Z157" s="1279"/>
      <c r="AA157" s="1279"/>
      <c r="AB157" s="1279"/>
      <c r="AC157" s="1279"/>
      <c r="AD157" s="1279"/>
      <c r="AE157" s="1279"/>
      <c r="AF157" s="1279"/>
      <c r="AG157" s="1279"/>
      <c r="AH157" s="1279"/>
      <c r="AI157" t="s">
        <v>743</v>
      </c>
      <c r="BN157" s="30" t="s">
        <v>449</v>
      </c>
      <c r="BT157" t="s">
        <v>31</v>
      </c>
    </row>
    <row r="158" spans="1:72" ht="12.9" customHeight="1">
      <c r="D158" s="12" t="s">
        <v>573</v>
      </c>
      <c r="F158" s="12"/>
      <c r="G158" s="12"/>
      <c r="H158" s="12"/>
      <c r="I158" s="12"/>
      <c r="J158" s="12"/>
      <c r="K158" s="12"/>
      <c r="L158" s="12"/>
      <c r="M158" s="12"/>
      <c r="N158" s="12"/>
      <c r="O158" s="1292" t="s">
        <v>574</v>
      </c>
      <c r="P158" s="1292"/>
      <c r="Q158" s="1292"/>
      <c r="R158" s="1292"/>
      <c r="S158" s="1292"/>
      <c r="T158" s="1292"/>
      <c r="U158" s="1292"/>
      <c r="V158" s="1292"/>
      <c r="W158" s="1292"/>
      <c r="X158" s="1292"/>
      <c r="Y158" s="1292"/>
      <c r="Z158" s="1292"/>
      <c r="AA158" s="1292"/>
      <c r="AB158" s="1292"/>
      <c r="AC158" s="1292"/>
      <c r="AD158" s="1292"/>
      <c r="AE158" s="1292"/>
      <c r="AF158" s="1292"/>
      <c r="AG158" s="1292"/>
      <c r="AH158" s="1292"/>
      <c r="BN158" s="30" t="s">
        <v>450</v>
      </c>
      <c r="BT158" t="s">
        <v>32</v>
      </c>
    </row>
    <row r="159" spans="1:72" ht="12.9" customHeight="1">
      <c r="D159" t="s">
        <v>681</v>
      </c>
      <c r="O159" s="1084" t="s">
        <v>2366</v>
      </c>
      <c r="P159" s="1084"/>
      <c r="Q159" s="1084"/>
      <c r="R159" s="1084"/>
      <c r="S159" s="1084"/>
      <c r="T159" s="1084"/>
      <c r="U159" s="1084"/>
      <c r="V159" s="1084"/>
      <c r="W159" s="1084"/>
      <c r="X159" s="1084"/>
      <c r="Y159" s="1084"/>
      <c r="Z159" s="1084"/>
      <c r="AA159" s="1084"/>
      <c r="AB159" s="1084"/>
      <c r="AC159" s="1084"/>
      <c r="AD159" s="1084"/>
      <c r="AE159" s="1084"/>
      <c r="AF159" s="1084"/>
      <c r="AG159" s="1084"/>
      <c r="AH159" s="1084"/>
      <c r="BN159" s="30" t="s">
        <v>77</v>
      </c>
      <c r="BT159" t="s">
        <v>411</v>
      </c>
    </row>
    <row r="160" spans="1:72" ht="12.9" customHeight="1">
      <c r="D160" t="s">
        <v>682</v>
      </c>
      <c r="O160" s="1280" t="s">
        <v>2364</v>
      </c>
      <c r="P160" s="1110"/>
      <c r="Q160" s="1110"/>
      <c r="R160" s="1110"/>
      <c r="S160" s="1110"/>
      <c r="T160" s="1110"/>
      <c r="U160" s="1110"/>
      <c r="V160" s="1110"/>
      <c r="W160" s="1110"/>
      <c r="X160" s="1110"/>
      <c r="Y160" s="12"/>
      <c r="Z160" s="12"/>
      <c r="AA160" s="12"/>
      <c r="AB160" s="12"/>
      <c r="AC160" s="12"/>
      <c r="AD160" s="12"/>
      <c r="AE160" s="12"/>
      <c r="AF160" s="12"/>
      <c r="BN160" s="30" t="s">
        <v>79</v>
      </c>
      <c r="BT160" t="s">
        <v>412</v>
      </c>
    </row>
    <row r="161" spans="1:72" ht="12.9" customHeight="1">
      <c r="D161" t="s">
        <v>683</v>
      </c>
      <c r="O161" s="1298">
        <v>95814</v>
      </c>
      <c r="P161" s="1298"/>
      <c r="Q161" s="1298"/>
      <c r="R161" s="1298"/>
      <c r="S161" s="13"/>
      <c r="T161" s="13"/>
      <c r="U161" s="13"/>
      <c r="V161" s="13"/>
      <c r="W161" s="13"/>
      <c r="X161" s="13"/>
      <c r="Y161" s="13"/>
      <c r="Z161" s="13"/>
      <c r="AA161" s="13"/>
      <c r="AB161" s="13"/>
      <c r="AC161" s="13"/>
      <c r="AD161" s="13"/>
      <c r="AE161" s="13"/>
      <c r="AF161" s="13"/>
      <c r="BJ161" t="s">
        <v>509</v>
      </c>
      <c r="BN161" s="30" t="s">
        <v>80</v>
      </c>
      <c r="BT161" t="s">
        <v>413</v>
      </c>
    </row>
    <row r="162" spans="1:72" ht="12.9" customHeight="1">
      <c r="D162" t="s">
        <v>684</v>
      </c>
      <c r="O162" s="1285" t="s">
        <v>2367</v>
      </c>
      <c r="P162" s="1285"/>
      <c r="Q162" s="1285"/>
      <c r="R162" s="1285"/>
      <c r="S162" s="1285"/>
      <c r="T162" s="1285"/>
      <c r="V162" s="179" t="s">
        <v>12</v>
      </c>
      <c r="W162" s="1299"/>
      <c r="X162" s="1299"/>
      <c r="Y162" s="14"/>
      <c r="Z162" s="14"/>
      <c r="AA162" s="14"/>
      <c r="AB162" s="14"/>
      <c r="AC162" s="14"/>
      <c r="AD162" s="14"/>
      <c r="AE162" s="14"/>
      <c r="AF162" s="14"/>
      <c r="BJ162" t="s">
        <v>115</v>
      </c>
      <c r="BN162" s="30" t="s">
        <v>81</v>
      </c>
      <c r="BT162" t="s">
        <v>414</v>
      </c>
    </row>
    <row r="163" spans="1:72" ht="12.9" customHeight="1">
      <c r="D163" t="s">
        <v>685</v>
      </c>
      <c r="O163" s="1285" t="s">
        <v>2368</v>
      </c>
      <c r="P163" s="1285"/>
      <c r="Q163" s="1285"/>
      <c r="R163" s="1285"/>
      <c r="S163" s="1285"/>
      <c r="T163" s="1285"/>
      <c r="U163" s="14"/>
      <c r="V163" s="14"/>
      <c r="W163" s="14"/>
      <c r="X163" s="14"/>
      <c r="Y163" s="14"/>
      <c r="Z163" s="14"/>
      <c r="AA163" s="14"/>
      <c r="AB163" s="14"/>
      <c r="AC163" s="14"/>
      <c r="AD163" s="14"/>
      <c r="AE163" s="14"/>
      <c r="AF163" s="14"/>
      <c r="BN163" s="30" t="s">
        <v>503</v>
      </c>
      <c r="BT163" t="s">
        <v>415</v>
      </c>
    </row>
    <row r="164" spans="1:72" ht="12.9" customHeight="1">
      <c r="D164" t="s">
        <v>686</v>
      </c>
      <c r="O164" s="1133" t="s">
        <v>2369</v>
      </c>
      <c r="P164" s="1133"/>
      <c r="Q164" s="1133"/>
      <c r="R164" s="1133"/>
      <c r="S164" s="1133"/>
      <c r="T164" s="1133"/>
      <c r="U164" s="1133"/>
      <c r="V164" s="1133"/>
      <c r="W164" s="1133"/>
      <c r="X164" s="1133"/>
      <c r="Y164" s="1133"/>
      <c r="Z164" s="1133"/>
      <c r="AA164" s="1133"/>
      <c r="AB164" s="1133"/>
      <c r="AC164" s="1133"/>
      <c r="AD164" s="1133"/>
      <c r="AE164" s="1133"/>
      <c r="AF164" s="1133"/>
      <c r="AG164" s="1133"/>
      <c r="AH164" s="1133"/>
      <c r="BN164" s="30" t="s">
        <v>504</v>
      </c>
      <c r="BT164" t="s">
        <v>416</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2.9"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2.9" customHeight="1">
      <c r="C167" s="34"/>
      <c r="D167" s="1297" t="s">
        <v>2013</v>
      </c>
      <c r="E167" s="1297"/>
      <c r="F167" s="1297"/>
      <c r="G167" s="1297"/>
      <c r="H167" s="1297"/>
      <c r="I167" s="1297"/>
      <c r="J167" s="1297"/>
      <c r="K167" s="1297"/>
      <c r="L167" s="1297"/>
      <c r="M167" s="1297"/>
      <c r="N167" s="1297"/>
      <c r="O167" s="1297"/>
      <c r="P167" s="1297"/>
      <c r="Q167" s="1297"/>
      <c r="R167" s="1297"/>
      <c r="S167" s="1297"/>
      <c r="T167" s="1297"/>
      <c r="U167" s="1297"/>
      <c r="V167" s="1297"/>
      <c r="W167" s="1297"/>
      <c r="X167" s="1297"/>
      <c r="Y167" s="1297"/>
      <c r="Z167" s="263"/>
      <c r="AA167" s="261"/>
      <c r="AB167" s="261"/>
      <c r="AC167" s="261"/>
      <c r="AD167" s="261"/>
      <c r="AE167" s="261"/>
      <c r="AF167" s="261"/>
      <c r="AG167" s="261"/>
      <c r="AH167" s="261"/>
      <c r="BN167" s="30" t="s">
        <v>510</v>
      </c>
      <c r="BT167" t="s">
        <v>419</v>
      </c>
    </row>
    <row r="168" spans="1:72" ht="12.9" customHeight="1">
      <c r="BN168" s="30" t="s">
        <v>511</v>
      </c>
      <c r="BT168" t="s">
        <v>420</v>
      </c>
    </row>
    <row r="169" spans="1:72" ht="12.9" customHeight="1">
      <c r="A169" s="1282" t="s">
        <v>402</v>
      </c>
      <c r="B169" s="1282"/>
      <c r="C169" s="1282"/>
      <c r="D169" s="1282"/>
      <c r="E169" s="1282"/>
      <c r="F169" s="1282"/>
      <c r="G169" s="1282"/>
      <c r="H169" s="1282"/>
      <c r="I169" s="1282"/>
      <c r="J169" s="1282"/>
      <c r="K169" s="1282"/>
      <c r="L169" s="1282"/>
      <c r="M169" s="1282"/>
      <c r="N169" s="1282"/>
      <c r="O169" s="1282"/>
      <c r="P169" s="1282"/>
      <c r="Q169" s="1282"/>
      <c r="R169" s="1282"/>
      <c r="S169" s="1282"/>
      <c r="T169" s="1282"/>
      <c r="U169" s="1282"/>
      <c r="V169" s="1282"/>
      <c r="W169" s="1282"/>
      <c r="X169" s="1282"/>
      <c r="Y169" s="1282"/>
      <c r="Z169" s="1282"/>
      <c r="AA169" s="1282"/>
      <c r="AB169" s="1282"/>
      <c r="AC169" s="1282"/>
      <c r="AD169" s="1282"/>
      <c r="AE169" s="1282"/>
      <c r="AF169" s="1282"/>
      <c r="AG169" s="1282"/>
      <c r="AH169" s="1282"/>
      <c r="AI169" s="1282"/>
      <c r="AJ169" s="1282"/>
      <c r="AK169" s="1282"/>
      <c r="AL169" s="1282"/>
      <c r="BN169" s="30" t="s">
        <v>513</v>
      </c>
      <c r="BT169" t="s">
        <v>421</v>
      </c>
    </row>
    <row r="170" spans="1:72" ht="12.9" customHeight="1" thickBot="1">
      <c r="A170" s="1283"/>
      <c r="B170" s="1283"/>
      <c r="C170" s="1283"/>
      <c r="D170" s="1283"/>
      <c r="E170" s="1283"/>
      <c r="F170" s="1283"/>
      <c r="G170" s="1283"/>
      <c r="H170" s="1283"/>
      <c r="I170" s="1283"/>
      <c r="J170" s="1283"/>
      <c r="K170" s="1283"/>
      <c r="L170" s="1283"/>
      <c r="M170" s="1283"/>
      <c r="N170" s="1283"/>
      <c r="O170" s="1283"/>
      <c r="P170" s="1283"/>
      <c r="Q170" s="1283"/>
      <c r="R170" s="1283"/>
      <c r="S170" s="1283"/>
      <c r="T170" s="1283"/>
      <c r="U170" s="1283"/>
      <c r="V170" s="1283"/>
      <c r="W170" s="1283"/>
      <c r="X170" s="1283"/>
      <c r="Y170" s="1283"/>
      <c r="Z170" s="1283"/>
      <c r="AA170" s="1283"/>
      <c r="AB170" s="1283"/>
      <c r="AC170" s="1283"/>
      <c r="AD170" s="1283"/>
      <c r="AE170" s="1283"/>
      <c r="AF170" s="1283"/>
      <c r="AG170" s="1283"/>
      <c r="AH170" s="1283"/>
      <c r="AI170" s="1283"/>
      <c r="AJ170" s="1283"/>
      <c r="AK170" s="1283"/>
      <c r="AL170" s="1283"/>
      <c r="BN170" s="30" t="s">
        <v>514</v>
      </c>
      <c r="BT170" t="s">
        <v>422</v>
      </c>
    </row>
    <row r="171" spans="1:72" ht="12.9" customHeight="1" thickTop="1">
      <c r="BN171" s="30" t="s">
        <v>515</v>
      </c>
      <c r="BT171" t="s">
        <v>423</v>
      </c>
    </row>
    <row r="172" spans="1:72" ht="12.9" customHeight="1">
      <c r="A172" s="3" t="s">
        <v>687</v>
      </c>
      <c r="C172" s="3" t="s">
        <v>688</v>
      </c>
      <c r="BN172" s="30" t="s">
        <v>517</v>
      </c>
      <c r="BT172" t="s">
        <v>424</v>
      </c>
    </row>
    <row r="173" spans="1:72" ht="12.9" customHeight="1">
      <c r="C173" s="31"/>
      <c r="D173" t="s">
        <v>464</v>
      </c>
      <c r="J173" s="1293" t="s">
        <v>534</v>
      </c>
      <c r="K173" s="1293"/>
      <c r="L173" s="1293"/>
      <c r="M173" s="1293"/>
      <c r="N173" s="1293"/>
      <c r="O173" s="1293"/>
      <c r="P173" s="1293"/>
      <c r="Q173" s="1293"/>
      <c r="R173" s="1293"/>
      <c r="S173" s="1293"/>
      <c r="U173" s="32"/>
      <c r="X173" s="32"/>
      <c r="BN173" s="30" t="s">
        <v>518</v>
      </c>
      <c r="BT173" t="s">
        <v>425</v>
      </c>
    </row>
    <row r="174" spans="1:72" ht="12.9" customHeight="1">
      <c r="C174" s="31"/>
      <c r="D174" t="s">
        <v>465</v>
      </c>
      <c r="U174" s="1109"/>
      <c r="V174" s="1109"/>
      <c r="BN174" s="30" t="s">
        <v>628</v>
      </c>
      <c r="BT174" t="s">
        <v>426</v>
      </c>
    </row>
    <row r="175" spans="1:72" ht="12.9" customHeight="1">
      <c r="C175" s="12"/>
      <c r="D175" s="33"/>
      <c r="E175" t="s">
        <v>243</v>
      </c>
      <c r="O175" s="34"/>
      <c r="P175" t="s">
        <v>2221</v>
      </c>
      <c r="T175" s="34" t="s">
        <v>244</v>
      </c>
      <c r="U175" s="1087"/>
      <c r="V175" s="1087"/>
      <c r="W175" s="1" t="s">
        <v>245</v>
      </c>
      <c r="X175" s="1296"/>
      <c r="Y175" s="1296"/>
      <c r="BN175" s="30" t="s">
        <v>629</v>
      </c>
      <c r="BT175" t="s">
        <v>427</v>
      </c>
    </row>
    <row r="176" spans="1:72" ht="12.9" customHeight="1">
      <c r="C176" s="31"/>
      <c r="D176" t="s">
        <v>292</v>
      </c>
      <c r="U176" s="1109"/>
      <c r="V176" s="1109"/>
      <c r="BN176" s="30" t="s">
        <v>631</v>
      </c>
      <c r="BT176" t="s">
        <v>428</v>
      </c>
    </row>
    <row r="177" spans="1:72" ht="12.9" customHeight="1">
      <c r="C177" s="31"/>
      <c r="D177" s="365" t="s">
        <v>1283</v>
      </c>
      <c r="BN177" s="30" t="s">
        <v>632</v>
      </c>
      <c r="BT177" t="s">
        <v>429</v>
      </c>
    </row>
    <row r="178" spans="1:72" ht="12.9" customHeight="1">
      <c r="C178" s="31"/>
      <c r="E178" s="365" t="s">
        <v>2221</v>
      </c>
      <c r="F178" s="365"/>
      <c r="G178" s="365"/>
      <c r="I178" s="947" t="s">
        <v>244</v>
      </c>
      <c r="J178" s="1390"/>
      <c r="K178" s="1390"/>
      <c r="L178" s="374" t="s">
        <v>245</v>
      </c>
      <c r="M178" s="1112"/>
      <c r="N178" s="1112"/>
      <c r="O178" s="365"/>
      <c r="P178" s="365"/>
      <c r="Q178" s="365"/>
      <c r="R178" s="365"/>
      <c r="U178" s="365" t="s">
        <v>1284</v>
      </c>
      <c r="V178" s="365"/>
      <c r="W178" s="365"/>
      <c r="X178" s="365"/>
      <c r="Y178" s="365"/>
      <c r="Z178" s="365"/>
      <c r="AA178" s="365"/>
      <c r="AB178" s="365"/>
      <c r="AD178" s="1391"/>
      <c r="AE178" s="1391"/>
      <c r="AF178" s="1391"/>
      <c r="AG178" s="1391"/>
      <c r="AH178" s="1391"/>
      <c r="BN178" s="30" t="s">
        <v>633</v>
      </c>
      <c r="BT178" t="s">
        <v>430</v>
      </c>
    </row>
    <row r="179" spans="1:72" ht="12.9" customHeight="1">
      <c r="C179" s="31"/>
      <c r="BN179" s="30" t="s">
        <v>634</v>
      </c>
      <c r="BT179" t="s">
        <v>431</v>
      </c>
    </row>
    <row r="180" spans="1:72" ht="12.9" customHeight="1">
      <c r="C180" s="12"/>
      <c r="D180" t="s">
        <v>2222</v>
      </c>
      <c r="O180" s="365"/>
      <c r="P180" s="365"/>
      <c r="Q180" s="365"/>
      <c r="R180" s="365"/>
      <c r="Y180" s="1109"/>
      <c r="Z180" s="1288"/>
      <c r="BN180" s="30" t="s">
        <v>636</v>
      </c>
      <c r="BT180" t="s">
        <v>432</v>
      </c>
    </row>
    <row r="181" spans="1:72" ht="12.9" customHeight="1">
      <c r="C181" s="12"/>
      <c r="D181" s="35"/>
      <c r="E181" s="365" t="s">
        <v>1282</v>
      </c>
      <c r="R181" s="365"/>
      <c r="BN181" s="30" t="s">
        <v>637</v>
      </c>
      <c r="BT181" t="s">
        <v>433</v>
      </c>
    </row>
    <row r="182" spans="1:72" ht="12.9" customHeight="1">
      <c r="C182" s="12"/>
      <c r="D182" s="35"/>
      <c r="BN182" s="30" t="s">
        <v>638</v>
      </c>
      <c r="BT182" t="s">
        <v>434</v>
      </c>
    </row>
    <row r="183" spans="1:72" ht="12.9" customHeight="1">
      <c r="A183" s="3" t="s">
        <v>8</v>
      </c>
      <c r="C183" s="3" t="s">
        <v>9</v>
      </c>
      <c r="BN183" s="30" t="s">
        <v>601</v>
      </c>
      <c r="BT183" t="s">
        <v>435</v>
      </c>
    </row>
    <row r="184" spans="1:72" ht="12.9" customHeight="1">
      <c r="C184" s="29"/>
      <c r="D184" t="s">
        <v>10</v>
      </c>
      <c r="I184" s="1291" t="str">
        <f>H17</f>
        <v>Beech Hill Apartments</v>
      </c>
      <c r="J184" s="1291"/>
      <c r="K184" s="1291"/>
      <c r="L184" s="1291"/>
      <c r="M184" s="1291"/>
      <c r="N184" s="1291"/>
      <c r="O184" s="1291"/>
      <c r="P184" s="1291"/>
      <c r="Q184" s="1291"/>
      <c r="R184" s="1291"/>
      <c r="S184" s="1291"/>
      <c r="T184" s="1291"/>
      <c r="U184" s="1291"/>
      <c r="V184" s="1291"/>
      <c r="W184" s="1291"/>
      <c r="X184" s="1291"/>
      <c r="Y184" s="1291"/>
      <c r="Z184" s="1291"/>
      <c r="AA184" s="1291"/>
      <c r="AB184" s="1291"/>
      <c r="AC184" s="1291"/>
      <c r="AD184" s="1291"/>
      <c r="AE184" s="1291"/>
      <c r="BC184" t="s">
        <v>127</v>
      </c>
      <c r="BN184" s="30" t="s">
        <v>603</v>
      </c>
      <c r="BT184" t="s">
        <v>436</v>
      </c>
    </row>
    <row r="185" spans="1:72" ht="12.9" customHeight="1">
      <c r="C185" s="29"/>
      <c r="D185" t="s">
        <v>456</v>
      </c>
      <c r="I185" s="1085" t="s">
        <v>2360</v>
      </c>
      <c r="J185" s="1085"/>
      <c r="K185" s="1085"/>
      <c r="L185" s="1085"/>
      <c r="M185" s="1085"/>
      <c r="N185" s="1085"/>
      <c r="O185" s="1085"/>
      <c r="P185" s="1085"/>
      <c r="Q185" s="1085"/>
      <c r="R185" s="1085"/>
      <c r="S185" s="1085"/>
      <c r="T185" s="1085"/>
      <c r="U185" s="1085"/>
      <c r="V185" s="1085"/>
      <c r="W185" s="1085"/>
      <c r="X185" s="1085"/>
      <c r="Y185" s="1085"/>
      <c r="Z185" s="1085"/>
      <c r="AA185" s="1085"/>
      <c r="AB185" s="1085"/>
      <c r="AC185" s="1085"/>
      <c r="AD185" s="1085"/>
      <c r="AE185" s="1085"/>
      <c r="BC185" s="41" t="s">
        <v>128</v>
      </c>
      <c r="BN185" s="30" t="s">
        <v>604</v>
      </c>
      <c r="BT185" t="s">
        <v>878</v>
      </c>
    </row>
    <row r="186" spans="1:72" ht="12.9" customHeight="1">
      <c r="C186" s="29"/>
      <c r="E186" t="s">
        <v>65</v>
      </c>
      <c r="BN186" s="30" t="s">
        <v>605</v>
      </c>
      <c r="BT186" t="s">
        <v>879</v>
      </c>
    </row>
    <row r="187" spans="1:72" ht="12.9" customHeight="1">
      <c r="C187" s="29"/>
      <c r="E187" s="1392"/>
      <c r="F187" s="1392"/>
      <c r="G187" s="1392"/>
      <c r="H187" s="1392"/>
      <c r="I187" s="1392"/>
      <c r="J187" s="1392"/>
      <c r="K187" s="1392"/>
      <c r="L187" s="1392"/>
      <c r="M187" s="1392"/>
      <c r="N187" s="1392"/>
      <c r="O187" s="1392"/>
      <c r="P187" s="1392"/>
      <c r="Q187" s="1392"/>
      <c r="R187" s="1392"/>
      <c r="S187" s="1392"/>
      <c r="T187" s="1392"/>
      <c r="U187" s="1392"/>
      <c r="V187" s="1392"/>
      <c r="W187" s="1392"/>
      <c r="X187" s="1392"/>
      <c r="Y187" s="1392"/>
      <c r="Z187" s="1392"/>
      <c r="AA187" s="1392"/>
      <c r="AB187" s="1392"/>
      <c r="AC187" s="1392"/>
      <c r="AD187" s="1392"/>
      <c r="AE187" s="1392"/>
      <c r="BN187" s="30" t="s">
        <v>606</v>
      </c>
      <c r="BT187" t="s">
        <v>880</v>
      </c>
    </row>
    <row r="188" spans="1:72" ht="12.9" customHeight="1">
      <c r="C188" s="29"/>
      <c r="E188" s="1393"/>
      <c r="F188" s="1393"/>
      <c r="G188" s="1393"/>
      <c r="H188" s="1393"/>
      <c r="I188" s="1393"/>
      <c r="J188" s="1393"/>
      <c r="K188" s="1393"/>
      <c r="L188" s="1393"/>
      <c r="M188" s="1393"/>
      <c r="N188" s="1393"/>
      <c r="O188" s="1393"/>
      <c r="P188" s="1393"/>
      <c r="Q188" s="1393"/>
      <c r="R188" s="1393"/>
      <c r="S188" s="1393"/>
      <c r="T188" s="1393"/>
      <c r="U188" s="1393"/>
      <c r="V188" s="1393"/>
      <c r="W188" s="1393"/>
      <c r="X188" s="1393"/>
      <c r="Y188" s="1393"/>
      <c r="Z188" s="1393"/>
      <c r="AA188" s="1393"/>
      <c r="AB188" s="1393"/>
      <c r="AC188" s="1393"/>
      <c r="AD188" s="1393"/>
      <c r="AE188" s="1393"/>
      <c r="BN188" s="30" t="s">
        <v>608</v>
      </c>
      <c r="BT188" t="s">
        <v>881</v>
      </c>
    </row>
    <row r="189" spans="1:72" ht="12.9" customHeight="1">
      <c r="C189" s="29"/>
      <c r="D189" t="s">
        <v>457</v>
      </c>
      <c r="I189" s="1084" t="s">
        <v>2361</v>
      </c>
      <c r="J189" s="1084"/>
      <c r="K189" s="1084"/>
      <c r="L189" s="1084"/>
      <c r="M189" s="1084"/>
      <c r="N189" s="1084"/>
      <c r="O189" s="1084"/>
      <c r="P189" s="1084"/>
      <c r="Q189" t="s">
        <v>459</v>
      </c>
      <c r="T189" s="1084" t="s">
        <v>117</v>
      </c>
      <c r="U189" s="1084"/>
      <c r="V189" s="1084"/>
      <c r="W189" s="1084"/>
      <c r="X189" s="1084"/>
      <c r="Y189" s="1084"/>
      <c r="Z189" s="1084"/>
      <c r="AA189" s="1084"/>
      <c r="AB189" s="1084"/>
      <c r="AC189" s="1084"/>
      <c r="AD189" s="1084"/>
      <c r="AE189" s="1084"/>
      <c r="BC189" t="s">
        <v>83</v>
      </c>
      <c r="BH189" s="41" t="s">
        <v>131</v>
      </c>
      <c r="BN189" s="30" t="s">
        <v>609</v>
      </c>
      <c r="BT189" t="s">
        <v>116</v>
      </c>
    </row>
    <row r="190" spans="1:72" ht="12.9" customHeight="1">
      <c r="C190" s="29"/>
      <c r="D190" t="s">
        <v>460</v>
      </c>
      <c r="I190" s="1085">
        <v>95662</v>
      </c>
      <c r="J190" s="1085"/>
      <c r="K190" s="1085"/>
      <c r="L190" s="1085"/>
      <c r="M190" s="1085"/>
      <c r="N190" s="1085"/>
      <c r="O190" t="s">
        <v>462</v>
      </c>
      <c r="T190" s="1286">
        <v>82.03</v>
      </c>
      <c r="U190" s="1286"/>
      <c r="V190" s="1286"/>
      <c r="W190" s="1286"/>
      <c r="X190" s="1286"/>
      <c r="Y190" s="1286"/>
      <c r="Z190" s="1286"/>
      <c r="AA190" s="1286"/>
      <c r="AB190" s="1286"/>
      <c r="AC190" s="1286"/>
      <c r="AD190" s="1286"/>
      <c r="AE190" s="1286"/>
      <c r="BC190" t="s">
        <v>697</v>
      </c>
      <c r="BH190" t="s">
        <v>697</v>
      </c>
      <c r="BN190" s="30" t="s">
        <v>448</v>
      </c>
      <c r="BT190" t="s">
        <v>117</v>
      </c>
    </row>
    <row r="191" spans="1:72" ht="12.9" customHeight="1">
      <c r="C191" s="29"/>
      <c r="D191" t="s">
        <v>88</v>
      </c>
      <c r="N191" s="1392" t="s">
        <v>2413</v>
      </c>
      <c r="O191" s="1392"/>
      <c r="P191" s="1392"/>
      <c r="Q191" s="1392"/>
      <c r="R191" s="1392"/>
      <c r="S191" s="1392"/>
      <c r="T191" s="1392"/>
      <c r="U191" s="1392"/>
      <c r="V191" s="1392"/>
      <c r="W191" s="1392"/>
      <c r="X191" s="1392"/>
      <c r="Y191" s="1392"/>
      <c r="Z191" s="1392"/>
      <c r="AA191" s="1392"/>
      <c r="AB191" s="1392"/>
      <c r="AC191" s="1392"/>
      <c r="AD191" s="1392"/>
      <c r="AE191" s="1392"/>
      <c r="BC191" t="s">
        <v>1486</v>
      </c>
      <c r="BH191" t="s">
        <v>1486</v>
      </c>
      <c r="BN191" s="30" t="s">
        <v>611</v>
      </c>
      <c r="BT191" t="s">
        <v>118</v>
      </c>
    </row>
    <row r="192" spans="1:72" ht="12.9" customHeight="1">
      <c r="C192" s="29"/>
      <c r="M192" s="49"/>
      <c r="N192" s="1393"/>
      <c r="O192" s="1393"/>
      <c r="P192" s="1393"/>
      <c r="Q192" s="1393"/>
      <c r="R192" s="1393"/>
      <c r="S192" s="1393"/>
      <c r="T192" s="1393"/>
      <c r="U192" s="1393"/>
      <c r="V192" s="1393"/>
      <c r="W192" s="1393"/>
      <c r="X192" s="1393"/>
      <c r="Y192" s="1393"/>
      <c r="Z192" s="1393"/>
      <c r="AA192" s="1393"/>
      <c r="AB192" s="1393"/>
      <c r="AC192" s="1393"/>
      <c r="AD192" s="1393"/>
      <c r="AE192" s="1393"/>
      <c r="BC192" t="s">
        <v>698</v>
      </c>
      <c r="BH192" s="5" t="s">
        <v>1493</v>
      </c>
      <c r="BN192" s="30" t="s">
        <v>612</v>
      </c>
      <c r="BT192" t="s">
        <v>119</v>
      </c>
    </row>
    <row r="193" spans="1:73" ht="12.9" customHeight="1">
      <c r="C193" s="29"/>
      <c r="D193" t="s">
        <v>463</v>
      </c>
      <c r="T193" s="1109" t="s">
        <v>115</v>
      </c>
      <c r="U193" s="1109"/>
      <c r="W193" s="41" t="s">
        <v>1976</v>
      </c>
      <c r="AA193" s="1276">
        <v>2023</v>
      </c>
      <c r="AB193" s="1276"/>
      <c r="AC193" s="1276"/>
      <c r="BC193" t="s">
        <v>593</v>
      </c>
      <c r="BH193" s="5" t="s">
        <v>1494</v>
      </c>
      <c r="BN193" s="30" t="s">
        <v>613</v>
      </c>
      <c r="BT193" t="s">
        <v>120</v>
      </c>
    </row>
    <row r="194" spans="1:73" ht="12.9" customHeight="1">
      <c r="C194" s="29"/>
      <c r="D194" t="s">
        <v>125</v>
      </c>
      <c r="T194" s="1099" t="s">
        <v>509</v>
      </c>
      <c r="U194" s="1099"/>
      <c r="W194" t="s">
        <v>66</v>
      </c>
      <c r="AI194" s="1109" t="s">
        <v>509</v>
      </c>
      <c r="AJ194" s="1109"/>
      <c r="AX194" s="5" t="s">
        <v>131</v>
      </c>
      <c r="BC194" t="s">
        <v>649</v>
      </c>
      <c r="BN194" s="30" t="s">
        <v>788</v>
      </c>
      <c r="BT194" t="s">
        <v>121</v>
      </c>
    </row>
    <row r="195" spans="1:73" ht="12.9" customHeight="1">
      <c r="C195" s="29"/>
      <c r="D195" s="41" t="s">
        <v>1805</v>
      </c>
      <c r="T195" s="1099" t="s">
        <v>509</v>
      </c>
      <c r="U195" s="1099"/>
      <c r="X195" s="804" t="s">
        <v>2223</v>
      </c>
      <c r="AX195" s="5" t="s">
        <v>1196</v>
      </c>
      <c r="BN195" s="30" t="s">
        <v>789</v>
      </c>
      <c r="BT195" t="s">
        <v>122</v>
      </c>
    </row>
    <row r="196" spans="1:73" ht="12.9" customHeight="1">
      <c r="C196" s="29"/>
      <c r="D196" s="5" t="s">
        <v>1201</v>
      </c>
      <c r="T196" s="1099" t="s">
        <v>509</v>
      </c>
      <c r="U196" s="1099"/>
      <c r="AK196" s="1275"/>
      <c r="AL196" s="1275"/>
      <c r="AX196" s="41" t="s">
        <v>2316</v>
      </c>
      <c r="BN196" s="30" t="s">
        <v>790</v>
      </c>
      <c r="BT196" t="s">
        <v>123</v>
      </c>
    </row>
    <row r="197" spans="1:73" ht="12.9" customHeight="1">
      <c r="C197" s="29"/>
      <c r="D197" s="41" t="s">
        <v>1977</v>
      </c>
      <c r="T197" s="1109" t="s">
        <v>509</v>
      </c>
      <c r="U197" s="1109"/>
      <c r="AX197" s="5" t="s">
        <v>1197</v>
      </c>
      <c r="BC197" t="s">
        <v>83</v>
      </c>
      <c r="BN197" s="30" t="s">
        <v>791</v>
      </c>
      <c r="BT197" t="s">
        <v>124</v>
      </c>
    </row>
    <row r="198" spans="1:73" ht="12.9" customHeight="1">
      <c r="C198" s="29"/>
      <c r="D198" s="41" t="s">
        <v>2005</v>
      </c>
      <c r="W198" s="1289" t="s">
        <v>509</v>
      </c>
      <c r="X198" s="1109"/>
      <c r="AX198" s="5" t="s">
        <v>1198</v>
      </c>
      <c r="BC198" t="s">
        <v>1148</v>
      </c>
      <c r="BN198" s="30" t="s">
        <v>792</v>
      </c>
      <c r="BT198" t="s">
        <v>842</v>
      </c>
    </row>
    <row r="199" spans="1:73" ht="12.9" customHeight="1">
      <c r="C199" s="29"/>
      <c r="L199" s="310"/>
      <c r="M199" s="310"/>
      <c r="N199" s="310"/>
      <c r="O199" s="310"/>
      <c r="P199" s="310"/>
      <c r="Q199" s="929" t="s">
        <v>2224</v>
      </c>
      <c r="R199" s="1280" t="s">
        <v>2114</v>
      </c>
      <c r="S199" s="1280"/>
      <c r="T199" s="1280"/>
      <c r="U199" s="1280"/>
      <c r="V199" s="1280"/>
      <c r="W199" s="1280"/>
      <c r="X199" s="1280"/>
      <c r="Y199" s="1280"/>
      <c r="Z199" s="1280"/>
      <c r="AA199" s="1280"/>
      <c r="AB199" s="1280"/>
      <c r="AH199" s="1"/>
      <c r="AI199" s="1"/>
      <c r="AX199" s="5" t="s">
        <v>1199</v>
      </c>
      <c r="BC199" s="5" t="s">
        <v>1149</v>
      </c>
      <c r="BN199" s="30" t="s">
        <v>793</v>
      </c>
      <c r="BO199" s="39"/>
      <c r="BP199" s="40"/>
      <c r="BQ199" s="40"/>
      <c r="BR199" s="40"/>
      <c r="BS199" s="40"/>
      <c r="BT199" s="40" t="s">
        <v>843</v>
      </c>
    </row>
    <row r="200" spans="1:73" ht="12.9" customHeight="1">
      <c r="C200" s="29"/>
      <c r="D200" t="s">
        <v>589</v>
      </c>
      <c r="AH200" s="1"/>
      <c r="AI200" s="1"/>
      <c r="AX200" s="41" t="s">
        <v>2152</v>
      </c>
      <c r="BC200" s="41" t="s">
        <v>2153</v>
      </c>
      <c r="BN200" s="266" t="s">
        <v>692</v>
      </c>
      <c r="BO200" s="21"/>
      <c r="BP200" s="40"/>
      <c r="BQ200" s="40"/>
      <c r="BR200" s="40"/>
      <c r="BS200" s="40"/>
      <c r="BT200" s="40" t="s">
        <v>844</v>
      </c>
    </row>
    <row r="201" spans="1:73" ht="12.9" customHeight="1">
      <c r="C201" s="29"/>
      <c r="G201" s="902" t="s">
        <v>2119</v>
      </c>
      <c r="AX201" s="5" t="s">
        <v>1200</v>
      </c>
      <c r="BC201" t="s">
        <v>900</v>
      </c>
      <c r="BN201" s="30" t="s">
        <v>693</v>
      </c>
      <c r="BO201" s="21"/>
      <c r="BP201" s="40"/>
      <c r="BQ201" s="40"/>
      <c r="BR201" s="40"/>
      <c r="BS201" s="40"/>
      <c r="BT201" s="40" t="s">
        <v>845</v>
      </c>
    </row>
    <row r="202" spans="1:73" ht="12.9" customHeight="1">
      <c r="A202" s="3" t="s">
        <v>126</v>
      </c>
      <c r="C202" s="3" t="s">
        <v>1195</v>
      </c>
      <c r="AX202" s="5" t="s">
        <v>593</v>
      </c>
      <c r="BC202" t="s">
        <v>1501</v>
      </c>
      <c r="BN202" s="30" t="s">
        <v>694</v>
      </c>
      <c r="BT202" s="40" t="s">
        <v>846</v>
      </c>
      <c r="BU202" s="21"/>
    </row>
    <row r="203" spans="1:73" ht="12.9" customHeight="1">
      <c r="D203" s="1291" t="str">
        <f>IF(AND(M25&gt;0,M27&gt;0),"Federal and State","Federal Only")</f>
        <v>Federal Only</v>
      </c>
      <c r="E203" s="1291"/>
      <c r="F203" s="1291"/>
      <c r="G203" s="1291"/>
      <c r="H203" s="1291"/>
      <c r="I203" s="1291"/>
      <c r="J203" s="1291"/>
      <c r="K203" s="1291"/>
      <c r="L203" s="1291"/>
      <c r="M203" s="1291"/>
      <c r="P203" s="1398">
        <f>M25</f>
        <v>1394722</v>
      </c>
      <c r="Q203" s="1398"/>
      <c r="R203" s="1398"/>
      <c r="S203" s="1398"/>
      <c r="T203" s="1398"/>
      <c r="U203" s="1398"/>
      <c r="W203" s="1398">
        <f>M27</f>
        <v>0</v>
      </c>
      <c r="X203" s="1398"/>
      <c r="Y203" s="1398"/>
      <c r="Z203" s="1398"/>
      <c r="AA203" s="1398"/>
      <c r="AB203" s="1398"/>
      <c r="AV203" t="s">
        <v>131</v>
      </c>
      <c r="AX203" s="5" t="s">
        <v>698</v>
      </c>
      <c r="BC203" t="s">
        <v>1499</v>
      </c>
      <c r="BN203" s="30" t="s">
        <v>695</v>
      </c>
      <c r="BT203" s="40" t="s">
        <v>847</v>
      </c>
      <c r="BU203" s="21"/>
    </row>
    <row r="204" spans="1:73" ht="12.9" customHeight="1">
      <c r="C204" s="29"/>
      <c r="P204" s="1379" t="s">
        <v>185</v>
      </c>
      <c r="Q204" s="1379"/>
      <c r="R204" s="1379"/>
      <c r="S204" s="1379"/>
      <c r="T204" s="1379"/>
      <c r="U204" s="1379"/>
      <c r="V204" s="36"/>
      <c r="W204" s="1379" t="s">
        <v>186</v>
      </c>
      <c r="X204" s="1379"/>
      <c r="Y204" s="1379"/>
      <c r="Z204" s="1379"/>
      <c r="AA204" s="1379"/>
      <c r="AB204" s="1379"/>
      <c r="AV204" t="s">
        <v>115</v>
      </c>
      <c r="AX204" s="5" t="s">
        <v>1437</v>
      </c>
      <c r="BC204" t="s">
        <v>899</v>
      </c>
      <c r="BN204" s="30" t="s">
        <v>696</v>
      </c>
      <c r="BT204" s="40" t="s">
        <v>848</v>
      </c>
      <c r="BU204" s="21"/>
    </row>
    <row r="205" spans="1:73" ht="12.9" customHeight="1" thickBot="1">
      <c r="D205" s="470" t="s">
        <v>187</v>
      </c>
      <c r="E205" s="37"/>
      <c r="F205" s="37"/>
      <c r="G205" s="37"/>
      <c r="H205" s="37"/>
      <c r="I205" s="37"/>
      <c r="J205" s="37"/>
      <c r="K205" s="37"/>
      <c r="L205" s="37"/>
      <c r="M205" s="37"/>
      <c r="N205" s="37"/>
      <c r="O205" s="37"/>
      <c r="P205" s="37"/>
      <c r="AV205" t="s">
        <v>509</v>
      </c>
      <c r="BC205" t="s">
        <v>146</v>
      </c>
      <c r="BN205" s="30" t="s">
        <v>939</v>
      </c>
      <c r="BT205" s="40" t="s">
        <v>884</v>
      </c>
    </row>
    <row r="206" spans="1:73" ht="12.9" customHeight="1">
      <c r="X206" s="807"/>
      <c r="Y206" s="808"/>
      <c r="Z206" s="808"/>
      <c r="AA206" s="808"/>
      <c r="AB206" s="808"/>
      <c r="AC206" s="808"/>
      <c r="AD206" s="808"/>
      <c r="AE206" s="808"/>
      <c r="AF206" s="808"/>
      <c r="AG206" s="808"/>
      <c r="AH206" s="808"/>
      <c r="AI206" s="808"/>
      <c r="AJ206" s="808"/>
      <c r="AK206" s="809"/>
      <c r="AX206" t="s">
        <v>83</v>
      </c>
      <c r="BC206" s="180" t="s">
        <v>1502</v>
      </c>
      <c r="BN206" s="30" t="s">
        <v>940</v>
      </c>
      <c r="BT206" s="40" t="s">
        <v>849</v>
      </c>
    </row>
    <row r="207" spans="1:73" ht="12.9" customHeight="1">
      <c r="A207" s="3" t="s">
        <v>129</v>
      </c>
      <c r="C207" s="3" t="s">
        <v>841</v>
      </c>
      <c r="X207" s="810"/>
      <c r="Y207" s="921"/>
      <c r="Z207" s="811"/>
      <c r="AA207" s="811"/>
      <c r="AB207" s="811"/>
      <c r="AC207" s="811"/>
      <c r="AD207" s="811"/>
      <c r="AE207" s="811"/>
      <c r="AF207" s="811"/>
      <c r="AG207" s="811"/>
      <c r="AH207" s="811"/>
      <c r="AI207" s="811"/>
      <c r="AJ207" s="811"/>
      <c r="AK207" s="812"/>
      <c r="AX207" t="s">
        <v>2113</v>
      </c>
      <c r="BC207" t="s">
        <v>1828</v>
      </c>
      <c r="BN207" s="30" t="s">
        <v>1</v>
      </c>
      <c r="BT207" s="40" t="s">
        <v>850</v>
      </c>
    </row>
    <row r="208" spans="1:73" ht="12.9" customHeight="1">
      <c r="C208" s="29"/>
      <c r="D208" s="1110" t="s">
        <v>2370</v>
      </c>
      <c r="E208" s="1110"/>
      <c r="F208" s="1110"/>
      <c r="G208" s="1110"/>
      <c r="H208" s="1110"/>
      <c r="I208" s="1110"/>
      <c r="J208" s="1110"/>
      <c r="K208" s="1110"/>
      <c r="L208" s="1110"/>
      <c r="M208" s="1110"/>
      <c r="X208" s="810"/>
      <c r="Y208" s="922"/>
      <c r="Z208" s="811"/>
      <c r="AA208" s="811"/>
      <c r="AB208" s="811"/>
      <c r="AC208" s="811"/>
      <c r="AD208" s="811"/>
      <c r="AE208" s="811"/>
      <c r="AF208" s="811"/>
      <c r="AG208" s="811"/>
      <c r="AH208" s="811"/>
      <c r="AI208" s="811"/>
      <c r="AJ208" s="811"/>
      <c r="AK208" s="812"/>
      <c r="AX208" t="s">
        <v>2114</v>
      </c>
      <c r="BC208" t="s">
        <v>1500</v>
      </c>
      <c r="BN208" s="30" t="s">
        <v>2</v>
      </c>
      <c r="BT208" s="40" t="s">
        <v>851</v>
      </c>
    </row>
    <row r="209" spans="1:72" ht="12.9" customHeight="1">
      <c r="C209" s="12"/>
      <c r="X209" s="810"/>
      <c r="Y209" s="922"/>
      <c r="Z209" s="811"/>
      <c r="AA209" s="811"/>
      <c r="AB209" s="811"/>
      <c r="AC209" s="811"/>
      <c r="AD209" s="811"/>
      <c r="AE209" s="811"/>
      <c r="AF209" s="811"/>
      <c r="AG209" s="811"/>
      <c r="AH209" s="811"/>
      <c r="AI209" s="811"/>
      <c r="AJ209" s="811"/>
      <c r="AK209" s="812"/>
      <c r="AX209" t="s">
        <v>2115</v>
      </c>
      <c r="BC209" t="s">
        <v>78</v>
      </c>
      <c r="BN209" s="30" t="s">
        <v>3</v>
      </c>
      <c r="BT209" s="40" t="s">
        <v>852</v>
      </c>
    </row>
    <row r="210" spans="1:72" ht="12.9" customHeight="1">
      <c r="A210" s="3" t="s">
        <v>130</v>
      </c>
      <c r="C210" s="3" t="s">
        <v>1194</v>
      </c>
      <c r="X210" s="810"/>
      <c r="Y210" s="922"/>
      <c r="Z210" s="811"/>
      <c r="AA210" s="811"/>
      <c r="AB210" s="811"/>
      <c r="AC210" s="811"/>
      <c r="AD210" s="811"/>
      <c r="AE210" s="811"/>
      <c r="AF210" s="811"/>
      <c r="AG210" s="811"/>
      <c r="AH210" s="811"/>
      <c r="AI210" s="811"/>
      <c r="AJ210" s="811"/>
      <c r="AK210" s="812"/>
      <c r="AX210" t="s">
        <v>2116</v>
      </c>
      <c r="BN210" s="30" t="s">
        <v>4</v>
      </c>
      <c r="BT210" s="40" t="s">
        <v>853</v>
      </c>
    </row>
    <row r="211" spans="1:72" ht="12.9" customHeight="1">
      <c r="C211" s="29"/>
      <c r="D211" s="1110" t="s">
        <v>131</v>
      </c>
      <c r="E211" s="1110"/>
      <c r="F211" s="1110"/>
      <c r="G211" s="1110"/>
      <c r="H211" s="1110"/>
      <c r="I211" s="1110"/>
      <c r="J211" s="1110"/>
      <c r="K211" s="1110"/>
      <c r="L211" s="1110"/>
      <c r="M211" s="1110"/>
      <c r="N211" s="1110"/>
      <c r="O211" s="1110"/>
      <c r="P211" s="1110"/>
      <c r="X211" s="810"/>
      <c r="Y211" s="1287" t="s">
        <v>509</v>
      </c>
      <c r="Z211" s="1287"/>
      <c r="AA211" s="811"/>
      <c r="AB211" s="811"/>
      <c r="AC211" s="811"/>
      <c r="AD211" s="811"/>
      <c r="AE211" s="811"/>
      <c r="AF211" s="811"/>
      <c r="AG211" s="811"/>
      <c r="AH211" s="811"/>
      <c r="AI211" s="811"/>
      <c r="AJ211" s="811"/>
      <c r="AK211" s="812"/>
      <c r="AX211" t="s">
        <v>2117</v>
      </c>
      <c r="BN211" s="30" t="s">
        <v>21</v>
      </c>
      <c r="BT211" s="40" t="s">
        <v>22</v>
      </c>
    </row>
    <row r="212" spans="1:72" ht="12.9" customHeight="1" thickBot="1">
      <c r="X212" s="815"/>
      <c r="Y212" s="813"/>
      <c r="Z212" s="813"/>
      <c r="AA212" s="813"/>
      <c r="AB212" s="813"/>
      <c r="AC212" s="813"/>
      <c r="AD212" s="813"/>
      <c r="AE212" s="813"/>
      <c r="AF212" s="813"/>
      <c r="AG212" s="813"/>
      <c r="AH212" s="813"/>
      <c r="AI212" s="813"/>
      <c r="AJ212" s="813"/>
      <c r="AK212" s="814"/>
      <c r="AX212" t="s">
        <v>2118</v>
      </c>
      <c r="BC212" t="s">
        <v>83</v>
      </c>
      <c r="BN212" s="30" t="s">
        <v>5</v>
      </c>
      <c r="BT212" s="40" t="s">
        <v>854</v>
      </c>
    </row>
    <row r="213" spans="1:72" ht="12.9" customHeight="1">
      <c r="A213" s="3" t="s">
        <v>132</v>
      </c>
      <c r="C213" s="3" t="s">
        <v>1487</v>
      </c>
      <c r="AX213" s="41" t="s">
        <v>2120</v>
      </c>
      <c r="BC213" t="s">
        <v>660</v>
      </c>
      <c r="BN213" s="30" t="s">
        <v>6</v>
      </c>
      <c r="BT213" s="40" t="s">
        <v>855</v>
      </c>
    </row>
    <row r="214" spans="1:72" ht="12.9" customHeight="1">
      <c r="C214" s="29"/>
      <c r="D214" s="1110" t="s">
        <v>697</v>
      </c>
      <c r="E214" s="1110"/>
      <c r="F214" s="1110"/>
      <c r="G214" s="1110"/>
      <c r="H214" s="1110"/>
      <c r="I214" s="1110"/>
      <c r="J214" s="1110"/>
      <c r="K214" s="1110"/>
      <c r="L214" s="1110"/>
      <c r="M214" s="1110"/>
      <c r="N214" s="1110"/>
      <c r="O214" s="1110"/>
      <c r="P214" s="1110"/>
      <c r="Q214" s="1110"/>
      <c r="R214" s="1110"/>
      <c r="S214" s="1110"/>
      <c r="T214" s="1110"/>
      <c r="U214" s="1110"/>
      <c r="V214" s="1110"/>
      <c r="W214" s="1110"/>
      <c r="X214" s="1110"/>
      <c r="Y214" s="1110"/>
      <c r="Z214" s="1110"/>
      <c r="BC214" t="s">
        <v>664</v>
      </c>
      <c r="BN214" s="30" t="s">
        <v>470</v>
      </c>
      <c r="BT214" s="40" t="s">
        <v>856</v>
      </c>
    </row>
    <row r="215" spans="1:72" ht="12.9" customHeight="1">
      <c r="D215" s="35"/>
      <c r="E215" s="41" t="s">
        <v>2200</v>
      </c>
      <c r="AC215" s="1281"/>
      <c r="AD215" s="1281"/>
      <c r="AF215" s="1394">
        <f>IFERROR(AC215/AG433,"")</f>
        <v>0</v>
      </c>
      <c r="AG215" s="1394"/>
      <c r="BC215" t="s">
        <v>661</v>
      </c>
    </row>
    <row r="216" spans="1:72" ht="12.9" customHeight="1">
      <c r="D216" s="35"/>
      <c r="E216" s="945" t="s">
        <v>1497</v>
      </c>
      <c r="BC216" t="s">
        <v>778</v>
      </c>
    </row>
    <row r="217" spans="1:72" ht="12.9" customHeight="1">
      <c r="E217" s="1403" t="s">
        <v>131</v>
      </c>
      <c r="F217" s="1403"/>
      <c r="G217" s="1403"/>
      <c r="H217" s="1403"/>
      <c r="I217" s="1403"/>
      <c r="J217" s="1403"/>
      <c r="K217" s="1403"/>
      <c r="L217" s="1403"/>
      <c r="M217" s="1403"/>
      <c r="N217" s="1403"/>
      <c r="O217" s="1403"/>
      <c r="P217" s="1403"/>
      <c r="Q217" s="1403"/>
      <c r="R217" s="1403"/>
      <c r="S217" s="1403"/>
      <c r="T217" s="1403"/>
      <c r="U217" s="1403"/>
      <c r="V217" s="1403"/>
      <c r="W217" s="1403"/>
      <c r="X217" s="1403"/>
      <c r="Y217" s="1403"/>
      <c r="Z217" s="1403"/>
      <c r="AA217" s="49"/>
      <c r="AB217" s="49"/>
      <c r="AC217" s="49"/>
      <c r="AD217" s="49"/>
      <c r="AE217" s="49"/>
      <c r="AF217" s="49"/>
      <c r="BC217" t="s">
        <v>662</v>
      </c>
    </row>
    <row r="218" spans="1:72" ht="12.9" customHeight="1">
      <c r="E218" s="41" t="s">
        <v>2053</v>
      </c>
      <c r="AA218" s="49"/>
      <c r="AC218" s="1290"/>
      <c r="AD218" s="1290"/>
      <c r="AE218" s="1290"/>
      <c r="AF218" s="1290"/>
      <c r="AG218" s="1290"/>
      <c r="AH218" s="1290"/>
      <c r="AI218" s="1290"/>
      <c r="AJ218" s="1290"/>
      <c r="AK218" s="1290"/>
      <c r="AL218" s="1290"/>
      <c r="AM218" s="1290"/>
      <c r="BC218" t="s">
        <v>663</v>
      </c>
      <c r="BI218" s="39"/>
    </row>
    <row r="219" spans="1:72" ht="12.9" customHeight="1">
      <c r="E219" s="41" t="s">
        <v>2054</v>
      </c>
      <c r="AA219" s="49"/>
      <c r="AC219" s="1290"/>
      <c r="AD219" s="1290"/>
      <c r="AE219" s="1290"/>
      <c r="AF219" s="1290"/>
      <c r="AG219" s="1290"/>
      <c r="AH219" s="1290"/>
      <c r="AI219" s="1290"/>
      <c r="AJ219" s="1290"/>
      <c r="AK219" s="1290"/>
      <c r="AL219" s="1290"/>
      <c r="AM219" s="1290"/>
      <c r="BC219" t="s">
        <v>521</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2.9" customHeight="1">
      <c r="A221" s="3" t="s">
        <v>390</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280" t="s">
        <v>1502</v>
      </c>
      <c r="E223" s="1280"/>
      <c r="F223" s="1280"/>
      <c r="G223" s="1280"/>
      <c r="H223" s="1280"/>
      <c r="I223" s="1280"/>
      <c r="J223" s="1280"/>
      <c r="K223" s="1280"/>
      <c r="L223" s="1280"/>
      <c r="M223" s="1280"/>
      <c r="N223" s="1280"/>
      <c r="O223" s="1280"/>
      <c r="P223" s="1280"/>
      <c r="Q223" s="1280"/>
      <c r="R223" s="1280"/>
      <c r="S223" s="1280"/>
      <c r="T223" s="1280"/>
      <c r="U223" s="1280"/>
      <c r="V223" s="1280"/>
      <c r="W223" s="1280"/>
      <c r="X223" s="1280"/>
      <c r="Y223" s="1280"/>
      <c r="Z223" s="1280"/>
      <c r="AA223" s="1280"/>
      <c r="AB223" s="1280"/>
      <c r="AC223" s="1280"/>
      <c r="AD223" s="1280"/>
      <c r="AE223" s="1280"/>
      <c r="AF223" s="1280"/>
      <c r="AG223" s="1280"/>
      <c r="AH223" s="1280"/>
      <c r="AI223" s="1280"/>
      <c r="AJ223" s="21"/>
      <c r="AK223" s="21"/>
      <c r="AL223" s="21"/>
    </row>
    <row r="224" spans="1:72" ht="12.9" customHeight="1">
      <c r="AJ224" s="5"/>
    </row>
    <row r="225" spans="1:59" ht="12.9" customHeight="1">
      <c r="D225" t="s">
        <v>586</v>
      </c>
      <c r="O225" s="1109">
        <v>7</v>
      </c>
      <c r="P225" s="1109"/>
    </row>
    <row r="226" spans="1:59" ht="12.9" customHeight="1">
      <c r="D226" t="s">
        <v>587</v>
      </c>
      <c r="O226" s="1109">
        <v>6</v>
      </c>
      <c r="P226" s="1109"/>
      <c r="BB226" s="5" t="s">
        <v>672</v>
      </c>
      <c r="BG226" s="414">
        <f>IF(AND(AND($M$251="for profit",$M$259="for profit",$M$267="nonprofit")),2,0)</f>
        <v>0</v>
      </c>
    </row>
    <row r="227" spans="1:59" ht="12.9" customHeight="1">
      <c r="D227" t="s">
        <v>588</v>
      </c>
      <c r="O227" s="1109">
        <v>1</v>
      </c>
      <c r="P227" s="1109"/>
      <c r="BB227" s="5" t="s">
        <v>672</v>
      </c>
      <c r="BG227" s="414">
        <f>IF(AND(AND($M$251="for profit",$M$259="nonprofit",$M$267="for profit")),2,0)</f>
        <v>0</v>
      </c>
    </row>
    <row r="228" spans="1:59" ht="12.9" customHeight="1">
      <c r="D228" t="s">
        <v>589</v>
      </c>
      <c r="BB228" t="s">
        <v>672</v>
      </c>
      <c r="BG228" s="414">
        <f>IF(AND(AND($M$251="nonprofit",$M$259="for profit",$M$267="for profit")),2,0)</f>
        <v>0</v>
      </c>
    </row>
    <row r="229" spans="1:59" ht="12.9" customHeight="1">
      <c r="D229" s="364" t="s">
        <v>1227</v>
      </c>
      <c r="U229" s="364" t="s">
        <v>1228</v>
      </c>
      <c r="BB229" t="s">
        <v>672</v>
      </c>
      <c r="BG229" s="414">
        <f>IF(AND(AND($M$251="for profit",$M$259="nonprofit",$M$267="(select one)")),2,0)</f>
        <v>0</v>
      </c>
    </row>
    <row r="230" spans="1:59" ht="12.9" customHeight="1">
      <c r="BB230" t="s">
        <v>672</v>
      </c>
      <c r="BG230" s="415">
        <f>IF(AND(AND($M$251="nonprofit",$M$259="for profit",$M$267="(select one)")),2,0)</f>
        <v>0</v>
      </c>
    </row>
    <row r="231" spans="1:59" ht="12.9" customHeight="1">
      <c r="A231" s="1282" t="s">
        <v>522</v>
      </c>
      <c r="B231" s="1282"/>
      <c r="C231" s="1282"/>
      <c r="D231" s="1282"/>
      <c r="E231" s="1282"/>
      <c r="F231" s="1282"/>
      <c r="G231" s="1282"/>
      <c r="H231" s="1282"/>
      <c r="I231" s="1282"/>
      <c r="J231" s="1282"/>
      <c r="K231" s="1282"/>
      <c r="L231" s="1282"/>
      <c r="M231" s="1282"/>
      <c r="N231" s="1282"/>
      <c r="O231" s="1282"/>
      <c r="P231" s="1282"/>
      <c r="Q231" s="1282"/>
      <c r="R231" s="1282"/>
      <c r="S231" s="1282"/>
      <c r="T231" s="1282"/>
      <c r="U231" s="1282"/>
      <c r="V231" s="1282"/>
      <c r="W231" s="1282"/>
      <c r="X231" s="1282"/>
      <c r="Y231" s="1282"/>
      <c r="Z231" s="1282"/>
      <c r="AA231" s="1282"/>
      <c r="AB231" s="1282"/>
      <c r="AC231" s="1282"/>
      <c r="AD231" s="1282"/>
      <c r="AE231" s="1282"/>
      <c r="AF231" s="1282"/>
      <c r="AG231" s="1282"/>
      <c r="AH231" s="1282"/>
      <c r="AI231" s="1282"/>
      <c r="AJ231" s="1282"/>
      <c r="AK231" s="1282"/>
      <c r="AL231" s="1282"/>
    </row>
    <row r="232" spans="1:59" ht="12.9" customHeight="1" thickBot="1">
      <c r="A232" s="1283"/>
      <c r="B232" s="1283"/>
      <c r="C232" s="1283"/>
      <c r="D232" s="1283"/>
      <c r="E232" s="1283"/>
      <c r="F232" s="1283"/>
      <c r="G232" s="1283"/>
      <c r="H232" s="1283"/>
      <c r="I232" s="1283"/>
      <c r="J232" s="1283"/>
      <c r="K232" s="1283"/>
      <c r="L232" s="1283"/>
      <c r="M232" s="1283"/>
      <c r="N232" s="1283"/>
      <c r="O232" s="1283"/>
      <c r="P232" s="1283"/>
      <c r="Q232" s="1283"/>
      <c r="R232" s="1283"/>
      <c r="S232" s="1283"/>
      <c r="T232" s="1283"/>
      <c r="U232" s="1283"/>
      <c r="V232" s="1283"/>
      <c r="W232" s="1283"/>
      <c r="X232" s="1283"/>
      <c r="Y232" s="1283"/>
      <c r="Z232" s="1283"/>
      <c r="AA232" s="1283"/>
      <c r="AB232" s="1283"/>
      <c r="AC232" s="1283"/>
      <c r="AD232" s="1283"/>
      <c r="AE232" s="1283"/>
      <c r="AF232" s="1283"/>
      <c r="AG232" s="1283"/>
      <c r="AH232" s="1283"/>
      <c r="AI232" s="1283"/>
      <c r="AJ232" s="1283"/>
      <c r="AK232" s="1283"/>
      <c r="AL232" s="1283"/>
      <c r="BB232" s="3" t="s">
        <v>672</v>
      </c>
      <c r="BC232" s="3"/>
      <c r="BD232" s="3"/>
      <c r="BE232" s="3"/>
      <c r="BF232" s="3"/>
      <c r="BG232" s="193">
        <f>IF(AND(AND($M$251="nonprofit",$M$259="nonprofit",$M$267="for profit")),2,0)</f>
        <v>0</v>
      </c>
    </row>
    <row r="233" spans="1:59" ht="12.9"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 customHeight="1">
      <c r="D235" s="5" t="s">
        <v>394</v>
      </c>
      <c r="E235" s="5"/>
      <c r="F235" s="5"/>
      <c r="G235" s="5"/>
      <c r="H235" s="5"/>
      <c r="I235" s="5"/>
      <c r="J235" s="5"/>
      <c r="K235" s="5"/>
      <c r="M235" s="1378" t="str">
        <f>H15</f>
        <v>Pacific Housing, Inc.</v>
      </c>
      <c r="N235" s="1378"/>
      <c r="O235" s="1378"/>
      <c r="P235" s="1378"/>
      <c r="Q235" s="1378"/>
      <c r="R235" s="1378"/>
      <c r="S235" s="1378"/>
      <c r="T235" s="1378"/>
      <c r="U235" s="1378"/>
      <c r="V235" s="1378"/>
      <c r="W235" s="1378"/>
      <c r="X235" s="1378"/>
      <c r="Y235" s="1378"/>
      <c r="Z235" s="1378"/>
      <c r="AA235" s="1378"/>
      <c r="AB235" s="1378"/>
      <c r="AC235" s="1378"/>
      <c r="AD235" s="1378"/>
      <c r="AE235" s="1378"/>
      <c r="AF235" s="1378"/>
      <c r="AG235" s="1378"/>
      <c r="AH235" s="1378"/>
      <c r="AI235" s="1378"/>
      <c r="AJ235" s="1378"/>
      <c r="AK235" s="1378"/>
      <c r="BB235" s="3"/>
      <c r="BG235" s="5"/>
    </row>
    <row r="236" spans="1:59" ht="12.9" customHeight="1">
      <c r="D236" s="5" t="s">
        <v>395</v>
      </c>
      <c r="E236" s="5"/>
      <c r="F236" s="5"/>
      <c r="G236" s="5"/>
      <c r="H236" s="5"/>
      <c r="I236" s="5"/>
      <c r="J236" s="5"/>
      <c r="K236" s="5"/>
      <c r="M236" s="1280" t="s">
        <v>2376</v>
      </c>
      <c r="N236" s="1110"/>
      <c r="O236" s="1110"/>
      <c r="P236" s="1110"/>
      <c r="Q236" s="1110"/>
      <c r="R236" s="1110"/>
      <c r="S236" s="1110"/>
      <c r="T236" s="1110"/>
      <c r="U236" s="1110"/>
      <c r="V236" s="1110"/>
      <c r="W236" s="1110"/>
      <c r="X236" s="1110"/>
      <c r="Y236" s="1110"/>
      <c r="Z236" s="1110"/>
      <c r="AA236" s="1110"/>
      <c r="AB236" s="1110"/>
      <c r="AC236" s="1110"/>
      <c r="AD236" s="1110"/>
      <c r="AE236" s="1110"/>
      <c r="AM236" s="41"/>
      <c r="AN236" s="41"/>
      <c r="BB236" t="s">
        <v>671</v>
      </c>
      <c r="BG236" s="414">
        <f>IF(AND(AND($M$251="nonprofit",$M$259="nonprofit",$M$267="nonprofit")),1,0)</f>
        <v>0</v>
      </c>
    </row>
    <row r="237" spans="1:59" ht="12.9" customHeight="1">
      <c r="D237" s="5" t="s">
        <v>457</v>
      </c>
      <c r="E237" s="5"/>
      <c r="M237" s="1280" t="s">
        <v>117</v>
      </c>
      <c r="N237" s="1110"/>
      <c r="O237" s="1110"/>
      <c r="P237" s="1110"/>
      <c r="Q237" s="1110"/>
      <c r="R237" s="1110"/>
      <c r="S237" s="1110"/>
      <c r="T237" s="1110"/>
      <c r="V237" s="42" t="s">
        <v>396</v>
      </c>
      <c r="W237" s="1134" t="s">
        <v>2371</v>
      </c>
      <c r="X237" s="1279"/>
      <c r="Y237" s="5" t="s">
        <v>460</v>
      </c>
      <c r="AC237" s="1110">
        <v>95816</v>
      </c>
      <c r="AD237" s="1110"/>
      <c r="AE237" s="1110"/>
      <c r="AN237" s="41"/>
      <c r="BB237" t="s">
        <v>671</v>
      </c>
      <c r="BG237" s="414">
        <f>IF(AND(AND($M$251="nonprofit",$M$259="nonprofit",$M$267="(select one)")),1,0)</f>
        <v>0</v>
      </c>
    </row>
    <row r="238" spans="1:59" ht="12.9" customHeight="1">
      <c r="D238" s="5" t="s">
        <v>397</v>
      </c>
      <c r="E238" s="5"/>
      <c r="F238" s="5"/>
      <c r="G238" s="5"/>
      <c r="H238" s="5"/>
      <c r="I238" s="5"/>
      <c r="J238" s="5"/>
      <c r="K238" s="28"/>
      <c r="M238" s="1280" t="s">
        <v>2391</v>
      </c>
      <c r="N238" s="1110"/>
      <c r="O238" s="1110"/>
      <c r="P238" s="1110"/>
      <c r="Q238" s="1110"/>
      <c r="R238" s="1110"/>
      <c r="S238" s="1110"/>
      <c r="T238" s="1110"/>
      <c r="U238" s="1110"/>
      <c r="V238" s="1110"/>
      <c r="W238" s="1110"/>
      <c r="X238" s="1110"/>
      <c r="Y238" s="1110"/>
      <c r="Z238" s="1110"/>
      <c r="AA238" s="1110"/>
      <c r="AB238" s="1110"/>
      <c r="AC238" s="1110"/>
      <c r="AD238" s="1110"/>
      <c r="AE238" s="1110"/>
      <c r="AI238" s="5"/>
      <c r="AJ238" s="5"/>
      <c r="AK238" s="5"/>
      <c r="AL238" s="5"/>
      <c r="AN238" s="41"/>
      <c r="BB238" t="s">
        <v>671</v>
      </c>
      <c r="BG238" s="414">
        <f>IF(AND(AND($M$251="nonprofit",$M$259="(select one)",$M$267="(select one)")),1,0)</f>
        <v>0</v>
      </c>
    </row>
    <row r="239" spans="1:59" ht="12.9" customHeight="1">
      <c r="D239" s="5" t="s">
        <v>398</v>
      </c>
      <c r="E239" s="5"/>
      <c r="F239" s="5"/>
      <c r="M239" s="1284" t="s">
        <v>2377</v>
      </c>
      <c r="N239" s="1108"/>
      <c r="O239" s="1108"/>
      <c r="P239" s="1108"/>
      <c r="Q239" s="1108"/>
      <c r="R239" s="1108"/>
      <c r="S239" s="5" t="s">
        <v>857</v>
      </c>
      <c r="T239" s="5"/>
      <c r="U239" s="1279"/>
      <c r="V239" s="1279"/>
      <c r="W239" s="1279"/>
      <c r="X239" s="5" t="s">
        <v>399</v>
      </c>
      <c r="Z239" s="1108"/>
      <c r="AA239" s="1108"/>
      <c r="AB239" s="1108"/>
      <c r="AC239" s="1108"/>
      <c r="AD239" s="1108"/>
      <c r="AE239" s="1108"/>
      <c r="AM239" s="41"/>
      <c r="AN239" s="41"/>
      <c r="BB239" t="s">
        <v>1052</v>
      </c>
      <c r="BG239" s="414">
        <f>IF(AND(AND($M$251="for profit",$M$259="for profit",$M$267="for profit")),3,0)</f>
        <v>0</v>
      </c>
    </row>
    <row r="240" spans="1:59" ht="12.9" customHeight="1">
      <c r="D240" s="5" t="s">
        <v>400</v>
      </c>
      <c r="E240" s="5"/>
      <c r="F240" s="5"/>
      <c r="M240" s="1133" t="s">
        <v>2396</v>
      </c>
      <c r="N240" s="1133"/>
      <c r="O240" s="1133"/>
      <c r="P240" s="1133"/>
      <c r="Q240" s="1133"/>
      <c r="R240" s="1133"/>
      <c r="S240" s="1133"/>
      <c r="T240" s="1133"/>
      <c r="U240" s="1133"/>
      <c r="V240" s="1133"/>
      <c r="W240" s="1133"/>
      <c r="X240" s="1133"/>
      <c r="Y240" s="1133"/>
      <c r="Z240" s="1133"/>
      <c r="AA240" s="1133"/>
      <c r="AB240" s="1133"/>
      <c r="AC240" s="1133"/>
      <c r="AD240" s="1133"/>
      <c r="AE240" s="1133"/>
      <c r="AF240" s="5"/>
      <c r="AG240" s="5"/>
      <c r="AH240" s="5"/>
      <c r="AI240" s="5"/>
      <c r="AJ240" s="5"/>
      <c r="AK240" s="5"/>
      <c r="AL240" s="5"/>
      <c r="AN240" s="41"/>
      <c r="AO240" s="41"/>
      <c r="BB240" t="s">
        <v>1052</v>
      </c>
      <c r="BG240" s="415">
        <f>IF(AND(AND($M$251="for profit",$M$259="for profit",$M$267="(select one)")),3,0)</f>
        <v>0</v>
      </c>
    </row>
    <row r="241" spans="1:67" ht="12.9" customHeight="1">
      <c r="A241" s="3" t="s">
        <v>8</v>
      </c>
      <c r="C241" s="3" t="s">
        <v>659</v>
      </c>
      <c r="M241" s="1085" t="s">
        <v>521</v>
      </c>
      <c r="N241" s="1085"/>
      <c r="O241" s="1085"/>
      <c r="P241" s="1085"/>
      <c r="Q241" s="1085"/>
      <c r="R241" s="1085"/>
      <c r="S241" s="1085"/>
      <c r="T241" s="1085"/>
      <c r="U241" s="5" t="s">
        <v>1190</v>
      </c>
      <c r="AA241" s="1107"/>
      <c r="AB241" s="1107"/>
      <c r="AC241" s="1107"/>
      <c r="AD241" s="1107"/>
      <c r="AE241" s="1107"/>
      <c r="AF241" s="1107"/>
      <c r="AG241" s="1107"/>
      <c r="AH241" s="1107"/>
      <c r="AI241" s="1107"/>
      <c r="AJ241" s="1107"/>
      <c r="AK241" s="1107"/>
      <c r="AL241" s="41"/>
      <c r="AM241" s="5"/>
      <c r="AN241" s="41"/>
      <c r="AO241" s="41"/>
      <c r="BB241" t="s">
        <v>1052</v>
      </c>
      <c r="BG241" s="415">
        <f>IF(AND(AND($M$251="for profit",$M$259="(select one)",$M$267="(select one)")),3,0)</f>
        <v>0</v>
      </c>
    </row>
    <row r="242" spans="1:67" ht="12.9" customHeight="1">
      <c r="D242" t="s">
        <v>665</v>
      </c>
      <c r="M242" s="1280"/>
      <c r="N242" s="1084"/>
      <c r="O242" s="1084"/>
      <c r="P242" s="1084"/>
      <c r="Q242" s="1084"/>
      <c r="R242" s="1084"/>
      <c r="S242" s="1084"/>
      <c r="T242" s="1084"/>
      <c r="U242" s="1084"/>
      <c r="V242" s="1084"/>
      <c r="W242" s="1084"/>
      <c r="X242" s="1084"/>
      <c r="Y242" s="1084"/>
      <c r="Z242" s="1084"/>
      <c r="AA242" s="1084"/>
      <c r="AB242" s="1084"/>
      <c r="AC242" s="1084"/>
      <c r="AD242" s="1084"/>
      <c r="AE242" s="1084"/>
      <c r="AF242" s="946" t="str">
        <f>IF(AND(M241="other",M242=""),"!","")</f>
        <v/>
      </c>
      <c r="AG242" s="946"/>
      <c r="AH242" s="5"/>
      <c r="AI242" s="5"/>
      <c r="AJ242" s="5"/>
      <c r="AK242" s="41"/>
      <c r="AL242" s="41"/>
    </row>
    <row r="243" spans="1:67" ht="12.9" customHeight="1">
      <c r="D243" s="5"/>
      <c r="AM243" s="5"/>
    </row>
    <row r="244" spans="1:67" ht="12.9" customHeight="1">
      <c r="A244" s="3" t="s">
        <v>126</v>
      </c>
      <c r="C244" s="3" t="s">
        <v>667</v>
      </c>
      <c r="D244" s="5"/>
      <c r="L244" s="12"/>
      <c r="M244" s="12"/>
      <c r="N244" s="12"/>
      <c r="AN244" s="41"/>
      <c r="BB244" t="s">
        <v>83</v>
      </c>
      <c r="BH244">
        <v>1</v>
      </c>
      <c r="BI244" t="s">
        <v>668</v>
      </c>
    </row>
    <row r="245" spans="1:67" ht="12.9" customHeight="1">
      <c r="A245" s="28"/>
      <c r="C245" s="62" t="s">
        <v>1533</v>
      </c>
      <c r="D245" s="5" t="s">
        <v>666</v>
      </c>
      <c r="E245" s="5"/>
      <c r="F245" s="5"/>
      <c r="G245" s="5"/>
      <c r="H245" s="5"/>
      <c r="I245" s="5"/>
      <c r="J245" s="5"/>
      <c r="K245" s="5"/>
      <c r="L245" s="5"/>
      <c r="M245" s="1277"/>
      <c r="N245" s="1277"/>
      <c r="O245" s="1277"/>
      <c r="P245" s="1277"/>
      <c r="Q245" s="1277"/>
      <c r="R245" s="1277"/>
      <c r="S245" s="1277"/>
      <c r="T245" s="1277"/>
      <c r="U245" s="1277"/>
      <c r="V245" s="1277"/>
      <c r="W245" s="1277"/>
      <c r="X245" s="1277"/>
      <c r="Y245" s="1277"/>
      <c r="Z245" s="1277"/>
      <c r="AA245" s="1277"/>
      <c r="AB245" s="1277"/>
      <c r="AC245" s="1277"/>
      <c r="AD245" s="1277"/>
      <c r="AE245" s="1277"/>
      <c r="AF245" s="1278" t="s">
        <v>83</v>
      </c>
      <c r="AG245" s="1278"/>
      <c r="AH245" s="1278"/>
      <c r="AI245" s="1278"/>
      <c r="AJ245" s="1278"/>
      <c r="AK245" s="1278"/>
      <c r="AM245" s="5"/>
      <c r="AN245" s="41"/>
      <c r="BB245" s="5" t="s">
        <v>932</v>
      </c>
      <c r="BH245">
        <v>2</v>
      </c>
      <c r="BI245" t="s">
        <v>778</v>
      </c>
      <c r="BO245" s="416" t="e">
        <f>VLOOKUP(AZ260,BH244:BI246,2,FALSE)</f>
        <v>#N/A</v>
      </c>
    </row>
    <row r="246" spans="1:67" ht="12.9" customHeight="1">
      <c r="A246" s="28"/>
      <c r="B246" s="5"/>
      <c r="C246" s="5"/>
      <c r="D246" s="5" t="s">
        <v>395</v>
      </c>
      <c r="E246" s="5"/>
      <c r="F246" s="5"/>
      <c r="G246" s="5"/>
      <c r="H246" s="5"/>
      <c r="I246" s="5"/>
      <c r="J246" s="5"/>
      <c r="K246" s="5"/>
      <c r="L246" s="5"/>
      <c r="M246" s="1110"/>
      <c r="N246" s="1110"/>
      <c r="O246" s="1110"/>
      <c r="P246" s="1110"/>
      <c r="Q246" s="1110"/>
      <c r="R246" s="1110"/>
      <c r="S246" s="1110"/>
      <c r="T246" s="1110"/>
      <c r="U246" s="1110"/>
      <c r="V246" s="1110"/>
      <c r="W246" s="1110"/>
      <c r="X246" s="1110"/>
      <c r="Y246" s="1110"/>
      <c r="Z246" s="1110"/>
      <c r="AA246" s="1110"/>
      <c r="AB246" s="1110"/>
      <c r="AC246" s="1110"/>
      <c r="AD246" s="1110"/>
      <c r="AE246" s="1110"/>
      <c r="AL246" s="5"/>
      <c r="AN246" s="41"/>
      <c r="BB246" s="5" t="s">
        <v>481</v>
      </c>
      <c r="BH246">
        <v>3</v>
      </c>
      <c r="BI246" t="s">
        <v>670</v>
      </c>
    </row>
    <row r="247" spans="1:67" ht="12.9" customHeight="1">
      <c r="A247" s="28"/>
      <c r="B247" s="5"/>
      <c r="C247" s="5"/>
      <c r="D247" s="5" t="s">
        <v>457</v>
      </c>
      <c r="E247" s="5"/>
      <c r="M247" s="1110"/>
      <c r="N247" s="1110"/>
      <c r="O247" s="1110"/>
      <c r="P247" s="1110"/>
      <c r="Q247" s="1110"/>
      <c r="R247" s="1110"/>
      <c r="S247" s="1110"/>
      <c r="T247" s="1110"/>
      <c r="V247" s="42" t="s">
        <v>396</v>
      </c>
      <c r="W247" s="1279"/>
      <c r="X247" s="1279"/>
      <c r="Y247" s="5" t="s">
        <v>460</v>
      </c>
      <c r="AC247" s="1110"/>
      <c r="AD247" s="1110"/>
      <c r="AE247" s="1110"/>
      <c r="AN247" s="41"/>
    </row>
    <row r="248" spans="1:67" ht="12.9" customHeight="1">
      <c r="A248" s="28"/>
      <c r="B248" s="5"/>
      <c r="C248" s="5"/>
      <c r="D248" s="5" t="s">
        <v>397</v>
      </c>
      <c r="E248" s="5"/>
      <c r="F248" s="5"/>
      <c r="G248" s="5"/>
      <c r="H248" s="5"/>
      <c r="I248" s="5"/>
      <c r="J248" s="5"/>
      <c r="K248" s="5"/>
      <c r="L248" s="28"/>
      <c r="M248" s="1110"/>
      <c r="N248" s="1110"/>
      <c r="O248" s="1110"/>
      <c r="P248" s="1110"/>
      <c r="Q248" s="1110"/>
      <c r="R248" s="1110"/>
      <c r="S248" s="1110"/>
      <c r="T248" s="1110"/>
      <c r="U248" s="1110"/>
      <c r="V248" s="1110"/>
      <c r="W248" s="1110"/>
      <c r="X248" s="1110"/>
      <c r="Y248" s="1110"/>
      <c r="Z248" s="1110"/>
      <c r="AA248" s="1110"/>
      <c r="AB248" s="1110"/>
      <c r="AC248" s="1110"/>
      <c r="AD248" s="1110"/>
      <c r="AE248" s="1110"/>
      <c r="AJ248" s="5"/>
      <c r="AK248" s="5"/>
      <c r="AL248" s="5"/>
      <c r="AN248" s="41"/>
    </row>
    <row r="249" spans="1:67" ht="12.9" customHeight="1">
      <c r="A249" s="28"/>
      <c r="B249" s="5"/>
      <c r="C249" s="5"/>
      <c r="D249" s="5" t="s">
        <v>398</v>
      </c>
      <c r="E249" s="5"/>
      <c r="F249" s="5"/>
      <c r="M249" s="1108"/>
      <c r="N249" s="1108"/>
      <c r="O249" s="1108"/>
      <c r="P249" s="1108"/>
      <c r="Q249" s="1108"/>
      <c r="R249" s="1108"/>
      <c r="S249" s="5" t="s">
        <v>857</v>
      </c>
      <c r="T249" s="5"/>
      <c r="U249" s="1279"/>
      <c r="V249" s="1279"/>
      <c r="W249" s="1279"/>
      <c r="X249" s="5" t="s">
        <v>399</v>
      </c>
      <c r="Z249" s="1108"/>
      <c r="AA249" s="1108"/>
      <c r="AB249" s="1108"/>
      <c r="AC249" s="1108"/>
      <c r="AD249" s="1108"/>
      <c r="AE249" s="1108"/>
      <c r="AM249" s="5"/>
      <c r="AN249" s="41"/>
    </row>
    <row r="250" spans="1:67" ht="12.9" customHeight="1">
      <c r="A250" s="28"/>
      <c r="B250" s="5"/>
      <c r="C250" s="5"/>
      <c r="D250" s="5" t="s">
        <v>400</v>
      </c>
      <c r="E250" s="5"/>
      <c r="F250" s="5"/>
      <c r="M250" s="1133"/>
      <c r="N250" s="1133"/>
      <c r="O250" s="1133"/>
      <c r="P250" s="1133"/>
      <c r="Q250" s="1133"/>
      <c r="R250" s="1133"/>
      <c r="S250" s="1133"/>
      <c r="T250" s="1133"/>
      <c r="U250" s="1133"/>
      <c r="V250" s="1133"/>
      <c r="W250" s="1133"/>
      <c r="X250" s="1133"/>
      <c r="Y250" s="1133"/>
      <c r="Z250" s="1133"/>
      <c r="AA250" s="1133"/>
      <c r="AB250" s="1133"/>
      <c r="AC250" s="1133"/>
      <c r="AD250" s="1133"/>
      <c r="AE250" s="1133"/>
      <c r="AG250" s="5"/>
      <c r="AH250" s="5"/>
      <c r="AI250" s="5"/>
      <c r="AJ250" s="5"/>
      <c r="AK250" s="5"/>
      <c r="AL250" s="5"/>
    </row>
    <row r="251" spans="1:67" ht="12.9" customHeight="1">
      <c r="A251" s="18"/>
      <c r="B251" s="5"/>
      <c r="C251" s="62"/>
      <c r="D251" s="5" t="s">
        <v>669</v>
      </c>
      <c r="E251" s="5"/>
      <c r="F251" s="5"/>
      <c r="G251" s="5"/>
      <c r="H251" s="5"/>
      <c r="I251" s="5"/>
      <c r="J251" s="5"/>
      <c r="K251" s="5"/>
      <c r="L251" s="5"/>
      <c r="M251" s="1085" t="s">
        <v>83</v>
      </c>
      <c r="N251" s="1085"/>
      <c r="O251" s="1085"/>
      <c r="P251" s="1085"/>
      <c r="Q251" s="1085"/>
      <c r="R251" s="1085"/>
      <c r="S251" s="1085"/>
      <c r="T251" s="1085"/>
      <c r="U251" s="5" t="s">
        <v>1190</v>
      </c>
      <c r="AA251" s="1107"/>
      <c r="AB251" s="1107"/>
      <c r="AC251" s="1107"/>
      <c r="AD251" s="1107"/>
      <c r="AE251" s="1107"/>
      <c r="AF251" s="1107"/>
      <c r="AG251" s="1107"/>
      <c r="AH251" s="1107"/>
      <c r="AI251" s="1107"/>
      <c r="AJ251" s="1107"/>
      <c r="AK251" s="1107"/>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1534</v>
      </c>
      <c r="D253" s="5" t="s">
        <v>1262</v>
      </c>
      <c r="E253" s="5"/>
      <c r="F253" s="5"/>
      <c r="G253" s="5"/>
      <c r="H253" s="5"/>
      <c r="I253" s="5"/>
      <c r="J253" s="5"/>
      <c r="K253" s="5"/>
      <c r="L253" s="5"/>
      <c r="M253" s="1277"/>
      <c r="N253" s="1277"/>
      <c r="O253" s="1277"/>
      <c r="P253" s="1277"/>
      <c r="Q253" s="1277"/>
      <c r="R253" s="1277"/>
      <c r="S253" s="1277"/>
      <c r="T253" s="1277"/>
      <c r="U253" s="1277"/>
      <c r="V253" s="1277"/>
      <c r="W253" s="1277"/>
      <c r="X253" s="1277"/>
      <c r="Y253" s="1277"/>
      <c r="Z253" s="1277"/>
      <c r="AA253" s="1277"/>
      <c r="AB253" s="1277"/>
      <c r="AC253" s="1277"/>
      <c r="AD253" s="1277"/>
      <c r="AE253" s="1277"/>
      <c r="AF253" s="1278" t="s">
        <v>83</v>
      </c>
      <c r="AG253" s="1278"/>
      <c r="AH253" s="1278"/>
      <c r="AI253" s="1278"/>
      <c r="AJ253" s="1278"/>
      <c r="AK253" s="1278"/>
      <c r="AM253" s="5"/>
    </row>
    <row r="254" spans="1:67" ht="12.9" customHeight="1">
      <c r="A254" s="28"/>
      <c r="B254" s="5"/>
      <c r="C254" s="5"/>
      <c r="D254" s="5" t="s">
        <v>395</v>
      </c>
      <c r="E254" s="5"/>
      <c r="F254" s="5"/>
      <c r="G254" s="5"/>
      <c r="H254" s="5"/>
      <c r="I254" s="5"/>
      <c r="J254" s="5"/>
      <c r="K254" s="5"/>
      <c r="L254" s="5"/>
      <c r="M254" s="1110"/>
      <c r="N254" s="1110"/>
      <c r="O254" s="1110"/>
      <c r="P254" s="1110"/>
      <c r="Q254" s="1110"/>
      <c r="R254" s="1110"/>
      <c r="S254" s="1110"/>
      <c r="T254" s="1110"/>
      <c r="U254" s="1110"/>
      <c r="V254" s="1110"/>
      <c r="W254" s="1110"/>
      <c r="X254" s="1110"/>
      <c r="Y254" s="1110"/>
      <c r="Z254" s="1110"/>
      <c r="AA254" s="1110"/>
      <c r="AB254" s="1110"/>
      <c r="AC254" s="1110"/>
      <c r="AD254" s="1110"/>
      <c r="AE254" s="1110"/>
      <c r="AL254" s="5"/>
    </row>
    <row r="255" spans="1:67" ht="12.9" customHeight="1">
      <c r="A255" s="28"/>
      <c r="B255" s="5"/>
      <c r="C255" s="5"/>
      <c r="D255" s="5" t="s">
        <v>457</v>
      </c>
      <c r="E255" s="5"/>
      <c r="M255" s="1110"/>
      <c r="N255" s="1110"/>
      <c r="O255" s="1110"/>
      <c r="P255" s="1110"/>
      <c r="Q255" s="1110"/>
      <c r="R255" s="1110"/>
      <c r="S255" s="1110"/>
      <c r="T255" s="1110"/>
      <c r="V255" s="42" t="s">
        <v>396</v>
      </c>
      <c r="W255" s="1279"/>
      <c r="X255" s="1279"/>
      <c r="Y255" s="5" t="s">
        <v>460</v>
      </c>
      <c r="AC255" s="1110"/>
      <c r="AD255" s="1110"/>
      <c r="AE255" s="1110"/>
    </row>
    <row r="256" spans="1:67" ht="12.9" customHeight="1">
      <c r="A256" s="28"/>
      <c r="B256" s="5"/>
      <c r="C256" s="5"/>
      <c r="D256" s="5" t="s">
        <v>397</v>
      </c>
      <c r="E256" s="5"/>
      <c r="F256" s="5"/>
      <c r="G256" s="5"/>
      <c r="H256" s="5"/>
      <c r="I256" s="5"/>
      <c r="J256" s="5"/>
      <c r="K256" s="5"/>
      <c r="L256" s="28"/>
      <c r="M256" s="1110"/>
      <c r="N256" s="1110"/>
      <c r="O256" s="1110"/>
      <c r="P256" s="1110"/>
      <c r="Q256" s="1110"/>
      <c r="R256" s="1110"/>
      <c r="S256" s="1110"/>
      <c r="T256" s="1110"/>
      <c r="U256" s="1110"/>
      <c r="V256" s="1110"/>
      <c r="W256" s="1110"/>
      <c r="X256" s="1110"/>
      <c r="Y256" s="1110"/>
      <c r="Z256" s="1110"/>
      <c r="AA256" s="1110"/>
      <c r="AB256" s="1110"/>
      <c r="AC256" s="1110"/>
      <c r="AD256" s="1110"/>
      <c r="AE256" s="1110"/>
      <c r="AJ256" s="5"/>
      <c r="AK256" s="5"/>
      <c r="AL256" s="5"/>
    </row>
    <row r="257" spans="1:53" ht="12.9" customHeight="1">
      <c r="A257" s="28"/>
      <c r="B257" s="5"/>
      <c r="C257" s="5"/>
      <c r="D257" s="5" t="s">
        <v>398</v>
      </c>
      <c r="E257" s="5"/>
      <c r="F257" s="5"/>
      <c r="M257" s="1108"/>
      <c r="N257" s="1108"/>
      <c r="O257" s="1108"/>
      <c r="P257" s="1108"/>
      <c r="Q257" s="1108"/>
      <c r="R257" s="1108"/>
      <c r="S257" s="5" t="s">
        <v>857</v>
      </c>
      <c r="T257" s="5"/>
      <c r="U257" s="1279"/>
      <c r="V257" s="1279"/>
      <c r="W257" s="1279"/>
      <c r="X257" s="5" t="s">
        <v>399</v>
      </c>
      <c r="Z257" s="1108"/>
      <c r="AA257" s="1108"/>
      <c r="AB257" s="1108"/>
      <c r="AC257" s="1108"/>
      <c r="AD257" s="1108"/>
      <c r="AE257" s="1108"/>
      <c r="BA257" s="43"/>
    </row>
    <row r="258" spans="1:53" ht="12.9" customHeight="1">
      <c r="A258" s="28"/>
      <c r="B258" s="5"/>
      <c r="C258" s="5"/>
      <c r="D258" s="5" t="s">
        <v>400</v>
      </c>
      <c r="E258" s="5"/>
      <c r="F258" s="5"/>
      <c r="M258" s="1133"/>
      <c r="N258" s="1133"/>
      <c r="O258" s="1133"/>
      <c r="P258" s="1133"/>
      <c r="Q258" s="1133"/>
      <c r="R258" s="1133"/>
      <c r="S258" s="1133"/>
      <c r="T258" s="1133"/>
      <c r="U258" s="1133"/>
      <c r="V258" s="1133"/>
      <c r="W258" s="1133"/>
      <c r="X258" s="1133"/>
      <c r="Y258" s="1133"/>
      <c r="Z258" s="1133"/>
      <c r="AA258" s="1133"/>
      <c r="AB258" s="1133"/>
      <c r="AC258" s="1133"/>
      <c r="AD258" s="1133"/>
      <c r="AE258" s="1133"/>
      <c r="AG258" s="5"/>
      <c r="AH258" s="5"/>
      <c r="AI258" s="5"/>
      <c r="AJ258" s="5"/>
      <c r="AK258" s="5"/>
      <c r="AL258" s="5"/>
    </row>
    <row r="259" spans="1:53" ht="12.9" customHeight="1">
      <c r="A259" s="18"/>
      <c r="B259" s="5"/>
      <c r="C259" s="62"/>
      <c r="D259" s="5" t="s">
        <v>669</v>
      </c>
      <c r="E259" s="5"/>
      <c r="F259" s="5"/>
      <c r="G259" s="5"/>
      <c r="H259" s="5"/>
      <c r="I259" s="5"/>
      <c r="J259" s="5"/>
      <c r="K259" s="5"/>
      <c r="L259" s="5"/>
      <c r="M259" s="1085" t="s">
        <v>83</v>
      </c>
      <c r="N259" s="1085"/>
      <c r="O259" s="1085"/>
      <c r="P259" s="1085"/>
      <c r="Q259" s="1085"/>
      <c r="R259" s="1085"/>
      <c r="S259" s="1085"/>
      <c r="T259" s="1085"/>
      <c r="U259" s="5" t="s">
        <v>1190</v>
      </c>
      <c r="AA259" s="1107"/>
      <c r="AB259" s="1107"/>
      <c r="AC259" s="1107"/>
      <c r="AD259" s="1107"/>
      <c r="AE259" s="1107"/>
      <c r="AF259" s="1107"/>
      <c r="AG259" s="1107"/>
      <c r="AH259" s="1107"/>
      <c r="AI259" s="1107"/>
      <c r="AJ259" s="1107"/>
      <c r="AK259" s="1107"/>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0</v>
      </c>
    </row>
    <row r="261" spans="1:53" ht="12.9" customHeight="1">
      <c r="A261" s="18"/>
      <c r="B261" s="5"/>
      <c r="C261" s="62" t="s">
        <v>1975</v>
      </c>
      <c r="D261" s="5" t="s">
        <v>666</v>
      </c>
      <c r="E261" s="5"/>
      <c r="F261" s="5"/>
      <c r="G261" s="5"/>
      <c r="H261" s="5"/>
      <c r="I261" s="5"/>
      <c r="J261" s="5"/>
      <c r="K261" s="5"/>
      <c r="L261" s="5"/>
      <c r="M261" s="1278"/>
      <c r="N261" s="1278"/>
      <c r="O261" s="1278"/>
      <c r="P261" s="1278"/>
      <c r="Q261" s="1278"/>
      <c r="R261" s="1278"/>
      <c r="S261" s="1278"/>
      <c r="T261" s="1278"/>
      <c r="U261" s="1278"/>
      <c r="V261" s="1278"/>
      <c r="W261" s="1278"/>
      <c r="X261" s="1278"/>
      <c r="Y261" s="1278"/>
      <c r="Z261" s="1278"/>
      <c r="AA261" s="1278"/>
      <c r="AB261" s="1278"/>
      <c r="AC261" s="1278"/>
      <c r="AD261" s="1278"/>
      <c r="AE261" s="1278"/>
      <c r="AF261" s="1278" t="s">
        <v>83</v>
      </c>
      <c r="AG261" s="1278"/>
      <c r="AH261" s="1278"/>
      <c r="AI261" s="1278"/>
      <c r="AJ261" s="1278"/>
      <c r="AK261" s="1278"/>
      <c r="AL261" s="41"/>
    </row>
    <row r="262" spans="1:53" ht="12.9" customHeight="1">
      <c r="A262" s="18"/>
      <c r="B262" s="5"/>
      <c r="C262" s="5"/>
      <c r="D262" s="5" t="s">
        <v>395</v>
      </c>
      <c r="E262" s="5"/>
      <c r="F262" s="5"/>
      <c r="G262" s="5"/>
      <c r="H262" s="5"/>
      <c r="I262" s="5"/>
      <c r="J262" s="5"/>
      <c r="K262" s="5"/>
      <c r="L262" s="5"/>
      <c r="M262" s="1110"/>
      <c r="N262" s="1110"/>
      <c r="O262" s="1110"/>
      <c r="P262" s="1110"/>
      <c r="Q262" s="1110"/>
      <c r="R262" s="1110"/>
      <c r="S262" s="1110"/>
      <c r="T262" s="1110"/>
      <c r="U262" s="1110"/>
      <c r="V262" s="1110"/>
      <c r="W262" s="1110"/>
      <c r="X262" s="1110"/>
      <c r="Y262" s="1110"/>
      <c r="Z262" s="1110"/>
      <c r="AA262" s="1110"/>
      <c r="AB262" s="1110"/>
      <c r="AC262" s="1110"/>
      <c r="AD262" s="1110"/>
      <c r="AE262" s="1110"/>
      <c r="AL262" s="41"/>
      <c r="BA262" s="43"/>
    </row>
    <row r="263" spans="1:53" ht="12.9" customHeight="1">
      <c r="A263" s="18"/>
      <c r="B263" s="5"/>
      <c r="C263" s="5"/>
      <c r="D263" s="5" t="s">
        <v>457</v>
      </c>
      <c r="E263" s="5"/>
      <c r="M263" s="1110"/>
      <c r="N263" s="1110"/>
      <c r="O263" s="1110"/>
      <c r="P263" s="1110"/>
      <c r="Q263" s="1110"/>
      <c r="R263" s="1110"/>
      <c r="S263" s="1110"/>
      <c r="T263" s="1110"/>
      <c r="V263" s="42" t="s">
        <v>396</v>
      </c>
      <c r="W263" s="1279"/>
      <c r="X263" s="1279"/>
      <c r="Y263" s="5" t="s">
        <v>460</v>
      </c>
      <c r="AC263" s="1110"/>
      <c r="AD263" s="1110"/>
      <c r="AE263" s="1110"/>
      <c r="AL263" s="41"/>
      <c r="BA263" s="43"/>
    </row>
    <row r="264" spans="1:53" ht="12.9" customHeight="1">
      <c r="A264" s="18"/>
      <c r="B264" s="5"/>
      <c r="C264" s="5"/>
      <c r="D264" s="5" t="s">
        <v>397</v>
      </c>
      <c r="E264" s="5"/>
      <c r="F264" s="5"/>
      <c r="G264" s="5"/>
      <c r="H264" s="5"/>
      <c r="I264" s="5"/>
      <c r="J264" s="5"/>
      <c r="K264" s="5"/>
      <c r="L264" s="28"/>
      <c r="M264" s="1110"/>
      <c r="N264" s="1110"/>
      <c r="O264" s="1110"/>
      <c r="P264" s="1110"/>
      <c r="Q264" s="1110"/>
      <c r="R264" s="1110"/>
      <c r="S264" s="1110"/>
      <c r="T264" s="1110"/>
      <c r="U264" s="1110"/>
      <c r="V264" s="1110"/>
      <c r="W264" s="1110"/>
      <c r="X264" s="1110"/>
      <c r="Y264" s="1110"/>
      <c r="Z264" s="1110"/>
      <c r="AA264" s="1110"/>
      <c r="AB264" s="1110"/>
      <c r="AC264" s="1110"/>
      <c r="AD264" s="1110"/>
      <c r="AE264" s="1110"/>
      <c r="AJ264" s="5"/>
      <c r="AK264" s="5"/>
      <c r="AL264" s="41"/>
      <c r="BA264" s="43"/>
    </row>
    <row r="265" spans="1:53" ht="12.9" customHeight="1">
      <c r="A265" s="18"/>
      <c r="B265" s="5"/>
      <c r="C265" s="5"/>
      <c r="D265" s="5" t="s">
        <v>398</v>
      </c>
      <c r="E265" s="5"/>
      <c r="F265" s="5"/>
      <c r="M265" s="1108"/>
      <c r="N265" s="1108"/>
      <c r="O265" s="1108"/>
      <c r="P265" s="1108"/>
      <c r="Q265" s="1108"/>
      <c r="R265" s="1108"/>
      <c r="S265" s="5" t="s">
        <v>857</v>
      </c>
      <c r="T265" s="5"/>
      <c r="U265" s="1279"/>
      <c r="V265" s="1279"/>
      <c r="W265" s="1279"/>
      <c r="X265" s="5" t="s">
        <v>399</v>
      </c>
      <c r="Z265" s="1108"/>
      <c r="AA265" s="1108"/>
      <c r="AB265" s="1108"/>
      <c r="AC265" s="1108"/>
      <c r="AD265" s="1108"/>
      <c r="AE265" s="1108"/>
      <c r="AL265" s="41"/>
      <c r="BA265" s="43"/>
    </row>
    <row r="266" spans="1:53" ht="12.9" customHeight="1">
      <c r="A266" s="18"/>
      <c r="B266" s="5"/>
      <c r="C266" s="5"/>
      <c r="D266" s="5" t="s">
        <v>400</v>
      </c>
      <c r="E266" s="5"/>
      <c r="F266" s="5"/>
      <c r="M266" s="1133"/>
      <c r="N266" s="1133"/>
      <c r="O266" s="1133"/>
      <c r="P266" s="1133"/>
      <c r="Q266" s="1133"/>
      <c r="R266" s="1133"/>
      <c r="S266" s="1133"/>
      <c r="T266" s="1133"/>
      <c r="U266" s="1133"/>
      <c r="V266" s="1133"/>
      <c r="W266" s="1133"/>
      <c r="X266" s="1133"/>
      <c r="Y266" s="1133"/>
      <c r="Z266" s="1133"/>
      <c r="AA266" s="1133"/>
      <c r="AB266" s="1133"/>
      <c r="AC266" s="1133"/>
      <c r="AD266" s="1133"/>
      <c r="AE266" s="1133"/>
      <c r="AG266" s="5"/>
      <c r="AH266" s="5"/>
      <c r="AI266" s="5"/>
      <c r="AJ266" s="5"/>
      <c r="AK266" s="5"/>
      <c r="AL266" s="41"/>
      <c r="BA266" s="43"/>
    </row>
    <row r="267" spans="1:53" ht="12.9" customHeight="1">
      <c r="A267" s="18"/>
      <c r="B267" s="5"/>
      <c r="C267" s="62"/>
      <c r="D267" s="5" t="s">
        <v>669</v>
      </c>
      <c r="E267" s="5"/>
      <c r="F267" s="5"/>
      <c r="G267" s="5"/>
      <c r="H267" s="5"/>
      <c r="I267" s="5"/>
      <c r="J267" s="5"/>
      <c r="K267" s="5"/>
      <c r="L267" s="5"/>
      <c r="M267" s="1085" t="s">
        <v>83</v>
      </c>
      <c r="N267" s="1085"/>
      <c r="O267" s="1085"/>
      <c r="P267" s="1085"/>
      <c r="Q267" s="1085"/>
      <c r="R267" s="1085"/>
      <c r="S267" s="1085"/>
      <c r="T267" s="1085"/>
      <c r="U267" s="5" t="s">
        <v>1190</v>
      </c>
      <c r="AA267" s="1107"/>
      <c r="AB267" s="1107"/>
      <c r="AC267" s="1107"/>
      <c r="AD267" s="1107"/>
      <c r="AE267" s="1107"/>
      <c r="AF267" s="1107"/>
      <c r="AG267" s="1107"/>
      <c r="AH267" s="1107"/>
      <c r="AI267" s="1107"/>
      <c r="AJ267" s="1107"/>
      <c r="AK267" s="1107"/>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129</v>
      </c>
      <c r="B269" s="5"/>
      <c r="C269" s="3" t="s">
        <v>280</v>
      </c>
      <c r="D269" s="5"/>
      <c r="E269" s="5"/>
      <c r="F269" s="5"/>
      <c r="G269" s="5"/>
      <c r="H269" s="5"/>
      <c r="I269" s="5"/>
      <c r="J269" s="5"/>
      <c r="K269" s="5"/>
      <c r="L269" s="5"/>
      <c r="M269" s="44"/>
      <c r="N269" s="44"/>
      <c r="O269" s="44"/>
      <c r="P269" s="44"/>
      <c r="Q269" s="44"/>
      <c r="T269" s="1132" t="e">
        <f>BO245</f>
        <v>#N/A</v>
      </c>
      <c r="U269" s="1132"/>
      <c r="V269" s="1132"/>
      <c r="W269" s="1132"/>
      <c r="X269" s="1132"/>
      <c r="Z269" s="480" t="s">
        <v>1263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 customHeight="1">
      <c r="A272" s="5"/>
      <c r="B272" s="45">
        <v>0</v>
      </c>
      <c r="D272" s="1110" t="s">
        <v>481</v>
      </c>
      <c r="E272" s="1110"/>
      <c r="F272" s="1110"/>
      <c r="G272" s="1110"/>
      <c r="H272" s="1110"/>
      <c r="J272" t="s">
        <v>931</v>
      </c>
      <c r="X272" s="1300"/>
      <c r="Y272" s="1300"/>
      <c r="Z272" s="1300"/>
      <c r="AA272" s="1300"/>
      <c r="AB272" s="1300"/>
      <c r="AC272" s="1300"/>
      <c r="BA272" s="43"/>
    </row>
    <row r="273" spans="1:53" ht="12.9"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2.9" customHeight="1">
      <c r="D276" s="5" t="s">
        <v>281</v>
      </c>
      <c r="E276" s="5"/>
      <c r="F276" s="5"/>
      <c r="G276" s="5"/>
      <c r="H276" s="5"/>
      <c r="I276" s="5"/>
      <c r="J276" s="5"/>
      <c r="K276" s="5"/>
      <c r="L276" s="1277" t="s">
        <v>2397</v>
      </c>
      <c r="M276" s="1278"/>
      <c r="N276" s="1278"/>
      <c r="O276" s="1278"/>
      <c r="P276" s="1278"/>
      <c r="Q276" s="1278"/>
      <c r="R276" s="1278"/>
      <c r="S276" s="1278"/>
      <c r="T276" s="1278"/>
      <c r="U276" s="1278"/>
      <c r="V276" s="1278"/>
      <c r="W276" s="1278"/>
      <c r="X276" s="1278"/>
      <c r="Y276" s="1278"/>
      <c r="Z276" s="1278"/>
      <c r="AA276" s="1278"/>
      <c r="AB276" s="1278"/>
      <c r="AC276" s="1278"/>
      <c r="AD276" s="1278"/>
      <c r="AE276" s="1278"/>
      <c r="AF276" s="1278"/>
      <c r="AG276" s="1278"/>
      <c r="AH276" s="1278"/>
      <c r="AI276" s="1278"/>
      <c r="AJ276" s="1278"/>
      <c r="AK276" s="41"/>
      <c r="AL276" s="41"/>
      <c r="BA276" s="43"/>
    </row>
    <row r="277" spans="1:53" ht="12.9" customHeight="1">
      <c r="D277" s="5" t="s">
        <v>395</v>
      </c>
      <c r="E277" s="5"/>
      <c r="F277" s="5"/>
      <c r="G277" s="5"/>
      <c r="H277" s="5"/>
      <c r="I277" s="5"/>
      <c r="J277" s="5"/>
      <c r="K277" s="5"/>
      <c r="L277" s="1280" t="s">
        <v>2398</v>
      </c>
      <c r="M277" s="1110"/>
      <c r="N277" s="1110"/>
      <c r="O277" s="1110"/>
      <c r="P277" s="1110"/>
      <c r="Q277" s="1110"/>
      <c r="R277" s="1110"/>
      <c r="S277" s="1110"/>
      <c r="T277" s="1110"/>
      <c r="U277" s="1110"/>
      <c r="V277" s="1110"/>
      <c r="W277" s="1110"/>
      <c r="X277" s="1110"/>
      <c r="Y277" s="1110"/>
      <c r="Z277" s="1110"/>
      <c r="AA277" s="1110"/>
      <c r="AB277" s="1110"/>
      <c r="AC277" s="1110"/>
      <c r="AD277" s="1110"/>
      <c r="AK277" s="41"/>
      <c r="AL277" s="41"/>
      <c r="BA277" s="43"/>
    </row>
    <row r="278" spans="1:53" ht="12.9" customHeight="1">
      <c r="D278" s="5" t="s">
        <v>457</v>
      </c>
      <c r="E278" s="5"/>
      <c r="L278" s="1280" t="s">
        <v>117</v>
      </c>
      <c r="M278" s="1110"/>
      <c r="N278" s="1110"/>
      <c r="O278" s="1110"/>
      <c r="P278" s="1110"/>
      <c r="Q278" s="1110"/>
      <c r="R278" s="1110"/>
      <c r="S278" s="1110"/>
      <c r="U278" s="42" t="s">
        <v>396</v>
      </c>
      <c r="V278" s="1134" t="s">
        <v>2371</v>
      </c>
      <c r="W278" s="1279"/>
      <c r="X278" s="5" t="s">
        <v>460</v>
      </c>
      <c r="AB278" s="1110">
        <v>95811</v>
      </c>
      <c r="AC278" s="1110"/>
      <c r="AD278" s="1110"/>
      <c r="AK278" s="41"/>
      <c r="AL278" s="41"/>
      <c r="BA278" s="43"/>
    </row>
    <row r="279" spans="1:53" ht="12.9" customHeight="1">
      <c r="D279" s="5" t="s">
        <v>397</v>
      </c>
      <c r="E279" s="5"/>
      <c r="F279" s="5"/>
      <c r="G279" s="5"/>
      <c r="H279" s="5"/>
      <c r="I279" s="5"/>
      <c r="J279" s="5"/>
      <c r="K279" s="28"/>
      <c r="L279" s="1280" t="s">
        <v>2372</v>
      </c>
      <c r="M279" s="1110"/>
      <c r="N279" s="1110"/>
      <c r="O279" s="1110"/>
      <c r="P279" s="1110"/>
      <c r="Q279" s="1110"/>
      <c r="R279" s="1110"/>
      <c r="S279" s="1110"/>
      <c r="T279" s="1110"/>
      <c r="U279" s="1110"/>
      <c r="V279" s="1110"/>
      <c r="W279" s="1110"/>
      <c r="X279" s="1110"/>
      <c r="Y279" s="1110"/>
      <c r="Z279" s="1110"/>
      <c r="AA279" s="1110"/>
      <c r="AB279" s="1110"/>
      <c r="AC279" s="1110"/>
      <c r="AD279" s="1110"/>
      <c r="AI279" s="5"/>
      <c r="AJ279" s="5"/>
      <c r="AK279" s="41"/>
      <c r="AL279" s="41"/>
      <c r="BA279" s="43"/>
    </row>
    <row r="280" spans="1:53" ht="12.9" customHeight="1">
      <c r="D280" s="5" t="s">
        <v>398</v>
      </c>
      <c r="E280" s="5"/>
      <c r="F280" s="5"/>
      <c r="L280" s="1284" t="s">
        <v>2373</v>
      </c>
      <c r="M280" s="1108"/>
      <c r="N280" s="1108"/>
      <c r="O280" s="1108"/>
      <c r="P280" s="1108"/>
      <c r="Q280" s="1108"/>
      <c r="R280" s="5" t="s">
        <v>857</v>
      </c>
      <c r="S280" s="5"/>
      <c r="T280" s="1279"/>
      <c r="U280" s="1279"/>
      <c r="V280" s="1279"/>
      <c r="W280" s="5" t="s">
        <v>399</v>
      </c>
      <c r="Y280" s="1108"/>
      <c r="Z280" s="1108"/>
      <c r="AA280" s="1108"/>
      <c r="AB280" s="1108"/>
      <c r="AC280" s="1108"/>
      <c r="AD280" s="1108"/>
      <c r="BA280" s="43"/>
    </row>
    <row r="281" spans="1:53" ht="12.9" customHeight="1">
      <c r="D281" s="5" t="s">
        <v>400</v>
      </c>
      <c r="E281" s="5"/>
      <c r="F281" s="5"/>
      <c r="L281" s="1133" t="s">
        <v>2374</v>
      </c>
      <c r="M281" s="1133"/>
      <c r="N281" s="1133"/>
      <c r="O281" s="1133"/>
      <c r="P281" s="1133"/>
      <c r="Q281" s="1133"/>
      <c r="R281" s="1133"/>
      <c r="S281" s="1133"/>
      <c r="T281" s="1133"/>
      <c r="U281" s="1133"/>
      <c r="V281" s="1133"/>
      <c r="W281" s="1133"/>
      <c r="X281" s="1133"/>
      <c r="Y281" s="1133"/>
      <c r="Z281" s="1133"/>
      <c r="AA281" s="1133"/>
      <c r="AB281" s="1133"/>
      <c r="AC281" s="1133"/>
      <c r="AD281" s="1133"/>
      <c r="AF281" s="5"/>
      <c r="AG281" s="5"/>
      <c r="AH281" s="5"/>
      <c r="AI281" s="5"/>
      <c r="AJ281" s="5"/>
      <c r="BA281" s="43"/>
    </row>
    <row r="282" spans="1:53" ht="12.9" customHeight="1">
      <c r="D282" s="41" t="s">
        <v>196</v>
      </c>
      <c r="E282" s="41"/>
      <c r="F282" s="41"/>
      <c r="G282" s="41"/>
      <c r="H282" s="41"/>
      <c r="I282" s="41"/>
      <c r="L282" s="1134" t="s">
        <v>2375</v>
      </c>
      <c r="M282" s="1134"/>
      <c r="N282" s="1134"/>
      <c r="O282" s="1134"/>
      <c r="P282" s="1134"/>
      <c r="Q282" s="1134"/>
      <c r="R282" s="1134"/>
      <c r="S282" s="1134"/>
      <c r="T282" s="1134"/>
      <c r="U282" s="1134"/>
      <c r="V282" s="1134"/>
      <c r="W282" s="1134"/>
      <c r="X282" s="1134"/>
      <c r="Y282" s="1134"/>
      <c r="Z282" s="1134"/>
      <c r="AA282" s="1134"/>
      <c r="AB282" s="1134"/>
      <c r="AC282" s="1134"/>
      <c r="AD282" s="1134"/>
      <c r="AK282" s="41"/>
      <c r="AL282" s="41"/>
      <c r="BA282" s="43"/>
    </row>
    <row r="283" spans="1:53" ht="12.9" customHeight="1">
      <c r="L283" s="4" t="s">
        <v>197</v>
      </c>
      <c r="BA283" s="43"/>
    </row>
    <row r="284" spans="1:53" ht="12.9" customHeight="1">
      <c r="A284" s="1282" t="s">
        <v>523</v>
      </c>
      <c r="B284" s="1282"/>
      <c r="C284" s="1282"/>
      <c r="D284" s="1282"/>
      <c r="E284" s="1282"/>
      <c r="F284" s="1282"/>
      <c r="G284" s="1282"/>
      <c r="H284" s="1282"/>
      <c r="I284" s="1282"/>
      <c r="J284" s="1282"/>
      <c r="K284" s="1282"/>
      <c r="L284" s="1282"/>
      <c r="M284" s="1282"/>
      <c r="N284" s="1282"/>
      <c r="O284" s="1282"/>
      <c r="P284" s="1282"/>
      <c r="Q284" s="1282"/>
      <c r="R284" s="1282"/>
      <c r="S284" s="1282"/>
      <c r="T284" s="1282"/>
      <c r="U284" s="1282"/>
      <c r="V284" s="1282"/>
      <c r="W284" s="1282"/>
      <c r="X284" s="1282"/>
      <c r="Y284" s="1282"/>
      <c r="Z284" s="1282"/>
      <c r="AA284" s="1282"/>
      <c r="AB284" s="1282"/>
      <c r="AC284" s="1282"/>
      <c r="AD284" s="1282"/>
      <c r="AE284" s="1282"/>
      <c r="AF284" s="1282"/>
      <c r="AG284" s="1282"/>
      <c r="AH284" s="1282"/>
      <c r="AI284" s="1282"/>
      <c r="AJ284" s="1282"/>
      <c r="AK284" s="1282"/>
      <c r="AL284" s="1282"/>
      <c r="BA284" s="43"/>
    </row>
    <row r="285" spans="1:53" ht="12.9" customHeight="1" thickBot="1">
      <c r="A285" s="1283"/>
      <c r="B285" s="1283"/>
      <c r="C285" s="1283"/>
      <c r="D285" s="1283"/>
      <c r="E285" s="1283"/>
      <c r="F285" s="1283"/>
      <c r="G285" s="1283"/>
      <c r="H285" s="1283"/>
      <c r="I285" s="1283"/>
      <c r="J285" s="1283"/>
      <c r="K285" s="1283"/>
      <c r="L285" s="1283"/>
      <c r="M285" s="1283"/>
      <c r="N285" s="1283"/>
      <c r="O285" s="1283"/>
      <c r="P285" s="1283"/>
      <c r="Q285" s="1283"/>
      <c r="R285" s="1283"/>
      <c r="S285" s="1283"/>
      <c r="T285" s="1283"/>
      <c r="U285" s="1283"/>
      <c r="V285" s="1283"/>
      <c r="W285" s="1283"/>
      <c r="X285" s="1283"/>
      <c r="Y285" s="1283"/>
      <c r="Z285" s="1283"/>
      <c r="AA285" s="1283"/>
      <c r="AB285" s="1283"/>
      <c r="AC285" s="1283"/>
      <c r="AD285" s="1283"/>
      <c r="AE285" s="1283"/>
      <c r="AF285" s="1283"/>
      <c r="AG285" s="1283"/>
      <c r="AH285" s="1283"/>
      <c r="AI285" s="1283"/>
      <c r="AJ285" s="1283"/>
      <c r="AK285" s="1283"/>
      <c r="AL285" s="1283"/>
      <c r="BA285" s="43"/>
    </row>
    <row r="286" spans="1:53" ht="12.9"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687</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199</v>
      </c>
      <c r="C289" s="41"/>
      <c r="D289" s="41"/>
      <c r="E289" s="41"/>
      <c r="F289" s="41"/>
      <c r="H289" s="1084" t="s">
        <v>2363</v>
      </c>
      <c r="I289" s="1084"/>
      <c r="J289" s="1084"/>
      <c r="K289" s="1084"/>
      <c r="L289" s="1084"/>
      <c r="M289" s="1084"/>
      <c r="N289" s="1084"/>
      <c r="O289" s="1084"/>
      <c r="P289" s="1084"/>
      <c r="Q289" s="1084"/>
      <c r="R289" s="1084"/>
      <c r="T289" s="41" t="s">
        <v>779</v>
      </c>
      <c r="V289" s="41"/>
      <c r="W289" s="41"/>
      <c r="X289" s="41"/>
      <c r="Y289" s="41"/>
      <c r="AA289" s="1084" t="s">
        <v>2378</v>
      </c>
      <c r="AB289" s="1084"/>
      <c r="AC289" s="1084"/>
      <c r="AD289" s="1084"/>
      <c r="AE289" s="1084"/>
      <c r="AF289" s="1084"/>
      <c r="AG289" s="1084"/>
      <c r="AH289" s="1084"/>
      <c r="AI289" s="1084"/>
      <c r="AJ289" s="1084"/>
      <c r="AK289" s="1084"/>
      <c r="BA289" s="43"/>
    </row>
    <row r="290" spans="2:53" ht="12.9" customHeight="1">
      <c r="B290" s="41" t="s">
        <v>733</v>
      </c>
      <c r="C290" s="41"/>
      <c r="D290" s="41"/>
      <c r="E290" s="41"/>
      <c r="F290" s="41"/>
      <c r="H290" s="1085" t="s">
        <v>2376</v>
      </c>
      <c r="I290" s="1085"/>
      <c r="J290" s="1085"/>
      <c r="K290" s="1085"/>
      <c r="L290" s="1085"/>
      <c r="M290" s="1085"/>
      <c r="N290" s="1085"/>
      <c r="O290" s="1085"/>
      <c r="P290" s="1085"/>
      <c r="Q290" s="1085"/>
      <c r="R290" s="1085"/>
      <c r="T290" s="41" t="s">
        <v>733</v>
      </c>
      <c r="V290" s="41"/>
      <c r="W290" s="41"/>
      <c r="X290" s="41"/>
      <c r="Y290" s="41"/>
      <c r="AA290" s="1085" t="s">
        <v>2379</v>
      </c>
      <c r="AB290" s="1085"/>
      <c r="AC290" s="1085"/>
      <c r="AD290" s="1085"/>
      <c r="AE290" s="1085"/>
      <c r="AF290" s="1085"/>
      <c r="AG290" s="1085"/>
      <c r="AH290" s="1085"/>
      <c r="AI290" s="1085"/>
      <c r="AJ290" s="1085"/>
      <c r="AK290" s="1085"/>
      <c r="BA290" s="43"/>
    </row>
    <row r="291" spans="2:53" ht="12.9" customHeight="1">
      <c r="B291" s="41" t="s">
        <v>735</v>
      </c>
      <c r="C291" s="41"/>
      <c r="D291" s="41"/>
      <c r="E291" s="41"/>
      <c r="F291" s="41"/>
      <c r="H291" s="1085" t="s">
        <v>2395</v>
      </c>
      <c r="I291" s="1085"/>
      <c r="J291" s="1085"/>
      <c r="K291" s="1085"/>
      <c r="L291" s="1085"/>
      <c r="M291" s="1085"/>
      <c r="N291" s="1085"/>
      <c r="O291" s="1085"/>
      <c r="P291" s="1085"/>
      <c r="Q291" s="1085"/>
      <c r="R291" s="1085"/>
      <c r="T291" s="41" t="s">
        <v>734</v>
      </c>
      <c r="V291" s="41"/>
      <c r="W291" s="41"/>
      <c r="X291" s="41"/>
      <c r="Y291" s="41"/>
      <c r="AA291" s="1085" t="s">
        <v>2380</v>
      </c>
      <c r="AB291" s="1085"/>
      <c r="AC291" s="1085"/>
      <c r="AD291" s="1085"/>
      <c r="AE291" s="1085"/>
      <c r="AF291" s="1085"/>
      <c r="AG291" s="1085"/>
      <c r="AH291" s="1085"/>
      <c r="AI291" s="1085"/>
      <c r="AJ291" s="1085"/>
      <c r="AK291" s="1085"/>
      <c r="BA291" s="43"/>
    </row>
    <row r="292" spans="2:53" ht="12.9" customHeight="1">
      <c r="B292" s="41" t="s">
        <v>397</v>
      </c>
      <c r="C292" s="41"/>
      <c r="D292" s="41"/>
      <c r="E292" s="41"/>
      <c r="F292" s="41"/>
      <c r="H292" s="1085" t="s">
        <v>2391</v>
      </c>
      <c r="I292" s="1085"/>
      <c r="J292" s="1085"/>
      <c r="K292" s="1085"/>
      <c r="L292" s="1085"/>
      <c r="M292" s="1085"/>
      <c r="N292" s="1085"/>
      <c r="O292" s="1085"/>
      <c r="P292" s="1085"/>
      <c r="Q292" s="1085"/>
      <c r="R292" s="1085"/>
      <c r="T292" s="41" t="s">
        <v>397</v>
      </c>
      <c r="V292" s="41"/>
      <c r="W292" s="41"/>
      <c r="X292" s="41"/>
      <c r="Y292" s="41"/>
      <c r="AA292" s="1085" t="s">
        <v>2381</v>
      </c>
      <c r="AB292" s="1085"/>
      <c r="AC292" s="1085"/>
      <c r="AD292" s="1085"/>
      <c r="AE292" s="1085"/>
      <c r="AF292" s="1085"/>
      <c r="AG292" s="1085"/>
      <c r="AH292" s="1085"/>
      <c r="AI292" s="1085"/>
      <c r="AJ292" s="1085"/>
      <c r="AK292" s="1085"/>
      <c r="BA292" s="43"/>
    </row>
    <row r="293" spans="2:53" ht="12.9" customHeight="1">
      <c r="B293" s="41" t="s">
        <v>398</v>
      </c>
      <c r="C293" s="41"/>
      <c r="D293" s="41"/>
      <c r="E293" s="41"/>
      <c r="F293" s="41"/>
      <c r="G293" s="41"/>
      <c r="H293" s="1118" t="s">
        <v>2377</v>
      </c>
      <c r="I293" s="1107"/>
      <c r="J293" s="1107"/>
      <c r="K293" s="1107"/>
      <c r="L293" s="1107"/>
      <c r="M293" s="1107"/>
      <c r="N293" s="5" t="s">
        <v>857</v>
      </c>
      <c r="O293" s="5"/>
      <c r="P293" s="1110"/>
      <c r="Q293" s="1110"/>
      <c r="R293" s="1110"/>
      <c r="S293" s="41"/>
      <c r="T293" s="41" t="s">
        <v>398</v>
      </c>
      <c r="V293" s="41"/>
      <c r="W293" s="41"/>
      <c r="X293" s="41"/>
      <c r="Y293" s="41"/>
      <c r="AA293" s="1118" t="s">
        <v>2382</v>
      </c>
      <c r="AB293" s="1107"/>
      <c r="AC293" s="1107"/>
      <c r="AD293" s="1107"/>
      <c r="AE293" s="1107"/>
      <c r="AF293" s="1107"/>
      <c r="AG293" s="5" t="s">
        <v>857</v>
      </c>
      <c r="AH293" s="5"/>
      <c r="AI293" s="1110"/>
      <c r="AJ293" s="1110"/>
      <c r="AK293" s="1110"/>
      <c r="BA293" s="43"/>
    </row>
    <row r="294" spans="2:53" ht="12.9" customHeight="1">
      <c r="B294" s="41" t="s">
        <v>399</v>
      </c>
      <c r="C294" s="41"/>
      <c r="D294" s="41"/>
      <c r="E294" s="41"/>
      <c r="F294" s="41"/>
      <c r="G294" s="41"/>
      <c r="H294" s="1108"/>
      <c r="I294" s="1108"/>
      <c r="J294" s="1108"/>
      <c r="K294" s="1108"/>
      <c r="L294" s="1108"/>
      <c r="M294" s="1108"/>
      <c r="N294" s="5"/>
      <c r="O294" s="5"/>
      <c r="P294" s="44"/>
      <c r="Q294" s="44"/>
      <c r="R294" s="44"/>
      <c r="S294" s="41"/>
      <c r="T294" s="41" t="s">
        <v>399</v>
      </c>
      <c r="V294" s="41"/>
      <c r="W294" s="41"/>
      <c r="X294" s="41"/>
      <c r="Y294" s="41"/>
      <c r="AA294" s="1108"/>
      <c r="AB294" s="1108"/>
      <c r="AC294" s="1108"/>
      <c r="AD294" s="1108"/>
      <c r="AE294" s="1108"/>
      <c r="AF294" s="1108"/>
      <c r="AG294" s="5"/>
      <c r="AH294" s="5"/>
      <c r="AI294" s="44"/>
      <c r="AJ294" s="44"/>
      <c r="AK294" s="44"/>
      <c r="BA294" s="43"/>
    </row>
    <row r="295" spans="2:53" ht="12.9" customHeight="1">
      <c r="B295" s="41" t="s">
        <v>736</v>
      </c>
      <c r="C295" s="41"/>
      <c r="D295" s="41"/>
      <c r="E295" s="41"/>
      <c r="F295" s="41"/>
      <c r="G295" s="41"/>
      <c r="H295" s="1085" t="s">
        <v>2396</v>
      </c>
      <c r="I295" s="1085"/>
      <c r="J295" s="1085"/>
      <c r="K295" s="1085"/>
      <c r="L295" s="1085"/>
      <c r="M295" s="1085"/>
      <c r="N295" s="1084"/>
      <c r="O295" s="1084"/>
      <c r="P295" s="1084"/>
      <c r="Q295" s="1084"/>
      <c r="R295" s="1084"/>
      <c r="S295" s="41"/>
      <c r="T295" s="41" t="s">
        <v>736</v>
      </c>
      <c r="V295" s="41"/>
      <c r="W295" s="41"/>
      <c r="X295" s="41"/>
      <c r="Y295" s="41"/>
      <c r="AA295" s="1085"/>
      <c r="AB295" s="1085"/>
      <c r="AC295" s="1085"/>
      <c r="AD295" s="1085"/>
      <c r="AE295" s="1085"/>
      <c r="AF295" s="1085"/>
      <c r="AG295" s="1084"/>
      <c r="AH295" s="1084"/>
      <c r="AI295" s="1084"/>
      <c r="AJ295" s="1084"/>
      <c r="AK295" s="1084"/>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466</v>
      </c>
      <c r="C297" s="41"/>
      <c r="D297" s="41"/>
      <c r="E297" s="41"/>
      <c r="F297" s="41"/>
      <c r="H297" s="1084" t="s">
        <v>2397</v>
      </c>
      <c r="I297" s="1084"/>
      <c r="J297" s="1084"/>
      <c r="K297" s="1084"/>
      <c r="L297" s="1084"/>
      <c r="M297" s="1084"/>
      <c r="N297" s="1084"/>
      <c r="O297" s="1084"/>
      <c r="P297" s="1084"/>
      <c r="Q297" s="1084"/>
      <c r="R297" s="1084"/>
      <c r="T297" s="41" t="s">
        <v>39</v>
      </c>
      <c r="V297" s="41"/>
      <c r="W297" s="41"/>
      <c r="X297" s="41"/>
      <c r="Y297" s="41"/>
      <c r="AA297" s="1084"/>
      <c r="AB297" s="1084"/>
      <c r="AC297" s="1084"/>
      <c r="AD297" s="1084"/>
      <c r="AE297" s="1084"/>
      <c r="AF297" s="1084"/>
      <c r="AG297" s="1084"/>
      <c r="AH297" s="1084"/>
      <c r="AI297" s="1084"/>
      <c r="AJ297" s="1084"/>
      <c r="AK297" s="1084"/>
      <c r="BA297" s="43"/>
    </row>
    <row r="298" spans="2:53" ht="12.9" customHeight="1">
      <c r="B298" s="41" t="s">
        <v>733</v>
      </c>
      <c r="C298" s="41"/>
      <c r="D298" s="41"/>
      <c r="E298" s="41"/>
      <c r="F298" s="41"/>
      <c r="H298" s="1085" t="s">
        <v>2398</v>
      </c>
      <c r="I298" s="1085"/>
      <c r="J298" s="1085"/>
      <c r="K298" s="1085"/>
      <c r="L298" s="1085"/>
      <c r="M298" s="1085"/>
      <c r="N298" s="1085"/>
      <c r="O298" s="1085"/>
      <c r="P298" s="1085"/>
      <c r="Q298" s="1085"/>
      <c r="R298" s="1085"/>
      <c r="T298" s="41" t="s">
        <v>733</v>
      </c>
      <c r="V298" s="41"/>
      <c r="W298" s="41"/>
      <c r="X298" s="41"/>
      <c r="Y298" s="41"/>
      <c r="AA298" s="1085"/>
      <c r="AB298" s="1085"/>
      <c r="AC298" s="1085"/>
      <c r="AD298" s="1085"/>
      <c r="AE298" s="1085"/>
      <c r="AF298" s="1085"/>
      <c r="AG298" s="1085"/>
      <c r="AH298" s="1085"/>
      <c r="AI298" s="1085"/>
      <c r="AJ298" s="1085"/>
      <c r="AK298" s="1085"/>
      <c r="BA298" s="43"/>
    </row>
    <row r="299" spans="2:53" ht="12.9" customHeight="1">
      <c r="B299" s="41" t="s">
        <v>735</v>
      </c>
      <c r="C299" s="41"/>
      <c r="D299" s="41"/>
      <c r="E299" s="41"/>
      <c r="F299" s="41"/>
      <c r="H299" s="1085" t="s">
        <v>2399</v>
      </c>
      <c r="I299" s="1085"/>
      <c r="J299" s="1085"/>
      <c r="K299" s="1085"/>
      <c r="L299" s="1085"/>
      <c r="M299" s="1085"/>
      <c r="N299" s="1085"/>
      <c r="O299" s="1085"/>
      <c r="P299" s="1085"/>
      <c r="Q299" s="1085"/>
      <c r="R299" s="1085"/>
      <c r="T299" s="41" t="s">
        <v>734</v>
      </c>
      <c r="V299" s="41"/>
      <c r="W299" s="41"/>
      <c r="X299" s="41"/>
      <c r="Y299" s="41"/>
      <c r="AA299" s="1085"/>
      <c r="AB299" s="1085"/>
      <c r="AC299" s="1085"/>
      <c r="AD299" s="1085"/>
      <c r="AE299" s="1085"/>
      <c r="AF299" s="1085"/>
      <c r="AG299" s="1085"/>
      <c r="AH299" s="1085"/>
      <c r="AI299" s="1085"/>
      <c r="AJ299" s="1085"/>
      <c r="AK299" s="1085"/>
      <c r="BA299" s="43"/>
    </row>
    <row r="300" spans="2:53" ht="12.9" customHeight="1">
      <c r="B300" s="41" t="s">
        <v>397</v>
      </c>
      <c r="C300" s="41"/>
      <c r="D300" s="41"/>
      <c r="E300" s="41"/>
      <c r="F300" s="41"/>
      <c r="H300" s="1085" t="s">
        <v>2400</v>
      </c>
      <c r="I300" s="1085"/>
      <c r="J300" s="1085"/>
      <c r="K300" s="1085"/>
      <c r="L300" s="1085"/>
      <c r="M300" s="1085"/>
      <c r="N300" s="1085"/>
      <c r="O300" s="1085"/>
      <c r="P300" s="1085"/>
      <c r="Q300" s="1085"/>
      <c r="R300" s="1085"/>
      <c r="T300" s="41" t="s">
        <v>397</v>
      </c>
      <c r="V300" s="41"/>
      <c r="W300" s="41"/>
      <c r="X300" s="41"/>
      <c r="Y300" s="41"/>
      <c r="AA300" s="1085"/>
      <c r="AB300" s="1085"/>
      <c r="AC300" s="1085"/>
      <c r="AD300" s="1085"/>
      <c r="AE300" s="1085"/>
      <c r="AF300" s="1085"/>
      <c r="AG300" s="1085"/>
      <c r="AH300" s="1085"/>
      <c r="AI300" s="1085"/>
      <c r="AJ300" s="1085"/>
      <c r="AK300" s="1085"/>
      <c r="BA300" s="43"/>
    </row>
    <row r="301" spans="2:53" ht="12.9" customHeight="1">
      <c r="B301" s="41" t="s">
        <v>398</v>
      </c>
      <c r="C301" s="41"/>
      <c r="D301" s="41"/>
      <c r="E301" s="41"/>
      <c r="F301" s="41"/>
      <c r="G301" s="41"/>
      <c r="H301" s="1118" t="s">
        <v>2373</v>
      </c>
      <c r="I301" s="1107"/>
      <c r="J301" s="1107"/>
      <c r="K301" s="1107"/>
      <c r="L301" s="1107"/>
      <c r="M301" s="1107"/>
      <c r="N301" s="5" t="s">
        <v>857</v>
      </c>
      <c r="O301" s="5"/>
      <c r="P301" s="1110"/>
      <c r="Q301" s="1110"/>
      <c r="R301" s="1110"/>
      <c r="S301" s="41"/>
      <c r="T301" s="41" t="s">
        <v>398</v>
      </c>
      <c r="V301" s="41"/>
      <c r="W301" s="41"/>
      <c r="X301" s="41"/>
      <c r="Y301" s="41"/>
      <c r="AA301" s="1107"/>
      <c r="AB301" s="1107"/>
      <c r="AC301" s="1107"/>
      <c r="AD301" s="1107"/>
      <c r="AE301" s="1107"/>
      <c r="AF301" s="1107"/>
      <c r="AG301" s="5" t="s">
        <v>857</v>
      </c>
      <c r="AH301" s="5"/>
      <c r="AI301" s="1110"/>
      <c r="AJ301" s="1110"/>
      <c r="AK301" s="1110"/>
      <c r="BA301" s="43"/>
    </row>
    <row r="302" spans="2:53" ht="12.9" customHeight="1">
      <c r="B302" s="41" t="s">
        <v>399</v>
      </c>
      <c r="C302" s="41"/>
      <c r="D302" s="41"/>
      <c r="E302" s="41"/>
      <c r="F302" s="41"/>
      <c r="G302" s="41"/>
      <c r="H302" s="1284" t="s">
        <v>2401</v>
      </c>
      <c r="I302" s="1108"/>
      <c r="J302" s="1108"/>
      <c r="K302" s="1108"/>
      <c r="L302" s="1108"/>
      <c r="M302" s="1108"/>
      <c r="N302" s="5"/>
      <c r="O302" s="5"/>
      <c r="P302" s="44"/>
      <c r="Q302" s="44"/>
      <c r="R302" s="44"/>
      <c r="S302" s="41"/>
      <c r="T302" s="41" t="s">
        <v>399</v>
      </c>
      <c r="V302" s="41"/>
      <c r="W302" s="41"/>
      <c r="X302" s="41"/>
      <c r="Y302" s="41"/>
      <c r="AA302" s="1108"/>
      <c r="AB302" s="1108"/>
      <c r="AC302" s="1108"/>
      <c r="AD302" s="1108"/>
      <c r="AE302" s="1108"/>
      <c r="AF302" s="1108"/>
      <c r="AG302" s="5"/>
      <c r="AH302" s="5"/>
      <c r="AI302" s="44"/>
      <c r="AJ302" s="44"/>
      <c r="AK302" s="44"/>
      <c r="BA302" s="43"/>
    </row>
    <row r="303" spans="2:53" ht="12.9" customHeight="1">
      <c r="B303" s="41" t="s">
        <v>736</v>
      </c>
      <c r="C303" s="41"/>
      <c r="D303" s="41"/>
      <c r="E303" s="41"/>
      <c r="F303" s="41"/>
      <c r="G303" s="41"/>
      <c r="H303" s="1085" t="s">
        <v>2374</v>
      </c>
      <c r="I303" s="1085"/>
      <c r="J303" s="1085"/>
      <c r="K303" s="1085"/>
      <c r="L303" s="1085"/>
      <c r="M303" s="1085"/>
      <c r="N303" s="1084"/>
      <c r="O303" s="1084"/>
      <c r="P303" s="1084"/>
      <c r="Q303" s="1084"/>
      <c r="R303" s="1084"/>
      <c r="S303" s="41"/>
      <c r="T303" s="41" t="s">
        <v>736</v>
      </c>
      <c r="V303" s="41"/>
      <c r="W303" s="41"/>
      <c r="X303" s="41"/>
      <c r="Y303" s="41"/>
      <c r="AA303" s="1085"/>
      <c r="AB303" s="1085"/>
      <c r="AC303" s="1085"/>
      <c r="AD303" s="1085"/>
      <c r="AE303" s="1085"/>
      <c r="AF303" s="1085"/>
      <c r="AG303" s="1084"/>
      <c r="AH303" s="1084"/>
      <c r="AI303" s="1084"/>
      <c r="AJ303" s="1084"/>
      <c r="AK303" s="1084"/>
      <c r="BA303" s="43"/>
    </row>
    <row r="304" spans="2:53" ht="12.9" customHeight="1">
      <c r="BA304" s="43"/>
    </row>
    <row r="305" spans="2:53" ht="12.9" customHeight="1">
      <c r="B305" s="41" t="s">
        <v>737</v>
      </c>
      <c r="C305" s="41"/>
      <c r="D305" s="41"/>
      <c r="E305" s="41"/>
      <c r="F305" s="41"/>
      <c r="H305" s="1084" t="s">
        <v>2397</v>
      </c>
      <c r="I305" s="1084"/>
      <c r="J305" s="1084"/>
      <c r="K305" s="1084"/>
      <c r="L305" s="1084"/>
      <c r="M305" s="1084"/>
      <c r="N305" s="1084"/>
      <c r="O305" s="1084"/>
      <c r="P305" s="1084"/>
      <c r="Q305" s="1084"/>
      <c r="R305" s="1084"/>
      <c r="T305" s="5" t="s">
        <v>1150</v>
      </c>
      <c r="V305" s="41"/>
      <c r="W305" s="41"/>
      <c r="X305" s="41"/>
      <c r="Y305" s="41"/>
      <c r="AA305" s="1084"/>
      <c r="AB305" s="1084"/>
      <c r="AC305" s="1084"/>
      <c r="AD305" s="1084"/>
      <c r="AE305" s="1084"/>
      <c r="AF305" s="1084"/>
      <c r="AG305" s="1084"/>
      <c r="AH305" s="1084"/>
      <c r="AI305" s="1084"/>
      <c r="AJ305" s="1084"/>
      <c r="AK305" s="1084"/>
      <c r="BA305" s="43"/>
    </row>
    <row r="306" spans="2:53" ht="12.9" customHeight="1">
      <c r="B306" s="41" t="s">
        <v>733</v>
      </c>
      <c r="C306" s="41"/>
      <c r="D306" s="41"/>
      <c r="E306" s="41"/>
      <c r="F306" s="41"/>
      <c r="H306" s="1085" t="s">
        <v>2398</v>
      </c>
      <c r="I306" s="1085"/>
      <c r="J306" s="1085"/>
      <c r="K306" s="1085"/>
      <c r="L306" s="1085"/>
      <c r="M306" s="1085"/>
      <c r="N306" s="1085"/>
      <c r="O306" s="1085"/>
      <c r="P306" s="1085"/>
      <c r="Q306" s="1085"/>
      <c r="R306" s="1085"/>
      <c r="T306" s="41" t="s">
        <v>733</v>
      </c>
      <c r="V306" s="41"/>
      <c r="W306" s="41"/>
      <c r="X306" s="41"/>
      <c r="Y306" s="41"/>
      <c r="AA306" s="1085"/>
      <c r="AB306" s="1085"/>
      <c r="AC306" s="1085"/>
      <c r="AD306" s="1085"/>
      <c r="AE306" s="1085"/>
      <c r="AF306" s="1085"/>
      <c r="AG306" s="1085"/>
      <c r="AH306" s="1085"/>
      <c r="AI306" s="1085"/>
      <c r="AJ306" s="1085"/>
      <c r="AK306" s="1085"/>
      <c r="BA306" s="43"/>
    </row>
    <row r="307" spans="2:53" ht="12.9" customHeight="1">
      <c r="B307" s="41" t="s">
        <v>735</v>
      </c>
      <c r="C307" s="41"/>
      <c r="D307" s="41"/>
      <c r="E307" s="41"/>
      <c r="F307" s="41"/>
      <c r="H307" s="1085" t="s">
        <v>2399</v>
      </c>
      <c r="I307" s="1085"/>
      <c r="J307" s="1085"/>
      <c r="K307" s="1085"/>
      <c r="L307" s="1085"/>
      <c r="M307" s="1085"/>
      <c r="N307" s="1085"/>
      <c r="O307" s="1085"/>
      <c r="P307" s="1085"/>
      <c r="Q307" s="1085"/>
      <c r="R307" s="1085"/>
      <c r="T307" s="41" t="s">
        <v>734</v>
      </c>
      <c r="V307" s="41"/>
      <c r="W307" s="41"/>
      <c r="X307" s="41"/>
      <c r="Y307" s="41"/>
      <c r="AA307" s="1085"/>
      <c r="AB307" s="1085"/>
      <c r="AC307" s="1085"/>
      <c r="AD307" s="1085"/>
      <c r="AE307" s="1085"/>
      <c r="AF307" s="1085"/>
      <c r="AG307" s="1085"/>
      <c r="AH307" s="1085"/>
      <c r="AI307" s="1085"/>
      <c r="AJ307" s="1085"/>
      <c r="AK307" s="1085"/>
      <c r="BA307" s="43"/>
    </row>
    <row r="308" spans="2:53" ht="12.9" customHeight="1">
      <c r="B308" s="41" t="s">
        <v>397</v>
      </c>
      <c r="C308" s="41"/>
      <c r="D308" s="41"/>
      <c r="E308" s="41"/>
      <c r="F308" s="41"/>
      <c r="H308" s="1085" t="s">
        <v>2400</v>
      </c>
      <c r="I308" s="1085"/>
      <c r="J308" s="1085"/>
      <c r="K308" s="1085"/>
      <c r="L308" s="1085"/>
      <c r="M308" s="1085"/>
      <c r="N308" s="1085"/>
      <c r="O308" s="1085"/>
      <c r="P308" s="1085"/>
      <c r="Q308" s="1085"/>
      <c r="R308" s="1085"/>
      <c r="T308" s="41" t="s">
        <v>397</v>
      </c>
      <c r="V308" s="41"/>
      <c r="W308" s="41"/>
      <c r="X308" s="41"/>
      <c r="Y308" s="41"/>
      <c r="AA308" s="1085"/>
      <c r="AB308" s="1085"/>
      <c r="AC308" s="1085"/>
      <c r="AD308" s="1085"/>
      <c r="AE308" s="1085"/>
      <c r="AF308" s="1085"/>
      <c r="AG308" s="1085"/>
      <c r="AH308" s="1085"/>
      <c r="AI308" s="1085"/>
      <c r="AJ308" s="1085"/>
      <c r="AK308" s="1085"/>
      <c r="BA308" s="43"/>
    </row>
    <row r="309" spans="2:53" ht="12.9" customHeight="1">
      <c r="B309" s="41" t="s">
        <v>398</v>
      </c>
      <c r="C309" s="41"/>
      <c r="D309" s="41"/>
      <c r="E309" s="41"/>
      <c r="F309" s="41"/>
      <c r="G309" s="41"/>
      <c r="H309" s="1107" t="s">
        <v>2373</v>
      </c>
      <c r="I309" s="1107"/>
      <c r="J309" s="1107"/>
      <c r="K309" s="1107"/>
      <c r="L309" s="1107"/>
      <c r="M309" s="1107"/>
      <c r="N309" s="5" t="s">
        <v>857</v>
      </c>
      <c r="O309" s="5"/>
      <c r="P309" s="1110"/>
      <c r="Q309" s="1110"/>
      <c r="R309" s="1110"/>
      <c r="S309" s="41"/>
      <c r="T309" s="41" t="s">
        <v>398</v>
      </c>
      <c r="V309" s="41"/>
      <c r="W309" s="41"/>
      <c r="X309" s="41"/>
      <c r="Y309" s="41"/>
      <c r="AA309" s="1107"/>
      <c r="AB309" s="1107"/>
      <c r="AC309" s="1107"/>
      <c r="AD309" s="1107"/>
      <c r="AE309" s="1107"/>
      <c r="AF309" s="1107"/>
      <c r="AG309" s="5" t="s">
        <v>857</v>
      </c>
      <c r="AH309" s="5"/>
      <c r="AI309" s="1110"/>
      <c r="AJ309" s="1110"/>
      <c r="AK309" s="1110"/>
      <c r="BA309" s="43"/>
    </row>
    <row r="310" spans="2:53" ht="12.9" customHeight="1">
      <c r="B310" s="41" t="s">
        <v>399</v>
      </c>
      <c r="C310" s="41"/>
      <c r="D310" s="41"/>
      <c r="E310" s="41"/>
      <c r="F310" s="41"/>
      <c r="G310" s="41"/>
      <c r="H310" s="1108" t="s">
        <v>2401</v>
      </c>
      <c r="I310" s="1108"/>
      <c r="J310" s="1108"/>
      <c r="K310" s="1108"/>
      <c r="L310" s="1108"/>
      <c r="M310" s="1108"/>
      <c r="N310" s="5"/>
      <c r="O310" s="5"/>
      <c r="P310" s="44"/>
      <c r="Q310" s="44"/>
      <c r="R310" s="44"/>
      <c r="S310" s="41"/>
      <c r="T310" s="41" t="s">
        <v>399</v>
      </c>
      <c r="V310" s="41"/>
      <c r="W310" s="41"/>
      <c r="X310" s="41"/>
      <c r="Y310" s="41"/>
      <c r="AA310" s="1108"/>
      <c r="AB310" s="1108"/>
      <c r="AC310" s="1108"/>
      <c r="AD310" s="1108"/>
      <c r="AE310" s="1108"/>
      <c r="AF310" s="1108"/>
      <c r="AG310" s="5"/>
      <c r="AH310" s="5"/>
      <c r="AI310" s="44"/>
      <c r="AJ310" s="44"/>
      <c r="AK310" s="44"/>
      <c r="BA310" s="43"/>
    </row>
    <row r="311" spans="2:53" ht="12.9" customHeight="1">
      <c r="B311" s="41" t="s">
        <v>736</v>
      </c>
      <c r="C311" s="41"/>
      <c r="D311" s="41"/>
      <c r="E311" s="41"/>
      <c r="F311" s="41"/>
      <c r="G311" s="41"/>
      <c r="H311" s="1085" t="s">
        <v>2374</v>
      </c>
      <c r="I311" s="1085"/>
      <c r="J311" s="1085"/>
      <c r="K311" s="1085"/>
      <c r="L311" s="1085"/>
      <c r="M311" s="1085"/>
      <c r="N311" s="1084"/>
      <c r="O311" s="1084"/>
      <c r="P311" s="1084"/>
      <c r="Q311" s="1084"/>
      <c r="R311" s="1084"/>
      <c r="S311" s="41"/>
      <c r="T311" s="41" t="s">
        <v>736</v>
      </c>
      <c r="V311" s="41"/>
      <c r="W311" s="41"/>
      <c r="X311" s="41"/>
      <c r="Y311" s="41"/>
      <c r="AA311" s="1085"/>
      <c r="AB311" s="1085"/>
      <c r="AC311" s="1085"/>
      <c r="AD311" s="1085"/>
      <c r="AE311" s="1085"/>
      <c r="AF311" s="1085"/>
      <c r="AG311" s="1084"/>
      <c r="AH311" s="1084"/>
      <c r="AI311" s="1084"/>
      <c r="AJ311" s="1084"/>
      <c r="AK311" s="1084"/>
      <c r="BA311" s="43"/>
    </row>
    <row r="312" spans="2:53" ht="12.9" customHeight="1">
      <c r="BA312" s="43"/>
    </row>
    <row r="313" spans="2:53" ht="12.9" customHeight="1">
      <c r="B313" s="5" t="s">
        <v>1192</v>
      </c>
      <c r="C313" s="41"/>
      <c r="D313" s="41"/>
      <c r="E313" s="41"/>
      <c r="F313" s="41"/>
      <c r="H313" s="1084" t="s">
        <v>2402</v>
      </c>
      <c r="I313" s="1084"/>
      <c r="J313" s="1084"/>
      <c r="K313" s="1084"/>
      <c r="L313" s="1084"/>
      <c r="M313" s="1084"/>
      <c r="N313" s="1084"/>
      <c r="O313" s="1084"/>
      <c r="P313" s="1084"/>
      <c r="Q313" s="1084"/>
      <c r="R313" s="1084"/>
      <c r="T313" s="41" t="s">
        <v>40</v>
      </c>
      <c r="V313" s="41"/>
      <c r="W313" s="41"/>
      <c r="X313" s="41"/>
      <c r="Y313" s="41"/>
      <c r="AA313" s="1084" t="s">
        <v>2449</v>
      </c>
      <c r="AB313" s="1084"/>
      <c r="AC313" s="1084"/>
      <c r="AD313" s="1084"/>
      <c r="AE313" s="1084"/>
      <c r="AF313" s="1084"/>
      <c r="AG313" s="1084"/>
      <c r="AH313" s="1084"/>
      <c r="AI313" s="1084"/>
      <c r="AJ313" s="1084"/>
      <c r="AK313" s="1084"/>
      <c r="BA313" s="43"/>
    </row>
    <row r="314" spans="2:53" ht="12.9" customHeight="1">
      <c r="B314" s="41" t="s">
        <v>733</v>
      </c>
      <c r="C314" s="41"/>
      <c r="D314" s="41"/>
      <c r="E314" s="41"/>
      <c r="F314" s="41"/>
      <c r="H314" s="1085" t="s">
        <v>2403</v>
      </c>
      <c r="I314" s="1085"/>
      <c r="J314" s="1085"/>
      <c r="K314" s="1085"/>
      <c r="L314" s="1085"/>
      <c r="M314" s="1085"/>
      <c r="N314" s="1085"/>
      <c r="O314" s="1085"/>
      <c r="P314" s="1085"/>
      <c r="Q314" s="1085"/>
      <c r="R314" s="1085"/>
      <c r="T314" s="41" t="s">
        <v>733</v>
      </c>
      <c r="V314" s="41"/>
      <c r="W314" s="41"/>
      <c r="X314" s="41"/>
      <c r="Y314" s="41"/>
      <c r="AA314" s="1085" t="s">
        <v>2450</v>
      </c>
      <c r="AB314" s="1085"/>
      <c r="AC314" s="1085"/>
      <c r="AD314" s="1085"/>
      <c r="AE314" s="1085"/>
      <c r="AF314" s="1085"/>
      <c r="AG314" s="1085"/>
      <c r="AH314" s="1085"/>
      <c r="AI314" s="1085"/>
      <c r="AJ314" s="1085"/>
      <c r="AK314" s="1085"/>
      <c r="BA314" s="43"/>
    </row>
    <row r="315" spans="2:53" ht="12.9" customHeight="1">
      <c r="B315" s="41" t="s">
        <v>735</v>
      </c>
      <c r="C315" s="41"/>
      <c r="D315" s="41"/>
      <c r="E315" s="41"/>
      <c r="F315" s="41"/>
      <c r="H315" s="1085" t="s">
        <v>2404</v>
      </c>
      <c r="I315" s="1085"/>
      <c r="J315" s="1085"/>
      <c r="K315" s="1085"/>
      <c r="L315" s="1085"/>
      <c r="M315" s="1085"/>
      <c r="N315" s="1085"/>
      <c r="O315" s="1085"/>
      <c r="P315" s="1085"/>
      <c r="Q315" s="1085"/>
      <c r="R315" s="1085"/>
      <c r="T315" s="41" t="s">
        <v>734</v>
      </c>
      <c r="V315" s="41"/>
      <c r="W315" s="41"/>
      <c r="X315" s="41"/>
      <c r="Y315" s="41"/>
      <c r="AA315" s="1085" t="s">
        <v>2451</v>
      </c>
      <c r="AB315" s="1085"/>
      <c r="AC315" s="1085"/>
      <c r="AD315" s="1085"/>
      <c r="AE315" s="1085"/>
      <c r="AF315" s="1085"/>
      <c r="AG315" s="1085"/>
      <c r="AH315" s="1085"/>
      <c r="AI315" s="1085"/>
      <c r="AJ315" s="1085"/>
      <c r="AK315" s="1085"/>
      <c r="BA315" s="43"/>
    </row>
    <row r="316" spans="2:53" ht="12.9" customHeight="1">
      <c r="B316" s="41" t="s">
        <v>397</v>
      </c>
      <c r="C316" s="41"/>
      <c r="D316" s="41"/>
      <c r="E316" s="41"/>
      <c r="F316" s="41"/>
      <c r="H316" s="1085" t="s">
        <v>2405</v>
      </c>
      <c r="I316" s="1085"/>
      <c r="J316" s="1085"/>
      <c r="K316" s="1085"/>
      <c r="L316" s="1085"/>
      <c r="M316" s="1085"/>
      <c r="N316" s="1085"/>
      <c r="O316" s="1085"/>
      <c r="P316" s="1085"/>
      <c r="Q316" s="1085"/>
      <c r="R316" s="1085"/>
      <c r="T316" s="41" t="s">
        <v>397</v>
      </c>
      <c r="V316" s="41"/>
      <c r="W316" s="41"/>
      <c r="X316" s="41"/>
      <c r="Y316" s="41"/>
      <c r="AA316" s="1085" t="s">
        <v>2452</v>
      </c>
      <c r="AB316" s="1085"/>
      <c r="AC316" s="1085"/>
      <c r="AD316" s="1085"/>
      <c r="AE316" s="1085"/>
      <c r="AF316" s="1085"/>
      <c r="AG316" s="1085"/>
      <c r="AH316" s="1085"/>
      <c r="AI316" s="1085"/>
      <c r="AJ316" s="1085"/>
      <c r="AK316" s="1085"/>
      <c r="BA316" s="43"/>
    </row>
    <row r="317" spans="2:53" ht="12.9" customHeight="1">
      <c r="B317" s="41" t="s">
        <v>398</v>
      </c>
      <c r="C317" s="41"/>
      <c r="D317" s="41"/>
      <c r="E317" s="41"/>
      <c r="F317" s="41"/>
      <c r="G317" s="41"/>
      <c r="H317" s="1118" t="s">
        <v>2406</v>
      </c>
      <c r="I317" s="1107"/>
      <c r="J317" s="1107"/>
      <c r="K317" s="1107"/>
      <c r="L317" s="1107"/>
      <c r="M317" s="1107"/>
      <c r="N317" s="5" t="s">
        <v>857</v>
      </c>
      <c r="O317" s="5"/>
      <c r="P317" s="1110"/>
      <c r="Q317" s="1110"/>
      <c r="R317" s="1110"/>
      <c r="S317" s="41"/>
      <c r="T317" s="41" t="s">
        <v>398</v>
      </c>
      <c r="V317" s="41"/>
      <c r="W317" s="41"/>
      <c r="X317" s="41"/>
      <c r="Y317" s="41"/>
      <c r="AA317" s="1107">
        <v>6282334862</v>
      </c>
      <c r="AB317" s="1107"/>
      <c r="AC317" s="1107"/>
      <c r="AD317" s="1107"/>
      <c r="AE317" s="1107"/>
      <c r="AF317" s="1107"/>
      <c r="AG317" s="5" t="s">
        <v>857</v>
      </c>
      <c r="AH317" s="5"/>
      <c r="AI317" s="1110"/>
      <c r="AJ317" s="1110"/>
      <c r="AK317" s="1110"/>
      <c r="BA317" s="43"/>
    </row>
    <row r="318" spans="2:53" ht="12.9" customHeight="1">
      <c r="B318" s="41" t="s">
        <v>399</v>
      </c>
      <c r="C318" s="41"/>
      <c r="D318" s="41"/>
      <c r="E318" s="41"/>
      <c r="F318" s="41"/>
      <c r="G318" s="41"/>
      <c r="H318" s="1284" t="s">
        <v>2407</v>
      </c>
      <c r="I318" s="1108"/>
      <c r="J318" s="1108"/>
      <c r="K318" s="1108"/>
      <c r="L318" s="1108"/>
      <c r="M318" s="1108"/>
      <c r="N318" s="5"/>
      <c r="O318" s="5"/>
      <c r="P318" s="44"/>
      <c r="Q318" s="44"/>
      <c r="R318" s="44"/>
      <c r="S318" s="41"/>
      <c r="T318" s="41" t="s">
        <v>399</v>
      </c>
      <c r="V318" s="41"/>
      <c r="W318" s="41"/>
      <c r="X318" s="41"/>
      <c r="Y318" s="41"/>
      <c r="AA318" s="1108"/>
      <c r="AB318" s="1108"/>
      <c r="AC318" s="1108"/>
      <c r="AD318" s="1108"/>
      <c r="AE318" s="1108"/>
      <c r="AF318" s="1108"/>
      <c r="AG318" s="5"/>
      <c r="AH318" s="5"/>
      <c r="AI318" s="44"/>
      <c r="AJ318" s="44"/>
      <c r="AK318" s="44"/>
      <c r="BA318" s="43"/>
    </row>
    <row r="319" spans="2:53" ht="12.9" customHeight="1">
      <c r="B319" s="41" t="s">
        <v>736</v>
      </c>
      <c r="C319" s="41"/>
      <c r="D319" s="41"/>
      <c r="E319" s="41"/>
      <c r="F319" s="41"/>
      <c r="G319" s="41"/>
      <c r="H319" s="1085"/>
      <c r="I319" s="1085"/>
      <c r="J319" s="1085"/>
      <c r="K319" s="1085"/>
      <c r="L319" s="1085"/>
      <c r="M319" s="1085"/>
      <c r="N319" s="1084"/>
      <c r="O319" s="1084"/>
      <c r="P319" s="1084"/>
      <c r="Q319" s="1084"/>
      <c r="R319" s="1084"/>
      <c r="S319" s="41"/>
      <c r="T319" s="41" t="s">
        <v>736</v>
      </c>
      <c r="V319" s="41"/>
      <c r="W319" s="41"/>
      <c r="X319" s="41"/>
      <c r="Y319" s="41"/>
      <c r="AA319" s="1085" t="s">
        <v>2465</v>
      </c>
      <c r="AB319" s="1085"/>
      <c r="AC319" s="1085"/>
      <c r="AD319" s="1085"/>
      <c r="AE319" s="1085"/>
      <c r="AF319" s="1085"/>
      <c r="AG319" s="1084"/>
      <c r="AH319" s="1084"/>
      <c r="AI319" s="1084"/>
      <c r="AJ319" s="1084"/>
      <c r="AK319" s="1084"/>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1193</v>
      </c>
      <c r="C321" s="41"/>
      <c r="D321" s="41"/>
      <c r="E321" s="41"/>
      <c r="F321" s="41"/>
      <c r="H321" s="1084" t="s">
        <v>2397</v>
      </c>
      <c r="I321" s="1084"/>
      <c r="J321" s="1084"/>
      <c r="K321" s="1084"/>
      <c r="L321" s="1084"/>
      <c r="M321" s="1084"/>
      <c r="N321" s="1084"/>
      <c r="O321" s="1084"/>
      <c r="P321" s="1084"/>
      <c r="Q321" s="1084"/>
      <c r="R321" s="1084"/>
      <c r="T321" s="41" t="s">
        <v>41</v>
      </c>
      <c r="V321" s="41"/>
      <c r="W321" s="41"/>
      <c r="X321" s="41"/>
      <c r="Y321" s="41"/>
      <c r="AA321" s="1084" t="s">
        <v>2414</v>
      </c>
      <c r="AB321" s="1084"/>
      <c r="AC321" s="1084"/>
      <c r="AD321" s="1084"/>
      <c r="AE321" s="1084"/>
      <c r="AF321" s="1084"/>
      <c r="AG321" s="1084"/>
      <c r="AH321" s="1084"/>
      <c r="AI321" s="1084"/>
      <c r="AJ321" s="1084"/>
      <c r="AK321" s="1084"/>
      <c r="BA321" s="43"/>
    </row>
    <row r="322" spans="2:53" ht="12.9" customHeight="1">
      <c r="B322" s="41" t="s">
        <v>733</v>
      </c>
      <c r="C322" s="41"/>
      <c r="D322" s="41"/>
      <c r="E322" s="41"/>
      <c r="F322" s="41"/>
      <c r="H322" s="1085" t="s">
        <v>2398</v>
      </c>
      <c r="I322" s="1085"/>
      <c r="J322" s="1085"/>
      <c r="K322" s="1085"/>
      <c r="L322" s="1085"/>
      <c r="M322" s="1085"/>
      <c r="N322" s="1085"/>
      <c r="O322" s="1085"/>
      <c r="P322" s="1085"/>
      <c r="Q322" s="1085"/>
      <c r="R322" s="1085"/>
      <c r="T322" s="41" t="s">
        <v>733</v>
      </c>
      <c r="V322" s="41"/>
      <c r="W322" s="41"/>
      <c r="X322" s="41"/>
      <c r="Y322" s="41"/>
      <c r="AA322" s="1085" t="s">
        <v>2415</v>
      </c>
      <c r="AB322" s="1085"/>
      <c r="AC322" s="1085"/>
      <c r="AD322" s="1085"/>
      <c r="AE322" s="1085"/>
      <c r="AF322" s="1085"/>
      <c r="AG322" s="1085"/>
      <c r="AH322" s="1085"/>
      <c r="AI322" s="1085"/>
      <c r="AJ322" s="1085"/>
      <c r="AK322" s="1085"/>
      <c r="BA322" s="43"/>
    </row>
    <row r="323" spans="2:53" ht="12.9" customHeight="1">
      <c r="B323" s="41" t="s">
        <v>735</v>
      </c>
      <c r="C323" s="41"/>
      <c r="D323" s="41"/>
      <c r="E323" s="41"/>
      <c r="F323" s="41"/>
      <c r="H323" s="1085" t="s">
        <v>2399</v>
      </c>
      <c r="I323" s="1085"/>
      <c r="J323" s="1085"/>
      <c r="K323" s="1085"/>
      <c r="L323" s="1085"/>
      <c r="M323" s="1085"/>
      <c r="N323" s="1085"/>
      <c r="O323" s="1085"/>
      <c r="P323" s="1085"/>
      <c r="Q323" s="1085"/>
      <c r="R323" s="1085"/>
      <c r="T323" s="41" t="s">
        <v>734</v>
      </c>
      <c r="V323" s="41"/>
      <c r="W323" s="41"/>
      <c r="X323" s="41"/>
      <c r="Y323" s="41"/>
      <c r="AA323" s="1085" t="s">
        <v>2416</v>
      </c>
      <c r="AB323" s="1085"/>
      <c r="AC323" s="1085"/>
      <c r="AD323" s="1085"/>
      <c r="AE323" s="1085"/>
      <c r="AF323" s="1085"/>
      <c r="AG323" s="1085"/>
      <c r="AH323" s="1085"/>
      <c r="AI323" s="1085"/>
      <c r="AJ323" s="1085"/>
      <c r="AK323" s="1085"/>
      <c r="BA323" s="43"/>
    </row>
    <row r="324" spans="2:53" ht="12.9" customHeight="1">
      <c r="B324" s="41" t="s">
        <v>397</v>
      </c>
      <c r="C324" s="41"/>
      <c r="D324" s="41"/>
      <c r="E324" s="41"/>
      <c r="F324" s="41"/>
      <c r="H324" s="1085" t="s">
        <v>2400</v>
      </c>
      <c r="I324" s="1085"/>
      <c r="J324" s="1085"/>
      <c r="K324" s="1085"/>
      <c r="L324" s="1085"/>
      <c r="M324" s="1085"/>
      <c r="N324" s="1085"/>
      <c r="O324" s="1085"/>
      <c r="P324" s="1085"/>
      <c r="Q324" s="1085"/>
      <c r="R324" s="1085"/>
      <c r="T324" s="41" t="s">
        <v>397</v>
      </c>
      <c r="V324" s="41"/>
      <c r="W324" s="41"/>
      <c r="X324" s="41"/>
      <c r="Y324" s="41"/>
      <c r="AA324" s="1085" t="s">
        <v>2417</v>
      </c>
      <c r="AB324" s="1085"/>
      <c r="AC324" s="1085"/>
      <c r="AD324" s="1085"/>
      <c r="AE324" s="1085"/>
      <c r="AF324" s="1085"/>
      <c r="AG324" s="1085"/>
      <c r="AH324" s="1085"/>
      <c r="AI324" s="1085"/>
      <c r="AJ324" s="1085"/>
      <c r="AK324" s="1085"/>
      <c r="BA324" s="43"/>
    </row>
    <row r="325" spans="2:53" ht="12.9" customHeight="1">
      <c r="B325" s="41" t="s">
        <v>398</v>
      </c>
      <c r="C325" s="41"/>
      <c r="D325" s="41"/>
      <c r="E325" s="41"/>
      <c r="F325" s="41"/>
      <c r="G325" s="41"/>
      <c r="H325" s="1107" t="s">
        <v>2373</v>
      </c>
      <c r="I325" s="1107"/>
      <c r="J325" s="1107"/>
      <c r="K325" s="1107"/>
      <c r="L325" s="1107"/>
      <c r="M325" s="1107"/>
      <c r="N325" s="5" t="s">
        <v>857</v>
      </c>
      <c r="O325" s="5"/>
      <c r="P325" s="1110"/>
      <c r="Q325" s="1110"/>
      <c r="R325" s="1110"/>
      <c r="S325" s="41"/>
      <c r="T325" s="41" t="s">
        <v>398</v>
      </c>
      <c r="V325" s="41"/>
      <c r="W325" s="41"/>
      <c r="X325" s="41"/>
      <c r="Y325" s="41"/>
      <c r="AA325" s="1107">
        <v>4023051693</v>
      </c>
      <c r="AB325" s="1107"/>
      <c r="AC325" s="1107"/>
      <c r="AD325" s="1107"/>
      <c r="AE325" s="1107"/>
      <c r="AF325" s="1107"/>
      <c r="AG325" s="5" t="s">
        <v>857</v>
      </c>
      <c r="AH325" s="5"/>
      <c r="AI325" s="1110"/>
      <c r="AJ325" s="1110"/>
      <c r="AK325" s="1110"/>
      <c r="BA325" s="43"/>
    </row>
    <row r="326" spans="2:53" ht="12.9" customHeight="1">
      <c r="B326" s="41" t="s">
        <v>399</v>
      </c>
      <c r="C326" s="41"/>
      <c r="D326" s="41"/>
      <c r="E326" s="41"/>
      <c r="F326" s="41"/>
      <c r="G326" s="41"/>
      <c r="H326" s="1108" t="s">
        <v>2401</v>
      </c>
      <c r="I326" s="1108"/>
      <c r="J326" s="1108"/>
      <c r="K326" s="1108"/>
      <c r="L326" s="1108"/>
      <c r="M326" s="1108"/>
      <c r="N326" s="5"/>
      <c r="O326" s="5"/>
      <c r="P326" s="44"/>
      <c r="Q326" s="44"/>
      <c r="R326" s="44"/>
      <c r="S326" s="41"/>
      <c r="T326" s="41" t="s">
        <v>399</v>
      </c>
      <c r="V326" s="41"/>
      <c r="W326" s="41"/>
      <c r="X326" s="41"/>
      <c r="Y326" s="41"/>
      <c r="AA326" s="1108"/>
      <c r="AB326" s="1108"/>
      <c r="AC326" s="1108"/>
      <c r="AD326" s="1108"/>
      <c r="AE326" s="1108"/>
      <c r="AF326" s="1108"/>
      <c r="AG326" s="5"/>
      <c r="AH326" s="5"/>
      <c r="AI326" s="44"/>
      <c r="AJ326" s="44"/>
      <c r="AK326" s="44"/>
      <c r="BA326" s="43"/>
    </row>
    <row r="327" spans="2:53" ht="12.9" customHeight="1">
      <c r="B327" s="41" t="s">
        <v>736</v>
      </c>
      <c r="C327" s="41"/>
      <c r="D327" s="41"/>
      <c r="E327" s="41"/>
      <c r="F327" s="41"/>
      <c r="G327" s="41"/>
      <c r="H327" s="1085" t="s">
        <v>2374</v>
      </c>
      <c r="I327" s="1085"/>
      <c r="J327" s="1085"/>
      <c r="K327" s="1085"/>
      <c r="L327" s="1085"/>
      <c r="M327" s="1085"/>
      <c r="N327" s="1084"/>
      <c r="O327" s="1084"/>
      <c r="P327" s="1084"/>
      <c r="Q327" s="1084"/>
      <c r="R327" s="1084"/>
      <c r="S327" s="41"/>
      <c r="T327" s="41" t="s">
        <v>736</v>
      </c>
      <c r="V327" s="41"/>
      <c r="W327" s="41"/>
      <c r="X327" s="41"/>
      <c r="Y327" s="41"/>
      <c r="AA327" s="1085" t="s">
        <v>2418</v>
      </c>
      <c r="AB327" s="1085"/>
      <c r="AC327" s="1085"/>
      <c r="AD327" s="1085"/>
      <c r="AE327" s="1085"/>
      <c r="AF327" s="1085"/>
      <c r="AG327" s="1084"/>
      <c r="AH327" s="1084"/>
      <c r="AI327" s="1084"/>
      <c r="AJ327" s="1084"/>
      <c r="AK327" s="1084"/>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42</v>
      </c>
      <c r="C329" s="41"/>
      <c r="D329" s="41"/>
      <c r="E329" s="41"/>
      <c r="F329" s="41"/>
      <c r="H329" s="1084"/>
      <c r="I329" s="1084"/>
      <c r="J329" s="1084"/>
      <c r="K329" s="1084"/>
      <c r="L329" s="1084"/>
      <c r="M329" s="1084"/>
      <c r="N329" s="1084"/>
      <c r="O329" s="1084"/>
      <c r="P329" s="1084"/>
      <c r="Q329" s="1084"/>
      <c r="R329" s="1084"/>
      <c r="T329" s="5" t="s">
        <v>1151</v>
      </c>
      <c r="V329" s="41"/>
      <c r="W329" s="41"/>
      <c r="X329" s="41"/>
      <c r="Y329" s="41"/>
      <c r="AA329" s="1084" t="s">
        <v>2419</v>
      </c>
      <c r="AB329" s="1084"/>
      <c r="AC329" s="1084"/>
      <c r="AD329" s="1084"/>
      <c r="AE329" s="1084"/>
      <c r="AF329" s="1084"/>
      <c r="AG329" s="1084"/>
      <c r="AH329" s="1084"/>
      <c r="AI329" s="1084"/>
      <c r="AJ329" s="1084"/>
      <c r="AK329" s="1084"/>
      <c r="BA329" s="43"/>
    </row>
    <row r="330" spans="2:53" ht="12.9" customHeight="1">
      <c r="B330" s="41" t="s">
        <v>733</v>
      </c>
      <c r="C330" s="41"/>
      <c r="D330" s="41"/>
      <c r="E330" s="41"/>
      <c r="F330" s="41"/>
      <c r="H330" s="1085"/>
      <c r="I330" s="1085"/>
      <c r="J330" s="1085"/>
      <c r="K330" s="1085"/>
      <c r="L330" s="1085"/>
      <c r="M330" s="1085"/>
      <c r="N330" s="1085"/>
      <c r="O330" s="1085"/>
      <c r="P330" s="1085"/>
      <c r="Q330" s="1085"/>
      <c r="R330" s="1085"/>
      <c r="T330" s="41" t="s">
        <v>733</v>
      </c>
      <c r="V330" s="41"/>
      <c r="W330" s="41"/>
      <c r="X330" s="41"/>
      <c r="Y330" s="41"/>
      <c r="AA330" s="1085" t="s">
        <v>2420</v>
      </c>
      <c r="AB330" s="1085"/>
      <c r="AC330" s="1085"/>
      <c r="AD330" s="1085"/>
      <c r="AE330" s="1085"/>
      <c r="AF330" s="1085"/>
      <c r="AG330" s="1085"/>
      <c r="AH330" s="1085"/>
      <c r="AI330" s="1085"/>
      <c r="AJ330" s="1085"/>
      <c r="AK330" s="1085"/>
      <c r="BA330" s="43"/>
    </row>
    <row r="331" spans="2:53" ht="12.9" customHeight="1">
      <c r="B331" s="41" t="s">
        <v>735</v>
      </c>
      <c r="C331" s="41"/>
      <c r="D331" s="41"/>
      <c r="E331" s="41"/>
      <c r="F331" s="41"/>
      <c r="G331" s="41"/>
      <c r="H331" s="1085"/>
      <c r="I331" s="1085"/>
      <c r="J331" s="1085"/>
      <c r="K331" s="1085"/>
      <c r="L331" s="1085"/>
      <c r="M331" s="1085"/>
      <c r="N331" s="1085"/>
      <c r="O331" s="1085"/>
      <c r="P331" s="1085"/>
      <c r="Q331" s="1085"/>
      <c r="R331" s="1085"/>
      <c r="T331" s="41" t="s">
        <v>734</v>
      </c>
      <c r="V331" s="41"/>
      <c r="W331" s="41"/>
      <c r="X331" s="41"/>
      <c r="Y331" s="41"/>
      <c r="AA331" s="1085" t="s">
        <v>2421</v>
      </c>
      <c r="AB331" s="1085"/>
      <c r="AC331" s="1085"/>
      <c r="AD331" s="1085"/>
      <c r="AE331" s="1085"/>
      <c r="AF331" s="1085"/>
      <c r="AG331" s="1085"/>
      <c r="AH331" s="1085"/>
      <c r="AI331" s="1085"/>
      <c r="AJ331" s="1085"/>
      <c r="AK331" s="1085"/>
      <c r="BA331" s="43"/>
    </row>
    <row r="332" spans="2:53" ht="12.9" customHeight="1">
      <c r="B332" s="41" t="s">
        <v>397</v>
      </c>
      <c r="C332" s="41"/>
      <c r="D332" s="41"/>
      <c r="E332" s="41"/>
      <c r="F332" s="41"/>
      <c r="H332" s="1085"/>
      <c r="I332" s="1085"/>
      <c r="J332" s="1085"/>
      <c r="K332" s="1085"/>
      <c r="L332" s="1085"/>
      <c r="M332" s="1085"/>
      <c r="N332" s="1085"/>
      <c r="O332" s="1085"/>
      <c r="P332" s="1085"/>
      <c r="Q332" s="1085"/>
      <c r="R332" s="1085"/>
      <c r="T332" s="41" t="s">
        <v>397</v>
      </c>
      <c r="V332" s="41"/>
      <c r="W332" s="41"/>
      <c r="X332" s="41"/>
      <c r="Y332" s="41"/>
      <c r="AA332" s="1085" t="s">
        <v>2422</v>
      </c>
      <c r="AB332" s="1085"/>
      <c r="AC332" s="1085"/>
      <c r="AD332" s="1085"/>
      <c r="AE332" s="1085"/>
      <c r="AF332" s="1085"/>
      <c r="AG332" s="1085"/>
      <c r="AH332" s="1085"/>
      <c r="AI332" s="1085"/>
      <c r="AJ332" s="1085"/>
      <c r="AK332" s="1085"/>
      <c r="BA332" s="43"/>
    </row>
    <row r="333" spans="2:53" ht="12.9" customHeight="1">
      <c r="B333" s="41" t="s">
        <v>398</v>
      </c>
      <c r="C333" s="41"/>
      <c r="D333" s="41"/>
      <c r="E333" s="41"/>
      <c r="F333" s="41"/>
      <c r="G333" s="41"/>
      <c r="H333" s="1107"/>
      <c r="I333" s="1107"/>
      <c r="J333" s="1107"/>
      <c r="K333" s="1107"/>
      <c r="L333" s="1107"/>
      <c r="M333" s="1107"/>
      <c r="N333" s="5" t="s">
        <v>857</v>
      </c>
      <c r="O333" s="5"/>
      <c r="P333" s="1110"/>
      <c r="Q333" s="1110"/>
      <c r="R333" s="1110"/>
      <c r="T333" s="41" t="s">
        <v>398</v>
      </c>
      <c r="V333" s="41"/>
      <c r="W333" s="41"/>
      <c r="X333" s="41"/>
      <c r="Y333" s="41"/>
      <c r="AA333" s="1107">
        <v>2093659010</v>
      </c>
      <c r="AB333" s="1107"/>
      <c r="AC333" s="1107"/>
      <c r="AD333" s="1107"/>
      <c r="AE333" s="1107"/>
      <c r="AF333" s="1107"/>
      <c r="AG333" s="5" t="s">
        <v>857</v>
      </c>
      <c r="AH333" s="5"/>
      <c r="AI333" s="1110"/>
      <c r="AJ333" s="1110"/>
      <c r="AK333" s="1110"/>
      <c r="BA333" s="43"/>
    </row>
    <row r="334" spans="2:53" ht="12.9" customHeight="1">
      <c r="B334" s="41" t="s">
        <v>399</v>
      </c>
      <c r="C334" s="41"/>
      <c r="D334" s="41"/>
      <c r="E334" s="41"/>
      <c r="F334" s="41"/>
      <c r="G334" s="41"/>
      <c r="H334" s="1108"/>
      <c r="I334" s="1108"/>
      <c r="J334" s="1108"/>
      <c r="K334" s="1108"/>
      <c r="L334" s="1108"/>
      <c r="M334" s="1108"/>
      <c r="N334" s="5"/>
      <c r="O334" s="5"/>
      <c r="P334" s="44"/>
      <c r="Q334" s="44"/>
      <c r="R334" s="44"/>
      <c r="T334" s="41" t="s">
        <v>399</v>
      </c>
      <c r="V334" s="41"/>
      <c r="W334" s="41"/>
      <c r="X334" s="41"/>
      <c r="Y334" s="41"/>
      <c r="AA334" s="1108">
        <v>2093659015</v>
      </c>
      <c r="AB334" s="1108"/>
      <c r="AC334" s="1108"/>
      <c r="AD334" s="1108"/>
      <c r="AE334" s="1108"/>
      <c r="AF334" s="1108"/>
      <c r="AG334" s="5"/>
      <c r="AH334" s="5"/>
      <c r="AI334" s="44"/>
      <c r="AJ334" s="44"/>
      <c r="AK334" s="44"/>
      <c r="BA334" s="43"/>
    </row>
    <row r="335" spans="2:53" ht="12.9" customHeight="1">
      <c r="B335" s="41" t="s">
        <v>736</v>
      </c>
      <c r="C335" s="41"/>
      <c r="D335" s="41"/>
      <c r="E335" s="41"/>
      <c r="F335" s="41"/>
      <c r="G335" s="41"/>
      <c r="H335" s="1085"/>
      <c r="I335" s="1085"/>
      <c r="J335" s="1085"/>
      <c r="K335" s="1085"/>
      <c r="L335" s="1085"/>
      <c r="M335" s="1085"/>
      <c r="N335" s="1084"/>
      <c r="O335" s="1084"/>
      <c r="P335" s="1084"/>
      <c r="Q335" s="1084"/>
      <c r="R335" s="1084"/>
      <c r="T335" s="41" t="s">
        <v>736</v>
      </c>
      <c r="V335" s="41"/>
      <c r="W335" s="41"/>
      <c r="X335" s="41"/>
      <c r="Y335" s="41"/>
      <c r="AA335" s="1085" t="s">
        <v>2423</v>
      </c>
      <c r="AB335" s="1085"/>
      <c r="AC335" s="1085"/>
      <c r="AD335" s="1085"/>
      <c r="AE335" s="1085"/>
      <c r="AF335" s="1085"/>
      <c r="AG335" s="1084"/>
      <c r="AH335" s="1084"/>
      <c r="AI335" s="1084"/>
      <c r="AJ335" s="1084"/>
      <c r="AK335" s="1084"/>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43</v>
      </c>
      <c r="C337" s="365"/>
      <c r="D337" s="365"/>
      <c r="E337" s="365"/>
      <c r="F337" s="365"/>
      <c r="G337" s="365"/>
      <c r="H337" s="1084"/>
      <c r="I337" s="1084"/>
      <c r="J337" s="1084"/>
      <c r="K337" s="1084"/>
      <c r="L337" s="1084"/>
      <c r="M337" s="1084"/>
      <c r="N337" s="1084"/>
      <c r="O337" s="1084"/>
      <c r="P337" s="1084"/>
      <c r="Q337" s="1084"/>
      <c r="R337" s="1084"/>
      <c r="T337" s="365" t="s">
        <v>1191</v>
      </c>
      <c r="AA337" s="1084"/>
      <c r="AB337" s="1084"/>
      <c r="AC337" s="1084"/>
      <c r="AD337" s="1084"/>
      <c r="AE337" s="1084"/>
      <c r="AF337" s="1084"/>
      <c r="AG337" s="1084"/>
      <c r="AH337" s="1084"/>
      <c r="AI337" s="1084"/>
      <c r="AJ337" s="1084"/>
      <c r="AK337" s="1084"/>
      <c r="BA337" s="43"/>
    </row>
    <row r="338" spans="1:53" ht="12.9" customHeight="1">
      <c r="B338" s="365" t="s">
        <v>733</v>
      </c>
      <c r="C338" s="365"/>
      <c r="D338" s="365"/>
      <c r="E338" s="365"/>
      <c r="F338" s="365"/>
      <c r="G338" s="365"/>
      <c r="H338" s="1085"/>
      <c r="I338" s="1085"/>
      <c r="J338" s="1085"/>
      <c r="K338" s="1085"/>
      <c r="L338" s="1085"/>
      <c r="M338" s="1085"/>
      <c r="N338" s="1085"/>
      <c r="O338" s="1085"/>
      <c r="P338" s="1085"/>
      <c r="Q338" s="1085"/>
      <c r="R338" s="1085"/>
      <c r="T338" s="41" t="s">
        <v>733</v>
      </c>
      <c r="AA338" s="1085"/>
      <c r="AB338" s="1085"/>
      <c r="AC338" s="1085"/>
      <c r="AD338" s="1085"/>
      <c r="AE338" s="1085"/>
      <c r="AF338" s="1085"/>
      <c r="AG338" s="1085"/>
      <c r="AH338" s="1085"/>
      <c r="AI338" s="1085"/>
      <c r="AJ338" s="1085"/>
      <c r="AK338" s="1085"/>
      <c r="BA338" s="43"/>
    </row>
    <row r="339" spans="1:53" ht="12.9" customHeight="1">
      <c r="B339" s="365" t="s">
        <v>735</v>
      </c>
      <c r="C339" s="365"/>
      <c r="D339" s="365"/>
      <c r="E339" s="365"/>
      <c r="F339" s="365"/>
      <c r="G339" s="365"/>
      <c r="H339" s="1085"/>
      <c r="I339" s="1085"/>
      <c r="J339" s="1085"/>
      <c r="K339" s="1085"/>
      <c r="L339" s="1085"/>
      <c r="M339" s="1085"/>
      <c r="N339" s="1085"/>
      <c r="O339" s="1085"/>
      <c r="P339" s="1085"/>
      <c r="Q339" s="1085"/>
      <c r="R339" s="1085"/>
      <c r="T339" s="41" t="s">
        <v>734</v>
      </c>
      <c r="AA339" s="1085"/>
      <c r="AB339" s="1085"/>
      <c r="AC339" s="1085"/>
      <c r="AD339" s="1085"/>
      <c r="AE339" s="1085"/>
      <c r="AF339" s="1085"/>
      <c r="AG339" s="1085"/>
      <c r="AH339" s="1085"/>
      <c r="AI339" s="1085"/>
      <c r="AJ339" s="1085"/>
      <c r="AK339" s="1085"/>
    </row>
    <row r="340" spans="1:53" ht="12.9" customHeight="1">
      <c r="B340" s="365" t="s">
        <v>397</v>
      </c>
      <c r="C340" s="365"/>
      <c r="D340" s="365"/>
      <c r="E340" s="365"/>
      <c r="F340" s="365"/>
      <c r="G340" s="365"/>
      <c r="H340" s="1085"/>
      <c r="I340" s="1085"/>
      <c r="J340" s="1085"/>
      <c r="K340" s="1085"/>
      <c r="L340" s="1085"/>
      <c r="M340" s="1085"/>
      <c r="N340" s="1085"/>
      <c r="O340" s="1085"/>
      <c r="P340" s="1085"/>
      <c r="Q340" s="1085"/>
      <c r="R340" s="1085"/>
      <c r="T340" s="41" t="s">
        <v>397</v>
      </c>
      <c r="AA340" s="1085"/>
      <c r="AB340" s="1085"/>
      <c r="AC340" s="1085"/>
      <c r="AD340" s="1085"/>
      <c r="AE340" s="1085"/>
      <c r="AF340" s="1085"/>
      <c r="AG340" s="1085"/>
      <c r="AH340" s="1085"/>
      <c r="AI340" s="1085"/>
      <c r="AJ340" s="1085"/>
      <c r="AK340" s="1085"/>
    </row>
    <row r="341" spans="1:53" ht="12.9" customHeight="1">
      <c r="B341" s="365" t="s">
        <v>398</v>
      </c>
      <c r="C341" s="365"/>
      <c r="D341" s="365"/>
      <c r="E341" s="365"/>
      <c r="F341" s="365"/>
      <c r="G341" s="365"/>
      <c r="H341" s="1107"/>
      <c r="I341" s="1107"/>
      <c r="J341" s="1107"/>
      <c r="K341" s="1107"/>
      <c r="L341" s="1107"/>
      <c r="M341" s="1107"/>
      <c r="N341" s="5" t="s">
        <v>857</v>
      </c>
      <c r="O341" s="5"/>
      <c r="P341" s="1110"/>
      <c r="Q341" s="1110"/>
      <c r="R341" s="1110"/>
      <c r="T341" s="41" t="s">
        <v>398</v>
      </c>
      <c r="AA341" s="1107"/>
      <c r="AB341" s="1107"/>
      <c r="AC341" s="1107"/>
      <c r="AD341" s="1107"/>
      <c r="AE341" s="1107"/>
      <c r="AF341" s="1107"/>
      <c r="AG341" s="5" t="s">
        <v>857</v>
      </c>
      <c r="AH341" s="5"/>
      <c r="AI341" s="1110"/>
      <c r="AJ341" s="1110"/>
      <c r="AK341" s="1110"/>
    </row>
    <row r="342" spans="1:53" ht="12.9" customHeight="1">
      <c r="B342" s="365" t="s">
        <v>399</v>
      </c>
      <c r="C342" s="365"/>
      <c r="D342" s="365"/>
      <c r="E342" s="365"/>
      <c r="F342" s="365"/>
      <c r="G342" s="365"/>
      <c r="H342" s="1108"/>
      <c r="I342" s="1108"/>
      <c r="J342" s="1108"/>
      <c r="K342" s="1108"/>
      <c r="L342" s="1108"/>
      <c r="M342" s="1108"/>
      <c r="N342" s="5"/>
      <c r="O342" s="5"/>
      <c r="P342" s="44"/>
      <c r="Q342" s="44"/>
      <c r="R342" s="44"/>
      <c r="T342" s="41" t="s">
        <v>399</v>
      </c>
      <c r="AA342" s="1108"/>
      <c r="AB342" s="1108"/>
      <c r="AC342" s="1108"/>
      <c r="AD342" s="1108"/>
      <c r="AE342" s="1108"/>
      <c r="AF342" s="1108"/>
      <c r="AG342" s="5"/>
      <c r="AH342" s="5"/>
      <c r="AI342" s="44"/>
      <c r="AJ342" s="44"/>
      <c r="AK342" s="44"/>
    </row>
    <row r="343" spans="1:53" ht="12.9" customHeight="1">
      <c r="B343" s="365" t="s">
        <v>736</v>
      </c>
      <c r="C343" s="365"/>
      <c r="D343" s="365"/>
      <c r="E343" s="365"/>
      <c r="F343" s="365"/>
      <c r="G343" s="365"/>
      <c r="H343" s="1085"/>
      <c r="I343" s="1085"/>
      <c r="J343" s="1085"/>
      <c r="K343" s="1085"/>
      <c r="L343" s="1085"/>
      <c r="M343" s="1085"/>
      <c r="N343" s="1084"/>
      <c r="O343" s="1084"/>
      <c r="P343" s="1084"/>
      <c r="Q343" s="1084"/>
      <c r="R343" s="1084"/>
      <c r="T343" s="41" t="s">
        <v>736</v>
      </c>
      <c r="AA343" s="1085"/>
      <c r="AB343" s="1085"/>
      <c r="AC343" s="1085"/>
      <c r="AD343" s="1085"/>
      <c r="AE343" s="1085"/>
      <c r="AF343" s="1085"/>
      <c r="AG343" s="1084"/>
      <c r="AH343" s="1084"/>
      <c r="AI343" s="1084"/>
      <c r="AJ343" s="1084"/>
      <c r="AK343" s="1084"/>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282" t="s">
        <v>524</v>
      </c>
      <c r="B345" s="1282"/>
      <c r="C345" s="1282"/>
      <c r="D345" s="1282"/>
      <c r="E345" s="1282"/>
      <c r="F345" s="1282"/>
      <c r="G345" s="1282"/>
      <c r="H345" s="1282"/>
      <c r="I345" s="1282"/>
      <c r="J345" s="1282"/>
      <c r="K345" s="1282"/>
      <c r="L345" s="1282"/>
      <c r="M345" s="1282"/>
      <c r="N345" s="1282"/>
      <c r="O345" s="1282"/>
      <c r="P345" s="1282"/>
      <c r="Q345" s="1282"/>
      <c r="R345" s="1282"/>
      <c r="S345" s="1282"/>
      <c r="T345" s="1282"/>
      <c r="U345" s="1282"/>
      <c r="V345" s="1282"/>
      <c r="W345" s="1282"/>
      <c r="X345" s="1282"/>
      <c r="Y345" s="1282"/>
      <c r="Z345" s="1282"/>
      <c r="AA345" s="1282"/>
      <c r="AB345" s="1282"/>
      <c r="AC345" s="1282"/>
      <c r="AD345" s="1282"/>
      <c r="AE345" s="1282"/>
      <c r="AF345" s="1282"/>
      <c r="AG345" s="1282"/>
      <c r="AH345" s="1282"/>
      <c r="AI345" s="1282"/>
      <c r="AJ345" s="1282"/>
      <c r="AK345" s="1282"/>
      <c r="AL345" s="1282"/>
    </row>
    <row r="346" spans="1:53" ht="12.9" customHeight="1" thickBot="1">
      <c r="A346" s="1283"/>
      <c r="B346" s="1283"/>
      <c r="C346" s="1283"/>
      <c r="D346" s="1283"/>
      <c r="E346" s="1283"/>
      <c r="F346" s="1283"/>
      <c r="G346" s="1283"/>
      <c r="H346" s="1283"/>
      <c r="I346" s="1283"/>
      <c r="J346" s="1283"/>
      <c r="K346" s="1283"/>
      <c r="L346" s="1283"/>
      <c r="M346" s="1283"/>
      <c r="N346" s="1283"/>
      <c r="O346" s="1283"/>
      <c r="P346" s="1283"/>
      <c r="Q346" s="1283"/>
      <c r="R346" s="1283"/>
      <c r="S346" s="1283"/>
      <c r="T346" s="1283"/>
      <c r="U346" s="1283"/>
      <c r="V346" s="1283"/>
      <c r="W346" s="1283"/>
      <c r="X346" s="1283"/>
      <c r="Y346" s="1283"/>
      <c r="Z346" s="1283"/>
      <c r="AA346" s="1283"/>
      <c r="AB346" s="1283"/>
      <c r="AC346" s="1283"/>
      <c r="AD346" s="1283"/>
      <c r="AE346" s="1283"/>
      <c r="AF346" s="1283"/>
      <c r="AG346" s="1283"/>
      <c r="AH346" s="1283"/>
      <c r="AI346" s="1283"/>
      <c r="AJ346" s="1283"/>
      <c r="AK346" s="1283"/>
      <c r="AL346" s="1283"/>
    </row>
    <row r="347" spans="1:53" ht="12.9"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687</v>
      </c>
      <c r="B348" s="3"/>
      <c r="C348" s="3" t="s">
        <v>560</v>
      </c>
    </row>
    <row r="349" spans="1:53" ht="12.9" customHeight="1">
      <c r="D349" t="s">
        <v>44</v>
      </c>
      <c r="M349" s="1109" t="s">
        <v>115</v>
      </c>
      <c r="N349" s="1109"/>
      <c r="P349" t="s">
        <v>2055</v>
      </c>
      <c r="AJ349" s="1109" t="s">
        <v>509</v>
      </c>
      <c r="AK349" s="1109"/>
    </row>
    <row r="350" spans="1:53" ht="12.9" customHeight="1">
      <c r="D350" s="41" t="s">
        <v>1978</v>
      </c>
      <c r="M350" s="1109" t="s">
        <v>131</v>
      </c>
      <c r="N350" s="1109"/>
      <c r="P350" s="41" t="s">
        <v>2056</v>
      </c>
      <c r="AJ350" s="1050"/>
      <c r="AK350" s="1050"/>
    </row>
    <row r="351" spans="1:53" ht="12.9" customHeight="1">
      <c r="D351" t="s">
        <v>332</v>
      </c>
      <c r="M351" s="1109" t="s">
        <v>131</v>
      </c>
      <c r="N351" s="1109"/>
      <c r="P351" t="s">
        <v>2057</v>
      </c>
      <c r="AJ351" s="1109" t="s">
        <v>131</v>
      </c>
      <c r="AK351" s="1109"/>
    </row>
    <row r="352" spans="1:53" ht="12.9" customHeight="1">
      <c r="D352" t="s">
        <v>333</v>
      </c>
      <c r="M352" s="1109" t="s">
        <v>131</v>
      </c>
      <c r="N352" s="1109"/>
      <c r="Q352" s="41"/>
    </row>
    <row r="353" spans="1:57" ht="12.9" customHeight="1">
      <c r="P353" s="365"/>
      <c r="Q353" s="365"/>
      <c r="R353" s="365"/>
    </row>
    <row r="354" spans="1:57" ht="12.9" customHeight="1"/>
    <row r="355" spans="1:57" ht="12.9" customHeight="1">
      <c r="A355" s="3" t="s">
        <v>8</v>
      </c>
      <c r="B355" s="3"/>
      <c r="C355" s="3" t="s">
        <v>920</v>
      </c>
      <c r="D355" s="3"/>
    </row>
    <row r="356" spans="1:57" ht="12.9"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934</v>
      </c>
      <c r="E357" s="49"/>
      <c r="F357" s="49"/>
      <c r="G357" s="49"/>
      <c r="H357" s="49"/>
      <c r="I357" s="49"/>
      <c r="J357" s="49"/>
      <c r="K357" s="49"/>
      <c r="L357" s="49"/>
      <c r="M357" s="49"/>
      <c r="N357" s="1109" t="s">
        <v>131</v>
      </c>
      <c r="O357" s="1109"/>
      <c r="P357" s="49"/>
      <c r="Q357" s="49"/>
      <c r="R357" s="49"/>
      <c r="S357" s="49"/>
      <c r="T357" s="49"/>
      <c r="U357" s="49"/>
      <c r="V357" s="49"/>
      <c r="W357" s="49"/>
      <c r="X357" s="49"/>
      <c r="Y357" s="49"/>
      <c r="Z357" s="49"/>
      <c r="AC357" s="49"/>
      <c r="AD357" s="49"/>
      <c r="AE357" s="49"/>
    </row>
    <row r="358" spans="1:57" ht="12.9" customHeight="1">
      <c r="E358" t="s">
        <v>767</v>
      </c>
      <c r="Y358" s="1109" t="s">
        <v>131</v>
      </c>
      <c r="Z358" s="1109"/>
    </row>
    <row r="359" spans="1:57" ht="12.9"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936</v>
      </c>
      <c r="E360" s="49"/>
      <c r="F360" s="49"/>
      <c r="G360" s="49"/>
      <c r="H360" s="49"/>
      <c r="I360" s="49"/>
      <c r="J360" s="1109" t="s">
        <v>131</v>
      </c>
      <c r="K360" s="1109"/>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334</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131</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509</v>
      </c>
    </row>
    <row r="363" spans="1:57" ht="12.9" customHeight="1">
      <c r="E363" s="5" t="s">
        <v>624</v>
      </c>
      <c r="F363" s="5"/>
      <c r="G363" s="5"/>
      <c r="H363" s="5"/>
      <c r="I363" s="5"/>
      <c r="J363" s="5"/>
      <c r="K363" s="5"/>
      <c r="L363" s="5"/>
      <c r="N363" s="1111"/>
      <c r="O363" s="1111"/>
      <c r="P363" s="1111"/>
      <c r="Q363" s="1111"/>
      <c r="R363" s="5"/>
      <c r="U363" s="5" t="s">
        <v>625</v>
      </c>
      <c r="V363" s="5"/>
      <c r="W363" s="5"/>
      <c r="X363" s="5"/>
      <c r="Y363" s="5"/>
      <c r="Z363" s="5"/>
      <c r="AA363" s="5"/>
      <c r="AB363" s="5"/>
      <c r="AC363" s="1111"/>
      <c r="AD363" s="1111"/>
      <c r="AE363" s="1111"/>
      <c r="AF363" s="1111"/>
      <c r="BE363" t="s">
        <v>115</v>
      </c>
    </row>
    <row r="364" spans="1:57" ht="12.9" customHeight="1">
      <c r="E364" s="5" t="s">
        <v>626</v>
      </c>
      <c r="F364" s="5"/>
      <c r="G364" s="5"/>
      <c r="H364" s="5"/>
      <c r="I364" s="5"/>
      <c r="J364" s="5"/>
      <c r="K364" s="5"/>
      <c r="L364" s="5"/>
      <c r="N364" s="1111"/>
      <c r="O364" s="1111"/>
      <c r="P364" s="1111"/>
      <c r="Q364" s="1111"/>
      <c r="R364" s="5"/>
      <c r="U364" s="5" t="s">
        <v>627</v>
      </c>
      <c r="V364" s="5"/>
      <c r="W364" s="5"/>
      <c r="X364" s="5"/>
      <c r="Y364" s="5"/>
      <c r="Z364" s="5"/>
      <c r="AA364" s="5"/>
      <c r="AB364" s="5"/>
      <c r="AC364" s="1111"/>
      <c r="AD364" s="1111"/>
      <c r="AE364" s="1111"/>
      <c r="AF364" s="1111"/>
    </row>
    <row r="365" spans="1:57" ht="12.9" customHeight="1">
      <c r="E365" s="5" t="s">
        <v>67</v>
      </c>
      <c r="F365" s="5"/>
      <c r="G365" s="5"/>
      <c r="H365" s="5"/>
      <c r="I365" s="5"/>
      <c r="J365" s="5"/>
      <c r="K365" s="5"/>
      <c r="L365" s="5"/>
      <c r="N365" s="1111"/>
      <c r="O365" s="1111"/>
      <c r="P365" s="1111"/>
      <c r="Q365" s="1111"/>
      <c r="R365" s="5"/>
      <c r="V365" s="5"/>
      <c r="W365" s="5"/>
      <c r="X365" s="5"/>
      <c r="Y365" s="5"/>
      <c r="Z365" s="5"/>
      <c r="AA365" s="5"/>
      <c r="AB365" s="5"/>
    </row>
    <row r="366" spans="1:57" ht="12.9" customHeight="1">
      <c r="E366" s="5" t="s">
        <v>68</v>
      </c>
      <c r="F366" s="5"/>
      <c r="G366" s="5"/>
      <c r="H366" s="5"/>
      <c r="I366" s="5"/>
      <c r="J366" s="5"/>
      <c r="K366" s="5"/>
      <c r="L366" s="5"/>
      <c r="N366" s="1304"/>
      <c r="O366" s="1304"/>
      <c r="P366" s="1304"/>
      <c r="Q366" s="1304"/>
      <c r="R366" s="1304"/>
      <c r="S366" s="1304"/>
      <c r="T366" s="1304"/>
      <c r="U366" s="1304"/>
      <c r="V366" s="1304"/>
      <c r="W366" s="1304"/>
      <c r="X366" s="1304"/>
      <c r="Y366" s="1304"/>
      <c r="Z366" s="1304"/>
      <c r="AA366" s="1304"/>
      <c r="AB366" s="1304"/>
      <c r="AC366" s="1304"/>
      <c r="AD366" s="1304"/>
      <c r="AE366" s="1304"/>
      <c r="AF366" s="1304"/>
    </row>
    <row r="367" spans="1:57" ht="12.9" customHeight="1">
      <c r="E367" s="5"/>
      <c r="F367" s="5"/>
      <c r="G367" s="5"/>
      <c r="H367" s="5"/>
      <c r="I367" s="5"/>
      <c r="J367" s="5"/>
      <c r="K367" s="5"/>
      <c r="L367" s="5"/>
      <c r="N367" s="1305"/>
      <c r="O367" s="1305"/>
      <c r="P367" s="1305"/>
      <c r="Q367" s="1305"/>
      <c r="R367" s="1305"/>
      <c r="S367" s="1305"/>
      <c r="T367" s="1305"/>
      <c r="U367" s="1305"/>
      <c r="V367" s="1305"/>
      <c r="W367" s="1305"/>
      <c r="X367" s="1305"/>
      <c r="Y367" s="1305"/>
      <c r="Z367" s="1305"/>
      <c r="AA367" s="1305"/>
      <c r="AB367" s="1305"/>
      <c r="AC367" s="1305"/>
      <c r="AD367" s="1305"/>
      <c r="AE367" s="1305"/>
      <c r="AF367" s="1305"/>
    </row>
    <row r="368" spans="1:57" ht="12.9" customHeight="1">
      <c r="E368" s="5"/>
      <c r="F368" s="5"/>
      <c r="G368" s="5"/>
      <c r="H368" s="5"/>
      <c r="I368" s="5"/>
      <c r="J368" s="5"/>
      <c r="K368" s="5"/>
      <c r="L368" s="5"/>
    </row>
    <row r="369" spans="1:36" ht="12.9"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 customHeight="1">
      <c r="D370" s="365"/>
      <c r="E370" s="365" t="s">
        <v>2225</v>
      </c>
      <c r="F370" s="365"/>
      <c r="G370" s="365"/>
      <c r="H370" s="365"/>
      <c r="I370" s="365"/>
      <c r="J370" s="365"/>
      <c r="K370" s="365"/>
      <c r="L370" s="365"/>
      <c r="M370" s="365"/>
      <c r="O370" s="365"/>
      <c r="P370" s="947" t="s">
        <v>2221</v>
      </c>
      <c r="Q370" s="365" t="s">
        <v>244</v>
      </c>
      <c r="R370" s="365"/>
      <c r="S370" s="1113"/>
      <c r="T370" s="1113"/>
      <c r="U370" s="374" t="s">
        <v>245</v>
      </c>
      <c r="V370" s="1113"/>
      <c r="W370" s="1113"/>
      <c r="X370" s="365"/>
      <c r="Z370" s="365"/>
      <c r="AA370" s="947" t="s">
        <v>2221</v>
      </c>
      <c r="AB370" s="365" t="s">
        <v>244</v>
      </c>
      <c r="AC370" s="365"/>
      <c r="AD370" s="1113"/>
      <c r="AE370" s="1113"/>
      <c r="AF370" s="374" t="s">
        <v>245</v>
      </c>
      <c r="AG370" s="1113"/>
      <c r="AH370" s="1113"/>
    </row>
    <row r="371" spans="1:36" ht="12.9" customHeight="1">
      <c r="D371" s="365"/>
      <c r="E371" s="365" t="s">
        <v>1286</v>
      </c>
      <c r="F371" s="365"/>
      <c r="G371" s="365"/>
      <c r="H371" s="365"/>
      <c r="I371" s="365"/>
      <c r="J371" s="365"/>
      <c r="K371" s="365"/>
      <c r="L371" s="365"/>
      <c r="M371" s="365"/>
      <c r="N371" s="1113"/>
      <c r="O371" s="1113"/>
      <c r="P371" s="1113"/>
      <c r="Q371" s="365"/>
      <c r="R371" s="365"/>
      <c r="S371" s="365"/>
      <c r="T371" s="365"/>
      <c r="U371" s="365"/>
      <c r="V371" s="365"/>
      <c r="W371" s="365"/>
      <c r="X371" s="365"/>
      <c r="Y371" s="365"/>
      <c r="Z371" s="365"/>
      <c r="AA371" s="365"/>
      <c r="AB371" s="365"/>
      <c r="AC371" s="365"/>
      <c r="AD371" s="365"/>
      <c r="AE371" s="365"/>
      <c r="AF371" s="365"/>
      <c r="AG371" s="365"/>
      <c r="AH371" s="365"/>
    </row>
    <row r="372" spans="1:36" ht="12.9"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2" t="s">
        <v>131</v>
      </c>
      <c r="AH372" s="1112"/>
    </row>
    <row r="373" spans="1:36" ht="12.9"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2" t="s">
        <v>131</v>
      </c>
      <c r="AH373" s="1112"/>
    </row>
    <row r="374" spans="1:36" ht="12.9" customHeight="1">
      <c r="D374" s="365"/>
      <c r="E374" s="365"/>
      <c r="F374" s="365"/>
      <c r="G374" s="512" t="s">
        <v>1336</v>
      </c>
      <c r="H374" s="365"/>
      <c r="I374" s="365"/>
      <c r="J374" s="365"/>
      <c r="K374" s="365"/>
      <c r="L374" s="365"/>
      <c r="M374" s="365"/>
      <c r="N374" s="365"/>
      <c r="O374" s="365"/>
      <c r="P374" s="365"/>
      <c r="Q374" s="365"/>
      <c r="R374" s="365"/>
      <c r="S374" s="365"/>
      <c r="T374" s="365"/>
      <c r="U374" s="365"/>
      <c r="V374" s="1112" t="s">
        <v>131</v>
      </c>
      <c r="W374" s="1112"/>
      <c r="X374" s="365"/>
      <c r="Y374" s="455" t="s">
        <v>1287</v>
      </c>
      <c r="Z374" s="365"/>
      <c r="AA374" s="365"/>
      <c r="AB374" s="365"/>
      <c r="AC374" s="365"/>
      <c r="AD374" s="365"/>
      <c r="AE374" s="365"/>
      <c r="AF374" s="365"/>
      <c r="AG374" s="365"/>
      <c r="AH374" s="365"/>
    </row>
    <row r="375" spans="1:36" ht="12.9" customHeight="1">
      <c r="D375" s="365"/>
      <c r="E375" s="365" t="s">
        <v>1288</v>
      </c>
      <c r="F375" s="365"/>
      <c r="G375" s="365"/>
      <c r="H375" s="365"/>
      <c r="I375" s="365"/>
      <c r="J375" s="365"/>
      <c r="K375" s="365"/>
      <c r="L375" s="365"/>
      <c r="M375" s="365"/>
      <c r="N375" s="365"/>
      <c r="O375" s="365"/>
      <c r="P375" s="365"/>
      <c r="Q375" s="365"/>
      <c r="R375" s="365"/>
      <c r="S375" s="365"/>
      <c r="T375" s="365"/>
      <c r="U375" s="365"/>
      <c r="V375" s="1112" t="s">
        <v>131</v>
      </c>
      <c r="W375" s="1112"/>
      <c r="X375" s="365"/>
      <c r="Y375" s="365" t="s">
        <v>1289</v>
      </c>
      <c r="Z375" s="365"/>
      <c r="AA375" s="365"/>
      <c r="AB375" s="365"/>
      <c r="AC375" s="365"/>
      <c r="AD375" s="365"/>
      <c r="AE375" s="365"/>
      <c r="AF375" s="365"/>
      <c r="AG375" s="365"/>
      <c r="AH375" s="365"/>
    </row>
    <row r="376" spans="1:36" ht="12.9"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 customHeight="1">
      <c r="A377" s="3" t="s">
        <v>126</v>
      </c>
      <c r="B377" s="3"/>
      <c r="C377" s="3" t="s">
        <v>69</v>
      </c>
    </row>
    <row r="378" spans="1:36" ht="12.9" customHeight="1">
      <c r="D378" t="s">
        <v>288</v>
      </c>
      <c r="J378" s="1084" t="s">
        <v>2424</v>
      </c>
      <c r="K378" s="1084"/>
      <c r="L378" s="1084"/>
      <c r="M378" s="1084"/>
      <c r="N378" s="1084"/>
      <c r="O378" s="1084"/>
      <c r="P378" s="1084"/>
      <c r="Q378" s="1084"/>
      <c r="R378" s="1084"/>
      <c r="S378" s="1084"/>
      <c r="T378" s="1084"/>
      <c r="U378" s="1084"/>
      <c r="V378" s="12" t="s">
        <v>744</v>
      </c>
      <c r="W378" s="12"/>
      <c r="X378" s="12"/>
      <c r="Y378" s="12"/>
      <c r="Z378" s="12"/>
      <c r="AA378" s="12"/>
      <c r="AB378" s="12"/>
      <c r="AC378" s="1084" t="s">
        <v>2424</v>
      </c>
      <c r="AD378" s="1084"/>
      <c r="AE378" s="1084"/>
      <c r="AF378" s="1084"/>
      <c r="AG378" s="1084"/>
      <c r="AH378" s="1084"/>
      <c r="AI378" s="1084"/>
      <c r="AJ378" s="1084"/>
    </row>
    <row r="379" spans="1:36" ht="12.9" customHeight="1">
      <c r="D379" s="41" t="s">
        <v>2058</v>
      </c>
      <c r="J379" s="1085" t="s">
        <v>2425</v>
      </c>
      <c r="K379" s="1085"/>
      <c r="L379" s="1085"/>
      <c r="M379" s="1085"/>
      <c r="N379" s="1085"/>
      <c r="O379" s="1085"/>
      <c r="P379" s="1085"/>
      <c r="Q379" s="1085"/>
      <c r="R379" s="1085"/>
      <c r="S379" s="1085"/>
      <c r="T379" s="1085"/>
      <c r="U379" s="1085"/>
      <c r="V379" s="41" t="s">
        <v>2058</v>
      </c>
      <c r="W379" s="12"/>
      <c r="X379" s="12"/>
      <c r="Y379" s="12"/>
      <c r="Z379" s="12"/>
      <c r="AA379" s="12"/>
      <c r="AB379" s="12"/>
      <c r="AC379" s="1084" t="s">
        <v>2426</v>
      </c>
      <c r="AD379" s="1084"/>
      <c r="AE379" s="1084"/>
      <c r="AF379" s="1084"/>
      <c r="AG379" s="1084"/>
      <c r="AH379" s="1084"/>
      <c r="AI379" s="1084"/>
      <c r="AJ379" s="1084"/>
    </row>
    <row r="380" spans="1:36" ht="12.9" customHeight="1">
      <c r="D380" s="41" t="s">
        <v>573</v>
      </c>
      <c r="J380" s="1085"/>
      <c r="K380" s="1085"/>
      <c r="L380" s="1085"/>
      <c r="M380" s="1085"/>
      <c r="N380" s="1085"/>
      <c r="O380" s="1085"/>
      <c r="P380" s="1085"/>
      <c r="Q380" s="1085"/>
      <c r="R380" s="1085"/>
      <c r="S380" s="1085"/>
      <c r="T380" s="1085"/>
      <c r="U380" s="1085"/>
      <c r="V380" s="41" t="s">
        <v>573</v>
      </c>
      <c r="W380" s="12"/>
      <c r="X380" s="12"/>
      <c r="Y380" s="12"/>
      <c r="Z380" s="12"/>
      <c r="AA380" s="12"/>
      <c r="AB380" s="12"/>
      <c r="AC380" s="1084"/>
      <c r="AD380" s="1084"/>
      <c r="AE380" s="1084"/>
      <c r="AF380" s="1084"/>
      <c r="AG380" s="1084"/>
      <c r="AH380" s="1084"/>
      <c r="AI380" s="1084"/>
      <c r="AJ380" s="1084"/>
    </row>
    <row r="381" spans="1:36" ht="12.9" customHeight="1">
      <c r="D381" t="s">
        <v>2059</v>
      </c>
      <c r="J381" s="1099"/>
      <c r="K381" s="1099"/>
      <c r="L381" s="1099"/>
      <c r="M381" s="1099"/>
      <c r="N381" s="1099"/>
      <c r="O381" s="1099"/>
      <c r="P381" s="1099"/>
      <c r="Q381" s="1099"/>
      <c r="R381" s="1099"/>
      <c r="S381" s="1099"/>
      <c r="T381" s="1099"/>
      <c r="U381" s="1099"/>
      <c r="V381" s="1084"/>
      <c r="W381" s="1084"/>
      <c r="X381" s="1084"/>
      <c r="Y381" s="1084"/>
      <c r="Z381" s="1084"/>
      <c r="AA381" s="1084"/>
      <c r="AB381" s="1084"/>
      <c r="AC381" s="1084"/>
      <c r="AD381" s="1084"/>
      <c r="AE381" s="1084"/>
      <c r="AF381" s="1084"/>
      <c r="AG381" s="1084"/>
      <c r="AH381" s="1084"/>
      <c r="AI381" s="1084"/>
      <c r="AJ381" s="1084"/>
    </row>
    <row r="382" spans="1:36" ht="12.9" customHeight="1">
      <c r="D382" t="s">
        <v>583</v>
      </c>
      <c r="Q382" s="1404">
        <v>44915</v>
      </c>
      <c r="R382" s="1404"/>
      <c r="S382" s="1404"/>
      <c r="T382" s="1404"/>
      <c r="U382" s="1404"/>
      <c r="V382" t="s">
        <v>178</v>
      </c>
      <c r="AI382" s="1109" t="s">
        <v>509</v>
      </c>
      <c r="AJ382" s="1109"/>
    </row>
    <row r="383" spans="1:36" ht="12.9" customHeight="1">
      <c r="D383" t="s">
        <v>584</v>
      </c>
      <c r="Q383" s="1202">
        <v>45158</v>
      </c>
      <c r="R383" s="1306"/>
      <c r="S383" s="1306"/>
      <c r="T383" s="1306"/>
      <c r="U383" s="1306"/>
      <c r="W383" s="29" t="s">
        <v>20</v>
      </c>
      <c r="AG383" s="1131"/>
      <c r="AH383" s="1131"/>
      <c r="AI383" s="1131"/>
      <c r="AJ383" s="1131"/>
    </row>
    <row r="384" spans="1:36" ht="12.9" customHeight="1">
      <c r="D384" t="s">
        <v>287</v>
      </c>
      <c r="Q384" s="1114">
        <v>725000</v>
      </c>
      <c r="R384" s="1114"/>
      <c r="S384" s="1114"/>
      <c r="T384" s="1114"/>
      <c r="U384" s="1114"/>
      <c r="V384" s="41" t="s">
        <v>2060</v>
      </c>
      <c r="AG384" s="1243"/>
      <c r="AH384" s="1243"/>
      <c r="AI384" s="1243"/>
      <c r="AJ384" s="1243"/>
    </row>
    <row r="385" spans="4:36" ht="12.9" customHeight="1">
      <c r="D385" t="s">
        <v>398</v>
      </c>
      <c r="I385" s="1118"/>
      <c r="J385" s="1118"/>
      <c r="K385" s="1118"/>
      <c r="L385" s="1118"/>
      <c r="M385" s="1118"/>
      <c r="N385" s="1118"/>
      <c r="Q385" s="41" t="s">
        <v>857</v>
      </c>
      <c r="S385" s="1129"/>
      <c r="T385" s="1129"/>
      <c r="U385" s="1129"/>
      <c r="V385" t="s">
        <v>19</v>
      </c>
      <c r="AI385" s="1109" t="s">
        <v>509</v>
      </c>
      <c r="AJ385" s="1109"/>
    </row>
    <row r="386" spans="4:36" ht="12.9" customHeight="1">
      <c r="D386" t="s">
        <v>179</v>
      </c>
      <c r="Q386" s="1130">
        <v>0</v>
      </c>
      <c r="R386" s="1130"/>
      <c r="S386" s="1130"/>
      <c r="T386" s="1130"/>
      <c r="U386" s="1130"/>
      <c r="V386" t="s">
        <v>180</v>
      </c>
      <c r="AG386" s="1131">
        <v>0</v>
      </c>
      <c r="AH386" s="1131"/>
      <c r="AI386" s="1131"/>
      <c r="AJ386" s="1131"/>
    </row>
    <row r="387" spans="4:36" ht="12.9" customHeight="1">
      <c r="D387" t="s">
        <v>28</v>
      </c>
      <c r="Q387" s="1423">
        <v>0.01</v>
      </c>
      <c r="R387" s="1423"/>
      <c r="S387" s="1423"/>
      <c r="T387" s="1423"/>
      <c r="U387" s="1423"/>
      <c r="V387" t="s">
        <v>1752</v>
      </c>
      <c r="AG387" s="1131"/>
      <c r="AH387" s="1131"/>
      <c r="AI387" s="1131"/>
      <c r="AJ387" s="1131"/>
    </row>
    <row r="388" spans="4:36" ht="12.9" customHeight="1">
      <c r="D388" t="s">
        <v>2061</v>
      </c>
      <c r="AG388" s="1131"/>
      <c r="AH388" s="1131"/>
      <c r="AI388" s="1131"/>
      <c r="AJ388" s="1131"/>
    </row>
    <row r="389" spans="4:36" ht="12.9" customHeight="1">
      <c r="AG389" s="839"/>
      <c r="AH389" s="839"/>
      <c r="AI389" s="839"/>
      <c r="AJ389" s="839"/>
    </row>
    <row r="390" spans="4:36" ht="12.9" customHeight="1">
      <c r="D390" s="41" t="s">
        <v>2327</v>
      </c>
      <c r="AG390" s="839"/>
      <c r="AH390" s="839"/>
      <c r="AI390" s="1109" t="s">
        <v>509</v>
      </c>
      <c r="AJ390" s="1109"/>
    </row>
    <row r="391" spans="4:36" ht="12.9" customHeight="1">
      <c r="D391" s="41" t="s">
        <v>2062</v>
      </c>
      <c r="T391" s="1424"/>
      <c r="U391" s="1424"/>
      <c r="V391" s="1424"/>
      <c r="W391" s="1424"/>
      <c r="X391" s="1424"/>
      <c r="Y391" s="1424"/>
      <c r="Z391" s="1424"/>
      <c r="AA391" s="1424"/>
      <c r="AB391" s="1424"/>
      <c r="AC391" s="1424"/>
      <c r="AD391" s="1424"/>
      <c r="AE391" s="1424"/>
      <c r="AF391" s="1424"/>
      <c r="AG391" s="1424"/>
      <c r="AH391" s="1424"/>
      <c r="AI391" s="1424"/>
      <c r="AJ391" s="1424"/>
    </row>
    <row r="392" spans="4:36" ht="12.9" customHeight="1">
      <c r="D392" s="41" t="s">
        <v>2063</v>
      </c>
      <c r="T392" s="1424"/>
      <c r="U392" s="1424"/>
      <c r="V392" s="1424"/>
      <c r="W392" s="1424"/>
      <c r="X392" s="1424"/>
      <c r="Y392" s="1424"/>
      <c r="Z392" s="1424"/>
      <c r="AA392" s="1424"/>
      <c r="AB392" s="1424"/>
      <c r="AC392" s="1424"/>
      <c r="AD392" s="1424"/>
      <c r="AE392" s="1424"/>
      <c r="AF392" s="1424"/>
      <c r="AG392" s="1424"/>
      <c r="AH392" s="1424"/>
      <c r="AI392" s="1424"/>
      <c r="AJ392" s="1424"/>
    </row>
    <row r="393" spans="4:36" ht="12.9" customHeight="1">
      <c r="AG393" s="839"/>
      <c r="AH393" s="839"/>
      <c r="AI393" s="839"/>
      <c r="AJ393" s="839"/>
    </row>
    <row r="394" spans="4:36" ht="12.9" customHeight="1">
      <c r="D394" s="41" t="s">
        <v>2064</v>
      </c>
      <c r="S394" s="1424" t="s">
        <v>509</v>
      </c>
      <c r="T394" s="1424"/>
      <c r="U394" s="1424"/>
      <c r="V394" t="s">
        <v>2065</v>
      </c>
      <c r="AG394" s="1456"/>
      <c r="AH394" s="1456"/>
      <c r="AI394" s="1456"/>
      <c r="AJ394" s="1456"/>
    </row>
    <row r="395" spans="4:36" ht="12.9" customHeight="1">
      <c r="D395" s="41" t="s">
        <v>2066</v>
      </c>
      <c r="S395" s="1424" t="s">
        <v>131</v>
      </c>
      <c r="T395" s="1424"/>
      <c r="U395" s="1424"/>
      <c r="V395" t="s">
        <v>2067</v>
      </c>
      <c r="AE395" s="1425"/>
      <c r="AF395" s="1425"/>
      <c r="AG395" s="1425"/>
      <c r="AH395" s="1425"/>
      <c r="AI395" s="1425"/>
      <c r="AJ395" s="1425"/>
    </row>
    <row r="396" spans="4:36" ht="12.9" customHeight="1">
      <c r="D396" s="41" t="s">
        <v>2068</v>
      </c>
      <c r="K396" s="1290"/>
      <c r="L396" s="1290"/>
      <c r="M396" s="1290"/>
      <c r="N396" s="1290"/>
      <c r="O396" s="1290"/>
      <c r="P396" s="1290"/>
      <c r="Q396" s="1290"/>
      <c r="R396" s="1290"/>
      <c r="S396" s="1290"/>
      <c r="T396" s="1290"/>
      <c r="U396" s="1290"/>
      <c r="V396" s="1290"/>
      <c r="W396" s="1290"/>
      <c r="X396" s="1290"/>
      <c r="Y396" s="1290"/>
      <c r="Z396" s="1290"/>
      <c r="AA396" s="1290"/>
      <c r="AB396" s="1290"/>
      <c r="AC396" s="1290"/>
      <c r="AD396" s="1290"/>
      <c r="AE396" s="1290"/>
      <c r="AF396" s="1290"/>
      <c r="AG396" s="1290"/>
      <c r="AH396" s="1290"/>
      <c r="AI396" s="1290"/>
      <c r="AJ396" s="1290"/>
    </row>
    <row r="397" spans="4:36" ht="12.9" customHeight="1">
      <c r="D397" s="41" t="s">
        <v>2069</v>
      </c>
      <c r="K397" s="1290"/>
      <c r="L397" s="1290"/>
      <c r="M397" s="1290"/>
      <c r="N397" s="1290"/>
      <c r="O397" s="1290"/>
      <c r="P397" s="1290"/>
      <c r="Q397" s="1290"/>
      <c r="R397" s="1290"/>
      <c r="S397" s="1290"/>
      <c r="T397" s="1290"/>
      <c r="U397" s="1290"/>
      <c r="V397" s="1290"/>
      <c r="W397" s="1290"/>
      <c r="X397" s="1290"/>
      <c r="Y397" s="1290"/>
      <c r="Z397" s="1290"/>
      <c r="AA397" s="1290"/>
      <c r="AB397" s="1290"/>
      <c r="AC397" s="1290"/>
      <c r="AD397" s="1290"/>
      <c r="AE397" s="1290"/>
      <c r="AF397" s="1290"/>
      <c r="AG397" s="1290"/>
      <c r="AH397" s="1290"/>
      <c r="AI397" s="1290"/>
      <c r="AJ397" s="1290"/>
    </row>
    <row r="398" spans="4:36" ht="12.9" customHeight="1">
      <c r="D398" s="41" t="s">
        <v>2070</v>
      </c>
      <c r="E398" s="820"/>
      <c r="F398" s="820"/>
      <c r="G398" s="820"/>
      <c r="H398" s="820"/>
      <c r="I398" s="820"/>
      <c r="J398" s="820"/>
      <c r="K398" s="820"/>
      <c r="L398" s="820"/>
      <c r="M398" s="820"/>
      <c r="N398" s="820"/>
      <c r="O398" s="820"/>
      <c r="P398" s="820"/>
      <c r="Q398" s="820"/>
      <c r="R398" s="820"/>
      <c r="S398" s="1405" t="s">
        <v>2071</v>
      </c>
      <c r="T398" s="1405"/>
      <c r="U398" s="1405"/>
      <c r="V398" s="1405"/>
      <c r="W398" s="1405"/>
      <c r="X398" s="1405"/>
      <c r="Y398" s="1405"/>
      <c r="Z398" s="1405"/>
      <c r="AA398" s="1405"/>
      <c r="AB398" s="1405"/>
      <c r="AC398" s="1405"/>
      <c r="AD398" s="1405"/>
      <c r="AE398" s="1405"/>
      <c r="AF398" s="1405"/>
      <c r="AG398" s="1405"/>
      <c r="AH398" s="1405"/>
      <c r="AI398" s="1405"/>
      <c r="AJ398" s="1405"/>
    </row>
    <row r="399" spans="4:36" ht="12.9" customHeight="1">
      <c r="D399" s="972" t="s">
        <v>2072</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9"/>
      <c r="AH401" s="839"/>
      <c r="AI401" s="839"/>
      <c r="AJ401" s="839"/>
    </row>
    <row r="402" spans="1:36" ht="12.9" customHeight="1">
      <c r="A402" s="3" t="s">
        <v>129</v>
      </c>
      <c r="B402" s="3"/>
      <c r="C402" s="3" t="s">
        <v>941</v>
      </c>
    </row>
    <row r="403" spans="1:36" ht="12.9" customHeight="1">
      <c r="D403" s="3" t="s">
        <v>1806</v>
      </c>
      <c r="I403" s="1280" t="s">
        <v>2383</v>
      </c>
      <c r="J403" s="1280"/>
      <c r="K403" s="1280"/>
      <c r="L403" s="1280"/>
      <c r="M403" s="1280"/>
      <c r="N403" s="1280"/>
      <c r="O403" s="1280"/>
      <c r="P403" s="1280"/>
      <c r="Q403" s="1280"/>
      <c r="R403" s="1280"/>
      <c r="S403" s="1280"/>
      <c r="T403" s="1280"/>
      <c r="U403" s="1280"/>
      <c r="V403" s="1280"/>
      <c r="W403" s="1280"/>
      <c r="X403" s="1280"/>
      <c r="Y403" s="1280"/>
      <c r="Z403" s="1280"/>
      <c r="AA403" s="1280"/>
      <c r="AB403" s="1280"/>
      <c r="AC403" s="1280"/>
      <c r="AD403" s="1280"/>
    </row>
    <row r="404" spans="1:36" ht="12.9" customHeight="1">
      <c r="E404" t="s">
        <v>894</v>
      </c>
      <c r="R404" s="1109" t="s">
        <v>115</v>
      </c>
      <c r="S404" s="1109"/>
      <c r="T404" t="s">
        <v>304</v>
      </c>
      <c r="AD404" s="1111">
        <v>4</v>
      </c>
      <c r="AE404" s="1111"/>
    </row>
    <row r="405" spans="1:36" ht="12.9" customHeight="1">
      <c r="E405" t="s">
        <v>895</v>
      </c>
      <c r="R405" s="1109" t="s">
        <v>131</v>
      </c>
      <c r="S405" s="1109"/>
      <c r="T405" t="s">
        <v>304</v>
      </c>
      <c r="AD405" s="1111">
        <v>0</v>
      </c>
      <c r="AE405" s="1111"/>
    </row>
    <row r="406" spans="1:36" ht="12.9" customHeight="1">
      <c r="E406" t="s">
        <v>896</v>
      </c>
      <c r="S406" s="1109" t="s">
        <v>131</v>
      </c>
      <c r="T406" s="1109"/>
    </row>
    <row r="407" spans="1:36" ht="12.9" customHeight="1">
      <c r="E407" t="s">
        <v>296</v>
      </c>
      <c r="H407" s="1461" t="s">
        <v>591</v>
      </c>
      <c r="I407" s="1461"/>
      <c r="J407" s="1461"/>
      <c r="K407" s="1461"/>
      <c r="L407" s="1461"/>
      <c r="M407" s="1461"/>
      <c r="N407" s="1461"/>
      <c r="O407" s="1461"/>
      <c r="P407" s="1461"/>
      <c r="Q407" s="1461"/>
      <c r="R407" s="1461"/>
      <c r="S407" s="1461"/>
      <c r="T407" s="1461"/>
      <c r="U407" s="1461"/>
      <c r="V407" s="1461"/>
      <c r="W407" s="1461"/>
      <c r="X407" s="1461"/>
      <c r="Y407" s="1461"/>
      <c r="Z407" s="1461"/>
      <c r="AA407" s="1461"/>
      <c r="AB407" s="1461"/>
      <c r="AC407" s="1461"/>
      <c r="AD407" s="1461"/>
      <c r="AE407" s="1461"/>
      <c r="AF407" s="1461"/>
      <c r="AG407" s="1461"/>
      <c r="AH407" s="1461"/>
      <c r="AI407" s="1461"/>
      <c r="AJ407" s="1461"/>
    </row>
    <row r="408" spans="1:36" ht="12.9" customHeight="1">
      <c r="H408" s="1462"/>
      <c r="I408" s="1462"/>
      <c r="J408" s="1462"/>
      <c r="K408" s="1462"/>
      <c r="L408" s="1462"/>
      <c r="M408" s="1462"/>
      <c r="N408" s="1462"/>
      <c r="O408" s="1462"/>
      <c r="P408" s="1462"/>
      <c r="Q408" s="1462"/>
      <c r="R408" s="1462"/>
      <c r="S408" s="1462"/>
      <c r="T408" s="1462"/>
      <c r="U408" s="1462"/>
      <c r="V408" s="1462"/>
      <c r="W408" s="1462"/>
      <c r="X408" s="1462"/>
      <c r="Y408" s="1462"/>
      <c r="Z408" s="1462"/>
      <c r="AA408" s="1462"/>
      <c r="AB408" s="1462"/>
      <c r="AC408" s="1462"/>
      <c r="AD408" s="1462"/>
      <c r="AE408" s="1462"/>
      <c r="AF408" s="1462"/>
      <c r="AG408" s="1462"/>
      <c r="AH408" s="1462"/>
      <c r="AI408" s="1462"/>
      <c r="AJ408" s="1462"/>
    </row>
    <row r="409" spans="1:36" ht="12.9" customHeight="1"/>
    <row r="410" spans="1:36" ht="12.9" customHeight="1">
      <c r="A410" s="3" t="s">
        <v>130</v>
      </c>
      <c r="B410" s="3"/>
      <c r="C410" s="3"/>
      <c r="D410" s="3" t="s">
        <v>944</v>
      </c>
      <c r="AE410" s="5"/>
      <c r="AF410" s="3" t="s">
        <v>1264</v>
      </c>
    </row>
    <row r="411" spans="1:36" ht="12.9" customHeight="1">
      <c r="E411" s="1463"/>
      <c r="F411" s="1463"/>
      <c r="G411" s="1463"/>
      <c r="H411" s="18" t="s">
        <v>945</v>
      </c>
      <c r="I411" s="1463"/>
      <c r="J411" s="1463"/>
      <c r="K411" s="1463"/>
      <c r="L411" t="s">
        <v>946</v>
      </c>
      <c r="N411" s="34" t="s">
        <v>890</v>
      </c>
      <c r="P411" s="1464">
        <v>1.6</v>
      </c>
      <c r="Q411" s="1464"/>
      <c r="R411" s="1464"/>
      <c r="S411" t="s">
        <v>947</v>
      </c>
      <c r="W411" s="1465">
        <f>IF(E411&gt;0,(E411*I411),(P411*43560))</f>
        <v>69696</v>
      </c>
      <c r="X411" s="1465"/>
      <c r="Y411" s="1465"/>
      <c r="Z411" t="s">
        <v>948</v>
      </c>
      <c r="AF411" s="1475">
        <f>IF(P411&gt;0,(AG430/P411),(AG430/(W411/43560)))</f>
        <v>18.125</v>
      </c>
      <c r="AG411" s="1475"/>
      <c r="AH411" s="1475"/>
    </row>
    <row r="412" spans="1:36" ht="12.9" customHeight="1">
      <c r="E412" t="s">
        <v>214</v>
      </c>
    </row>
    <row r="413" spans="1:36" ht="12.9" customHeight="1">
      <c r="E413" s="1455"/>
      <c r="F413" s="1455"/>
      <c r="G413" s="1455"/>
      <c r="H413" s="1455"/>
      <c r="I413" s="1455"/>
      <c r="J413" s="1455"/>
      <c r="K413" s="1455"/>
      <c r="L413" s="1455"/>
      <c r="M413" s="1455"/>
      <c r="N413" s="1455"/>
      <c r="O413" s="1455"/>
      <c r="P413" s="1455"/>
      <c r="Q413" s="1455"/>
      <c r="R413" s="1455"/>
      <c r="S413" s="1455"/>
      <c r="T413" s="1455"/>
      <c r="U413" s="1455"/>
      <c r="V413" s="1455"/>
      <c r="W413" s="1455"/>
      <c r="X413" s="1455"/>
      <c r="Y413" s="1455"/>
      <c r="Z413" s="1455"/>
      <c r="AA413" s="1455"/>
      <c r="AB413" s="1455"/>
      <c r="AC413" s="1455"/>
      <c r="AD413" s="1455"/>
      <c r="AE413" s="1455"/>
      <c r="AF413" s="1455"/>
      <c r="AG413" s="1455"/>
      <c r="AH413" s="1455"/>
      <c r="AI413" s="1455"/>
      <c r="AJ413" s="1455"/>
    </row>
    <row r="414" spans="1:36" ht="12.9" customHeight="1">
      <c r="E414" s="270" t="s">
        <v>2073</v>
      </c>
      <c r="F414" s="29"/>
      <c r="G414" s="29"/>
      <c r="H414" s="29"/>
      <c r="I414" s="1451">
        <v>1.31</v>
      </c>
      <c r="J414" s="1451"/>
      <c r="K414" s="1451"/>
      <c r="L414" s="29"/>
      <c r="M414" s="270"/>
      <c r="N414" s="29"/>
      <c r="O414" s="29"/>
      <c r="P414" s="1474">
        <f>(CQ615+CS620+CQ634)/I414</f>
        <v>41.221374045801525</v>
      </c>
      <c r="Q414" s="1474"/>
      <c r="R414" s="1474"/>
      <c r="S414" s="270" t="s">
        <v>2074</v>
      </c>
      <c r="T414" s="29"/>
      <c r="U414" s="29"/>
      <c r="V414" s="29"/>
      <c r="W414" s="29"/>
      <c r="X414" s="29"/>
      <c r="Y414" s="886"/>
      <c r="Z414" s="886"/>
      <c r="AA414" s="886"/>
      <c r="AB414" s="886"/>
      <c r="AC414" s="886"/>
      <c r="AD414" s="886"/>
      <c r="AE414" s="886"/>
      <c r="AF414" s="886"/>
      <c r="AG414" s="886"/>
      <c r="AH414" s="886"/>
      <c r="AI414" s="886"/>
      <c r="AJ414" s="886"/>
    </row>
    <row r="415" spans="1:36" ht="12.9" customHeight="1"/>
    <row r="416" spans="1:36" ht="12.9" customHeight="1">
      <c r="A416" s="3" t="s">
        <v>132</v>
      </c>
      <c r="B416" s="3"/>
      <c r="C416" s="3"/>
      <c r="D416" s="3" t="s">
        <v>950</v>
      </c>
    </row>
    <row r="417" spans="1:36" ht="12.9" customHeight="1">
      <c r="E417" t="s">
        <v>478</v>
      </c>
      <c r="P417" s="1109">
        <v>1</v>
      </c>
      <c r="Q417" s="1109"/>
      <c r="S417" t="s">
        <v>143</v>
      </c>
      <c r="AE417" s="1109">
        <v>1</v>
      </c>
      <c r="AF417" s="1109"/>
    </row>
    <row r="418" spans="1:36" ht="12.9" customHeight="1">
      <c r="E418" t="s">
        <v>144</v>
      </c>
      <c r="P418" s="1109">
        <v>0</v>
      </c>
      <c r="Q418" s="1109"/>
      <c r="S418" t="s">
        <v>760</v>
      </c>
      <c r="AE418" s="1109" t="s">
        <v>131</v>
      </c>
      <c r="AF418" s="1109"/>
    </row>
    <row r="419" spans="1:36" ht="12.9" customHeight="1">
      <c r="F419" s="36" t="s">
        <v>234</v>
      </c>
    </row>
    <row r="420" spans="1:36" ht="12.9" customHeight="1">
      <c r="F420" s="1392"/>
      <c r="G420" s="1392"/>
      <c r="H420" s="1392"/>
      <c r="I420" s="1392"/>
      <c r="J420" s="1392"/>
      <c r="K420" s="1392"/>
      <c r="L420" s="1392"/>
      <c r="M420" s="1392"/>
      <c r="N420" s="1392"/>
      <c r="O420" s="1392"/>
      <c r="P420" s="1392"/>
      <c r="Q420" s="1392"/>
      <c r="R420" s="1392"/>
      <c r="S420" s="1392"/>
      <c r="T420" s="1392"/>
      <c r="U420" s="1392"/>
      <c r="V420" s="1392"/>
      <c r="W420" s="1392"/>
      <c r="X420" s="1392"/>
      <c r="Y420" s="1392"/>
      <c r="Z420" s="1392"/>
      <c r="AA420" s="1392"/>
      <c r="AB420" s="1392"/>
      <c r="AC420" s="1392"/>
      <c r="AD420" s="1392"/>
      <c r="AE420" s="1392"/>
      <c r="AF420" s="1392"/>
      <c r="AG420" s="1392"/>
      <c r="AH420" s="1392"/>
    </row>
    <row r="421" spans="1:36" ht="12.9" customHeight="1">
      <c r="F421" s="1393"/>
      <c r="G421" s="1393"/>
      <c r="H421" s="1393"/>
      <c r="I421" s="1393"/>
      <c r="J421" s="1393"/>
      <c r="K421" s="1393"/>
      <c r="L421" s="1393"/>
      <c r="M421" s="1393"/>
      <c r="N421" s="1393"/>
      <c r="O421" s="1393"/>
      <c r="P421" s="1393"/>
      <c r="Q421" s="1393"/>
      <c r="R421" s="1393"/>
      <c r="S421" s="1393"/>
      <c r="T421" s="1393"/>
      <c r="U421" s="1393"/>
      <c r="V421" s="1393"/>
      <c r="W421" s="1393"/>
      <c r="X421" s="1393"/>
      <c r="Y421" s="1393"/>
      <c r="Z421" s="1393"/>
      <c r="AA421" s="1393"/>
      <c r="AB421" s="1393"/>
      <c r="AC421" s="1393"/>
      <c r="AD421" s="1393"/>
      <c r="AE421" s="1393"/>
      <c r="AF421" s="1393"/>
      <c r="AG421" s="1393"/>
      <c r="AH421" s="1393"/>
    </row>
    <row r="422" spans="1:36" ht="12.9" customHeight="1">
      <c r="E422" t="s">
        <v>897</v>
      </c>
      <c r="P422" s="1"/>
      <c r="Q422" s="1109" t="s">
        <v>115</v>
      </c>
      <c r="R422" s="1109"/>
      <c r="AE422" s="1"/>
      <c r="AF422" s="1"/>
    </row>
    <row r="423" spans="1:36" ht="12.9" customHeight="1">
      <c r="F423" t="s">
        <v>898</v>
      </c>
      <c r="P423" s="1"/>
      <c r="Q423" s="1"/>
      <c r="AE423" s="1109" t="s">
        <v>131</v>
      </c>
      <c r="AF423" s="1293"/>
    </row>
    <row r="424" spans="1:36" ht="12.9" customHeight="1"/>
    <row r="425" spans="1:36" ht="12.9" customHeight="1">
      <c r="A425" s="3"/>
      <c r="B425" s="3"/>
      <c r="C425" s="3"/>
      <c r="E425" s="5" t="s">
        <v>84</v>
      </c>
      <c r="Z425" s="1109" t="s">
        <v>509</v>
      </c>
      <c r="AA425" s="1109"/>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46</v>
      </c>
      <c r="G427" s="49"/>
      <c r="I427" s="49"/>
      <c r="J427" s="49"/>
      <c r="K427" s="49"/>
      <c r="L427" s="49"/>
      <c r="M427" s="49"/>
      <c r="N427" s="49"/>
      <c r="Q427" s="41"/>
      <c r="R427" s="49"/>
      <c r="S427" s="49"/>
      <c r="T427" s="49"/>
      <c r="U427" s="49"/>
      <c r="V427" s="49"/>
      <c r="W427" s="49"/>
      <c r="Z427" s="1109" t="s">
        <v>131</v>
      </c>
      <c r="AA427" s="1109"/>
    </row>
    <row r="428" spans="1:36" ht="12.9" customHeight="1"/>
    <row r="429" spans="1:36" ht="12.9" customHeight="1">
      <c r="A429" s="3" t="s">
        <v>390</v>
      </c>
      <c r="B429" s="3"/>
      <c r="C429" s="3"/>
      <c r="D429" s="3" t="s">
        <v>182</v>
      </c>
      <c r="AF429" s="54"/>
    </row>
    <row r="430" spans="1:36" ht="12.9" customHeight="1">
      <c r="D430" s="1233" t="s">
        <v>379</v>
      </c>
      <c r="E430" s="1234"/>
      <c r="F430" s="1234"/>
      <c r="G430" s="1234"/>
      <c r="H430" s="1234"/>
      <c r="I430" s="1234"/>
      <c r="J430" s="1234"/>
      <c r="K430" s="1234"/>
      <c r="L430" s="1234"/>
      <c r="M430" s="1234"/>
      <c r="N430" s="1234"/>
      <c r="O430" s="1234"/>
      <c r="P430" s="1234"/>
      <c r="Q430" s="1234"/>
      <c r="R430" s="1234"/>
      <c r="S430" s="1234"/>
      <c r="T430" s="1234"/>
      <c r="U430" s="1234"/>
      <c r="V430" s="1234"/>
      <c r="W430" s="1234"/>
      <c r="X430" s="1234"/>
      <c r="Y430" s="1234"/>
      <c r="Z430" s="1234"/>
      <c r="AA430" s="1234"/>
      <c r="AB430" s="1234"/>
      <c r="AC430" s="1234"/>
      <c r="AD430" s="1234"/>
      <c r="AE430" s="1234"/>
      <c r="AF430" s="1454"/>
      <c r="AG430" s="1417">
        <v>29</v>
      </c>
      <c r="AH430" s="1417"/>
      <c r="AI430" s="1417"/>
      <c r="AJ430" s="1417"/>
    </row>
    <row r="431" spans="1:36" ht="12.9" customHeight="1">
      <c r="D431" s="1387" t="s">
        <v>1430</v>
      </c>
      <c r="E431" s="1388"/>
      <c r="F431" s="1388"/>
      <c r="G431" s="1388"/>
      <c r="H431" s="1388"/>
      <c r="I431" s="1388"/>
      <c r="J431" s="1388"/>
      <c r="K431" s="1388"/>
      <c r="L431" s="1388"/>
      <c r="M431" s="1388"/>
      <c r="N431" s="1388"/>
      <c r="O431" s="1388"/>
      <c r="P431" s="1388"/>
      <c r="Q431" s="1388"/>
      <c r="R431" s="1388"/>
      <c r="S431" s="1388"/>
      <c r="T431" s="1388"/>
      <c r="U431" s="1388"/>
      <c r="V431" s="1388"/>
      <c r="W431" s="1388"/>
      <c r="X431" s="1388"/>
      <c r="Y431" s="1388"/>
      <c r="Z431" s="1388"/>
      <c r="AA431" s="1388"/>
      <c r="AB431" s="1388"/>
      <c r="AC431" s="1388"/>
      <c r="AD431" s="1388"/>
      <c r="AE431" s="1388"/>
      <c r="AF431" s="1389"/>
      <c r="AG431" s="1459">
        <v>0</v>
      </c>
      <c r="AH431" s="1460"/>
      <c r="AI431" s="1460"/>
      <c r="AJ431" s="1460"/>
    </row>
    <row r="432" spans="1:36" ht="12.9" customHeight="1">
      <c r="D432" s="1387" t="s">
        <v>1431</v>
      </c>
      <c r="E432" s="1388"/>
      <c r="F432" s="1388"/>
      <c r="G432" s="1388"/>
      <c r="H432" s="1388"/>
      <c r="I432" s="1388"/>
      <c r="J432" s="1388"/>
      <c r="K432" s="1388"/>
      <c r="L432" s="1388"/>
      <c r="M432" s="1388"/>
      <c r="N432" s="1388"/>
      <c r="O432" s="1388"/>
      <c r="P432" s="1388"/>
      <c r="Q432" s="1388"/>
      <c r="R432" s="1388"/>
      <c r="S432" s="1388"/>
      <c r="T432" s="1388"/>
      <c r="U432" s="1388"/>
      <c r="V432" s="1388"/>
      <c r="W432" s="1388"/>
      <c r="X432" s="1388"/>
      <c r="Y432" s="1388"/>
      <c r="Z432" s="1388"/>
      <c r="AA432" s="1388"/>
      <c r="AB432" s="1388"/>
      <c r="AC432" s="1388"/>
      <c r="AD432" s="1388"/>
      <c r="AE432" s="1388"/>
      <c r="AF432" s="1389"/>
      <c r="AG432" s="1417">
        <v>28</v>
      </c>
      <c r="AH432" s="1417"/>
      <c r="AI432" s="1417"/>
      <c r="AJ432" s="1417"/>
    </row>
    <row r="433" spans="4:36" ht="12.9" customHeight="1">
      <c r="D433" s="1387" t="s">
        <v>1427</v>
      </c>
      <c r="E433" s="1388"/>
      <c r="F433" s="1388"/>
      <c r="G433" s="1388"/>
      <c r="H433" s="1388"/>
      <c r="I433" s="1388"/>
      <c r="J433" s="1388"/>
      <c r="K433" s="1388"/>
      <c r="L433" s="1388"/>
      <c r="M433" s="1388"/>
      <c r="N433" s="1388"/>
      <c r="O433" s="1388"/>
      <c r="P433" s="1388"/>
      <c r="Q433" s="1388"/>
      <c r="R433" s="1388"/>
      <c r="S433" s="1388"/>
      <c r="T433" s="1388"/>
      <c r="U433" s="1388"/>
      <c r="V433" s="1388"/>
      <c r="W433" s="1388"/>
      <c r="X433" s="1388"/>
      <c r="Y433" s="1388"/>
      <c r="Z433" s="1388"/>
      <c r="AA433" s="1388"/>
      <c r="AB433" s="1388"/>
      <c r="AC433" s="1388"/>
      <c r="AD433" s="1388"/>
      <c r="AE433" s="1388"/>
      <c r="AF433" s="1389"/>
      <c r="AG433" s="1417">
        <v>28</v>
      </c>
      <c r="AH433" s="1417"/>
      <c r="AI433" s="1417"/>
      <c r="AJ433" s="1417"/>
    </row>
    <row r="434" spans="4:36" ht="12.9" customHeight="1">
      <c r="D434" s="1387" t="s">
        <v>1432</v>
      </c>
      <c r="E434" s="1388"/>
      <c r="F434" s="1388"/>
      <c r="G434" s="1388"/>
      <c r="H434" s="1388"/>
      <c r="I434" s="1388"/>
      <c r="J434" s="1388"/>
      <c r="K434" s="1388"/>
      <c r="L434" s="1388"/>
      <c r="M434" s="1388"/>
      <c r="N434" s="1388"/>
      <c r="O434" s="1388"/>
      <c r="P434" s="1388"/>
      <c r="Q434" s="1388"/>
      <c r="R434" s="1388"/>
      <c r="S434" s="1388"/>
      <c r="T434" s="1388"/>
      <c r="U434" s="1388"/>
      <c r="V434" s="1388"/>
      <c r="W434" s="1388"/>
      <c r="X434" s="1388"/>
      <c r="Y434" s="1388"/>
      <c r="Z434" s="1388"/>
      <c r="AA434" s="1388"/>
      <c r="AB434" s="1388"/>
      <c r="AC434" s="1388"/>
      <c r="AD434" s="1388"/>
      <c r="AE434" s="1388"/>
      <c r="AF434" s="1389"/>
      <c r="AG434" s="1418">
        <f>IF(ISERROR(AG433/AG432),"",AG433/AG432)</f>
        <v>1</v>
      </c>
      <c r="AH434" s="1418"/>
      <c r="AI434" s="1418"/>
      <c r="AJ434" s="1418"/>
    </row>
    <row r="435" spans="4:36" ht="12.9" customHeight="1">
      <c r="D435" s="1387" t="s">
        <v>1429</v>
      </c>
      <c r="E435" s="1388"/>
      <c r="F435" s="1388"/>
      <c r="G435" s="1388"/>
      <c r="H435" s="1388"/>
      <c r="I435" s="1388"/>
      <c r="J435" s="1388"/>
      <c r="K435" s="1388"/>
      <c r="L435" s="1388"/>
      <c r="M435" s="1388"/>
      <c r="N435" s="1388"/>
      <c r="O435" s="1388"/>
      <c r="P435" s="1388"/>
      <c r="Q435" s="1388"/>
      <c r="R435" s="1388"/>
      <c r="S435" s="1388"/>
      <c r="T435" s="1388"/>
      <c r="U435" s="1388"/>
      <c r="V435" s="1388"/>
      <c r="W435" s="1388"/>
      <c r="X435" s="1388"/>
      <c r="Y435" s="1388"/>
      <c r="Z435" s="1388"/>
      <c r="AA435" s="1388"/>
      <c r="AB435" s="1388"/>
      <c r="AC435" s="1388"/>
      <c r="AD435" s="1388"/>
      <c r="AE435" s="1388"/>
      <c r="AF435" s="1389"/>
      <c r="AG435" s="1426">
        <v>21960</v>
      </c>
      <c r="AH435" s="1426"/>
      <c r="AI435" s="1426"/>
      <c r="AJ435" s="1426"/>
    </row>
    <row r="436" spans="4:36" ht="12.9" customHeight="1">
      <c r="D436" s="1387" t="s">
        <v>1428</v>
      </c>
      <c r="E436" s="1388"/>
      <c r="F436" s="1388"/>
      <c r="G436" s="1388"/>
      <c r="H436" s="1388"/>
      <c r="I436" s="1388"/>
      <c r="J436" s="1388"/>
      <c r="K436" s="1388"/>
      <c r="L436" s="1388"/>
      <c r="M436" s="1388"/>
      <c r="N436" s="1388"/>
      <c r="O436" s="1388"/>
      <c r="P436" s="1388"/>
      <c r="Q436" s="1388"/>
      <c r="R436" s="1388"/>
      <c r="S436" s="1388"/>
      <c r="T436" s="1388"/>
      <c r="U436" s="1388"/>
      <c r="V436" s="1388"/>
      <c r="W436" s="1388"/>
      <c r="X436" s="1388"/>
      <c r="Y436" s="1388"/>
      <c r="Z436" s="1388"/>
      <c r="AA436" s="1388"/>
      <c r="AB436" s="1388"/>
      <c r="AC436" s="1388"/>
      <c r="AD436" s="1388"/>
      <c r="AE436" s="1388"/>
      <c r="AF436" s="1389"/>
      <c r="AG436" s="1426">
        <v>21960</v>
      </c>
      <c r="AH436" s="1426"/>
      <c r="AI436" s="1426"/>
      <c r="AJ436" s="1426"/>
    </row>
    <row r="437" spans="4:36" ht="12.9" customHeight="1">
      <c r="D437" s="1387" t="s">
        <v>1435</v>
      </c>
      <c r="E437" s="1388"/>
      <c r="F437" s="1388"/>
      <c r="G437" s="1388"/>
      <c r="H437" s="1388"/>
      <c r="I437" s="1388"/>
      <c r="J437" s="1388"/>
      <c r="K437" s="1388"/>
      <c r="L437" s="1388"/>
      <c r="M437" s="1388"/>
      <c r="N437" s="1388"/>
      <c r="O437" s="1388"/>
      <c r="P437" s="1388"/>
      <c r="Q437" s="1388"/>
      <c r="R437" s="1388"/>
      <c r="S437" s="1388"/>
      <c r="T437" s="1388"/>
      <c r="U437" s="1388"/>
      <c r="V437" s="1388"/>
      <c r="W437" s="1388"/>
      <c r="X437" s="1388"/>
      <c r="Y437" s="1388"/>
      <c r="Z437" s="1388"/>
      <c r="AA437" s="1388"/>
      <c r="AB437" s="1388"/>
      <c r="AC437" s="1388"/>
      <c r="AD437" s="1388"/>
      <c r="AE437" s="1388"/>
      <c r="AF437" s="1389"/>
      <c r="AG437" s="1418">
        <f>IF(ISERROR(AG436/AG435),"",AG436/AG435)</f>
        <v>1</v>
      </c>
      <c r="AH437" s="1418"/>
      <c r="AI437" s="1418"/>
      <c r="AJ437" s="1418"/>
    </row>
    <row r="438" spans="4:36" ht="12.9" customHeight="1">
      <c r="D438" s="1387" t="s">
        <v>1433</v>
      </c>
      <c r="E438" s="1388"/>
      <c r="F438" s="1388"/>
      <c r="G438" s="1388"/>
      <c r="H438" s="1388"/>
      <c r="I438" s="1388"/>
      <c r="J438" s="1388"/>
      <c r="K438" s="1388"/>
      <c r="L438" s="1388"/>
      <c r="M438" s="1388"/>
      <c r="N438" s="1388"/>
      <c r="O438" s="1388"/>
      <c r="P438" s="1388"/>
      <c r="Q438" s="1388"/>
      <c r="R438" s="1388"/>
      <c r="S438" s="1388"/>
      <c r="T438" s="1388"/>
      <c r="U438" s="1388"/>
      <c r="V438" s="1388"/>
      <c r="W438" s="1388"/>
      <c r="X438" s="1388"/>
      <c r="Y438" s="1388"/>
      <c r="Z438" s="1388"/>
      <c r="AA438" s="1388"/>
      <c r="AB438" s="1388"/>
      <c r="AC438" s="1388"/>
      <c r="AD438" s="1388"/>
      <c r="AE438" s="1388"/>
      <c r="AF438" s="1389"/>
      <c r="AG438" s="1418">
        <f>MIN(IF(AG434&gt;AG437,AG437,AG434),1)</f>
        <v>1</v>
      </c>
      <c r="AH438" s="1418"/>
      <c r="AI438" s="1418"/>
      <c r="AJ438" s="1418"/>
    </row>
    <row r="439" spans="4:36" ht="12.9" customHeight="1">
      <c r="D439" s="1470" t="s">
        <v>2228</v>
      </c>
      <c r="E439" s="1234"/>
      <c r="F439" s="1234"/>
      <c r="G439" s="1234"/>
      <c r="H439" s="1234"/>
      <c r="I439" s="1234"/>
      <c r="J439" s="1234"/>
      <c r="K439" s="1234"/>
      <c r="L439" s="1234"/>
      <c r="M439" s="1234"/>
      <c r="N439" s="1234"/>
      <c r="O439" s="1234"/>
      <c r="P439" s="1234"/>
      <c r="Q439" s="1234"/>
      <c r="R439" s="1234"/>
      <c r="S439" s="1234"/>
      <c r="T439" s="1234"/>
      <c r="U439" s="1234"/>
      <c r="V439" s="1234"/>
      <c r="W439" s="1234"/>
      <c r="X439" s="1234"/>
      <c r="Y439" s="1234"/>
      <c r="Z439" s="1234"/>
      <c r="AA439" s="1234"/>
      <c r="AB439" s="1234"/>
      <c r="AC439" s="1234"/>
      <c r="AD439" s="1234"/>
      <c r="AE439" s="1234"/>
      <c r="AF439" s="1454"/>
      <c r="AG439" s="1426">
        <v>0</v>
      </c>
      <c r="AH439" s="1426"/>
      <c r="AI439" s="1426"/>
      <c r="AJ439" s="1426"/>
    </row>
    <row r="440" spans="4:36" ht="12.9" customHeight="1">
      <c r="D440" s="1387" t="s">
        <v>221</v>
      </c>
      <c r="E440" s="1388"/>
      <c r="F440" s="1388"/>
      <c r="G440" s="1388"/>
      <c r="H440" s="1388"/>
      <c r="I440" s="1388"/>
      <c r="J440" s="1388"/>
      <c r="K440" s="1388"/>
      <c r="L440" s="1388"/>
      <c r="M440" s="1388"/>
      <c r="N440" s="1388"/>
      <c r="O440" s="1388"/>
      <c r="P440" s="1388"/>
      <c r="Q440" s="1388"/>
      <c r="R440" s="1388"/>
      <c r="S440" s="1388"/>
      <c r="T440" s="1388"/>
      <c r="U440" s="1388"/>
      <c r="V440" s="1388"/>
      <c r="W440" s="1388"/>
      <c r="X440" s="1388"/>
      <c r="Y440" s="1388"/>
      <c r="Z440" s="1388"/>
      <c r="AA440" s="1388"/>
      <c r="AB440" s="1388"/>
      <c r="AC440" s="1388"/>
      <c r="AD440" s="1388"/>
      <c r="AE440" s="1388"/>
      <c r="AF440" s="1389"/>
      <c r="AG440" s="1426">
        <v>0</v>
      </c>
      <c r="AH440" s="1426"/>
      <c r="AI440" s="1426"/>
      <c r="AJ440" s="1426"/>
    </row>
    <row r="441" spans="4:36" ht="12.9" customHeight="1">
      <c r="D441" s="1470" t="s">
        <v>1807</v>
      </c>
      <c r="E441" s="1388"/>
      <c r="F441" s="1388"/>
      <c r="G441" s="1388"/>
      <c r="H441" s="1388"/>
      <c r="I441" s="1388"/>
      <c r="J441" s="1388"/>
      <c r="K441" s="1388"/>
      <c r="L441" s="1388"/>
      <c r="M441" s="1388"/>
      <c r="N441" s="1388"/>
      <c r="O441" s="1388"/>
      <c r="P441" s="1388"/>
      <c r="Q441" s="1388"/>
      <c r="R441" s="1388"/>
      <c r="S441" s="1388"/>
      <c r="T441" s="1388"/>
      <c r="U441" s="1388"/>
      <c r="V441" s="1388"/>
      <c r="W441" s="1388"/>
      <c r="X441" s="1388"/>
      <c r="Y441" s="1388"/>
      <c r="Z441" s="1388"/>
      <c r="AA441" s="1388"/>
      <c r="AB441" s="1388"/>
      <c r="AC441" s="1388"/>
      <c r="AD441" s="1388"/>
      <c r="AE441" s="1388"/>
      <c r="AF441" s="1389"/>
      <c r="AG441" s="1426">
        <v>13885</v>
      </c>
      <c r="AH441" s="1426"/>
      <c r="AI441" s="1426"/>
      <c r="AJ441" s="1426"/>
    </row>
    <row r="442" spans="4:36" ht="12.9" customHeight="1">
      <c r="D442" s="1387" t="s">
        <v>1434</v>
      </c>
      <c r="E442" s="1388"/>
      <c r="F442" s="1388"/>
      <c r="G442" s="1388"/>
      <c r="H442" s="1388"/>
      <c r="I442" s="1388"/>
      <c r="J442" s="1388"/>
      <c r="K442" s="1388"/>
      <c r="L442" s="1388"/>
      <c r="M442" s="1388"/>
      <c r="N442" s="1388"/>
      <c r="O442" s="1388"/>
      <c r="P442" s="1388"/>
      <c r="Q442" s="1388"/>
      <c r="R442" s="1388"/>
      <c r="S442" s="1388"/>
      <c r="T442" s="1388"/>
      <c r="U442" s="1388"/>
      <c r="V442" s="1388"/>
      <c r="W442" s="1388"/>
      <c r="X442" s="1388"/>
      <c r="Y442" s="1388"/>
      <c r="Z442" s="1388"/>
      <c r="AA442" s="1388"/>
      <c r="AB442" s="1388"/>
      <c r="AC442" s="1388"/>
      <c r="AD442" s="1388"/>
      <c r="AE442" s="1388"/>
      <c r="AF442" s="1389"/>
      <c r="AG442" s="1426">
        <v>0</v>
      </c>
      <c r="AH442" s="1426"/>
      <c r="AI442" s="1426"/>
      <c r="AJ442" s="1426"/>
    </row>
    <row r="443" spans="4:36" ht="12.9" customHeight="1">
      <c r="D443" s="1387" t="s">
        <v>1436</v>
      </c>
      <c r="E443" s="1388"/>
      <c r="F443" s="1388"/>
      <c r="G443" s="1388"/>
      <c r="H443" s="1388"/>
      <c r="I443" s="1388"/>
      <c r="J443" s="1388"/>
      <c r="K443" s="1388"/>
      <c r="L443" s="1388"/>
      <c r="M443" s="1388"/>
      <c r="N443" s="1388"/>
      <c r="O443" s="1388"/>
      <c r="P443" s="1388"/>
      <c r="Q443" s="1388"/>
      <c r="R443" s="1388"/>
      <c r="S443" s="1388"/>
      <c r="T443" s="1388"/>
      <c r="U443" s="1388"/>
      <c r="V443" s="1388"/>
      <c r="W443" s="1388"/>
      <c r="X443" s="1388"/>
      <c r="Y443" s="1388"/>
      <c r="Z443" s="1388"/>
      <c r="AA443" s="1388"/>
      <c r="AB443" s="1388"/>
      <c r="AC443" s="1388"/>
      <c r="AD443" s="1388"/>
      <c r="AE443" s="1388"/>
      <c r="AF443" s="1389"/>
      <c r="AG443" s="1450">
        <f>AG435+AG439+AG441+AG442</f>
        <v>35845</v>
      </c>
      <c r="AH443" s="1450"/>
      <c r="AI443" s="1450"/>
      <c r="AJ443" s="1450"/>
    </row>
    <row r="444" spans="4:36" ht="12.9" customHeight="1">
      <c r="D444" s="1452" t="s">
        <v>1808</v>
      </c>
      <c r="E444" s="1452"/>
      <c r="F444" s="1452"/>
      <c r="G444" s="1452"/>
      <c r="H444" s="1452"/>
      <c r="I444" s="1452"/>
      <c r="J444" s="1452"/>
      <c r="K444" s="1452"/>
      <c r="L444" s="1452"/>
      <c r="M444" s="1452"/>
      <c r="N444" s="1452"/>
      <c r="O444" s="1452"/>
      <c r="P444" s="1452"/>
      <c r="Q444" s="1452"/>
      <c r="R444" s="1452"/>
      <c r="S444" s="1452"/>
      <c r="T444" s="1452"/>
      <c r="U444" s="1452"/>
      <c r="V444" s="1452"/>
      <c r="W444" s="1452"/>
      <c r="X444" s="1452"/>
      <c r="Y444" s="1452"/>
      <c r="Z444" s="1452"/>
      <c r="AA444" s="1452"/>
      <c r="AB444" s="1452"/>
      <c r="AC444" s="1452"/>
      <c r="AD444" s="1452"/>
      <c r="AE444" s="1452"/>
      <c r="AF444" s="1452"/>
      <c r="AG444" s="1452"/>
      <c r="AH444" s="1452"/>
      <c r="AI444" s="1452"/>
      <c r="AJ444" s="1452"/>
    </row>
    <row r="445" spans="4:36" ht="12.9" customHeight="1">
      <c r="D445" s="1453"/>
      <c r="E445" s="1453"/>
      <c r="F445" s="1453"/>
      <c r="G445" s="1453"/>
      <c r="H445" s="1453"/>
      <c r="I445" s="1453"/>
      <c r="J445" s="1453"/>
      <c r="K445" s="1453"/>
      <c r="L445" s="1453"/>
      <c r="M445" s="1453"/>
      <c r="N445" s="1453"/>
      <c r="O445" s="1453"/>
      <c r="P445" s="1453"/>
      <c r="Q445" s="1453"/>
      <c r="R445" s="1453"/>
      <c r="S445" s="1453"/>
      <c r="T445" s="1453"/>
      <c r="U445" s="1453"/>
      <c r="V445" s="1453"/>
      <c r="W445" s="1453"/>
      <c r="X445" s="1453"/>
      <c r="Y445" s="1453"/>
      <c r="Z445" s="1453"/>
      <c r="AA445" s="1453"/>
      <c r="AB445" s="1453"/>
      <c r="AC445" s="1453"/>
      <c r="AD445" s="1453"/>
      <c r="AE445" s="1453"/>
      <c r="AF445" s="1453"/>
      <c r="AG445" s="1453"/>
      <c r="AH445" s="1453"/>
      <c r="AI445" s="1453"/>
      <c r="AJ445" s="1453"/>
    </row>
    <row r="446" spans="4:36" ht="12.9" customHeight="1">
      <c r="D446" s="1419"/>
      <c r="E446" s="1419"/>
      <c r="F446" s="1419"/>
      <c r="G446" s="1419"/>
      <c r="H446" s="1419"/>
      <c r="I446" s="1419"/>
      <c r="J446" s="1419"/>
      <c r="K446" s="1419"/>
      <c r="L446" s="1419"/>
      <c r="M446" s="1419"/>
      <c r="N446" s="1419"/>
      <c r="O446" s="1419"/>
      <c r="P446" s="1419"/>
      <c r="Q446" s="1419"/>
      <c r="R446" s="1419"/>
      <c r="S446" s="1419"/>
      <c r="T446" s="1419"/>
      <c r="U446" s="1419"/>
      <c r="V446" s="1419"/>
      <c r="W446" s="1419"/>
      <c r="X446" s="1419"/>
      <c r="Y446" s="1419"/>
      <c r="Z446" s="1419"/>
      <c r="AA446" s="1419"/>
      <c r="AB446" s="1419"/>
      <c r="AC446" s="1419"/>
      <c r="AD446" s="1419"/>
      <c r="AE446" s="1419"/>
      <c r="AF446" s="1419"/>
      <c r="AG446" s="1419"/>
      <c r="AH446" s="1419"/>
      <c r="AI446" s="1419"/>
      <c r="AJ446" s="1419"/>
    </row>
    <row r="447" spans="4:36" ht="12.9"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29">
        <f>'Sources and Uses Budget'!B104/Application!AG430</f>
        <v>490477.3448275862</v>
      </c>
      <c r="AD447" s="1429"/>
      <c r="AE447" s="1429"/>
      <c r="AF447" s="1429"/>
      <c r="AG447" s="1415"/>
      <c r="AH447" s="1415"/>
      <c r="AI447" s="1415"/>
      <c r="AJ447" s="1415"/>
    </row>
    <row r="448" spans="4:36" ht="12.9"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29">
        <f>'Sources and Uses Budget'!C104/Application!AG430</f>
        <v>490477.3448275862</v>
      </c>
      <c r="AD448" s="1429"/>
      <c r="AE448" s="1429"/>
      <c r="AF448" s="1429"/>
      <c r="AG448" s="1415"/>
      <c r="AH448" s="1415"/>
      <c r="AI448" s="1415"/>
      <c r="AJ448" s="1415"/>
    </row>
    <row r="449" spans="1:38" ht="12.9"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29">
        <f>('Sources and Uses Budget'!S106+'Sources and Uses Budget'!T106)/Application!AG430</f>
        <v>444658.79310344829</v>
      </c>
      <c r="AD449" s="1429"/>
      <c r="AE449" s="1429"/>
      <c r="AF449" s="1429"/>
      <c r="AG449" s="366"/>
      <c r="AH449" s="366"/>
      <c r="AI449" s="366"/>
      <c r="AJ449" s="366"/>
    </row>
    <row r="450" spans="1:38" ht="12.9"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 customHeight="1">
      <c r="A458" s="41"/>
      <c r="B458" s="41"/>
      <c r="C458" s="41"/>
      <c r="D458" s="1406" t="s">
        <v>2201</v>
      </c>
      <c r="E458" s="1407"/>
      <c r="F458" s="1407"/>
      <c r="G458" s="1407"/>
      <c r="H458" s="1407"/>
      <c r="I458" s="1407"/>
      <c r="J458" s="1407"/>
      <c r="K458" s="1407"/>
      <c r="L458" s="1407"/>
      <c r="M458" s="1407"/>
      <c r="N458" s="1407"/>
      <c r="O458" s="1407"/>
      <c r="P458" s="1407"/>
      <c r="Q458" s="1407"/>
      <c r="R458" s="1407"/>
      <c r="S458" s="1407"/>
      <c r="T458" s="1407"/>
      <c r="U458" s="1407"/>
      <c r="V458" s="1408"/>
      <c r="W458" s="1380">
        <v>0</v>
      </c>
      <c r="X458" s="1381"/>
      <c r="Y458" s="1382"/>
      <c r="Z458" s="311"/>
      <c r="AA458" s="311"/>
      <c r="AB458" s="311"/>
      <c r="AC458" s="311"/>
      <c r="AD458" s="311"/>
      <c r="AE458" s="311"/>
      <c r="AF458" s="311"/>
      <c r="AG458" s="311"/>
      <c r="AH458" s="311"/>
      <c r="AI458" s="311"/>
      <c r="AJ458" s="41"/>
      <c r="AK458" s="41"/>
      <c r="AL458" s="41"/>
    </row>
    <row r="459" spans="1:38" ht="12.9" customHeight="1">
      <c r="A459" s="41"/>
      <c r="B459" s="41"/>
      <c r="C459" s="41"/>
      <c r="D459" s="1406" t="s">
        <v>226</v>
      </c>
      <c r="E459" s="1407"/>
      <c r="F459" s="1407"/>
      <c r="G459" s="1407"/>
      <c r="H459" s="1407"/>
      <c r="I459" s="1407"/>
      <c r="J459" s="1407"/>
      <c r="K459" s="1407"/>
      <c r="L459" s="1407"/>
      <c r="M459" s="1407"/>
      <c r="N459" s="1407"/>
      <c r="O459" s="1407"/>
      <c r="P459" s="1407"/>
      <c r="Q459" s="1407"/>
      <c r="R459" s="1407"/>
      <c r="S459" s="1407"/>
      <c r="T459" s="1407"/>
      <c r="U459" s="1407"/>
      <c r="V459" s="1408"/>
      <c r="W459" s="1380">
        <v>0</v>
      </c>
      <c r="X459" s="1381"/>
      <c r="Y459" s="1382"/>
      <c r="Z459" s="311"/>
      <c r="AA459" s="311"/>
      <c r="AB459" s="311"/>
      <c r="AC459" s="311"/>
      <c r="AD459" s="311"/>
      <c r="AE459" s="311"/>
      <c r="AF459" s="311"/>
      <c r="AG459" s="311"/>
      <c r="AH459" s="311"/>
      <c r="AI459" s="311"/>
      <c r="AJ459" s="41"/>
      <c r="AK459" s="41"/>
      <c r="AL459" s="41"/>
    </row>
    <row r="460" spans="1:38" ht="12.9" customHeight="1">
      <c r="A460" s="41"/>
      <c r="B460" s="41"/>
      <c r="C460" s="41"/>
      <c r="D460" s="1406" t="s">
        <v>227</v>
      </c>
      <c r="E460" s="1407"/>
      <c r="F460" s="1407"/>
      <c r="G460" s="1407"/>
      <c r="H460" s="1407"/>
      <c r="I460" s="1407"/>
      <c r="J460" s="1407"/>
      <c r="K460" s="1407"/>
      <c r="L460" s="1407"/>
      <c r="M460" s="1407"/>
      <c r="N460" s="1407"/>
      <c r="O460" s="1407"/>
      <c r="P460" s="1407"/>
      <c r="Q460" s="1407"/>
      <c r="R460" s="1407"/>
      <c r="S460" s="1407"/>
      <c r="T460" s="1407"/>
      <c r="U460" s="1407"/>
      <c r="V460" s="1408"/>
      <c r="W460" s="1380">
        <v>0</v>
      </c>
      <c r="X460" s="1381"/>
      <c r="Y460" s="1382"/>
      <c r="Z460" s="311"/>
      <c r="AA460" s="311"/>
      <c r="AB460" s="311"/>
      <c r="AC460" s="311"/>
      <c r="AD460" s="311"/>
      <c r="AE460" s="311"/>
      <c r="AF460" s="311"/>
      <c r="AG460" s="311"/>
      <c r="AH460" s="311"/>
      <c r="AI460" s="311"/>
      <c r="AJ460" s="41"/>
      <c r="AK460" s="41"/>
      <c r="AL460" s="41"/>
    </row>
    <row r="461" spans="1:38" ht="12.9" customHeight="1">
      <c r="A461" s="41"/>
      <c r="B461" s="41"/>
      <c r="C461" s="41"/>
      <c r="D461" s="1406" t="s">
        <v>229</v>
      </c>
      <c r="E461" s="1407"/>
      <c r="F461" s="1407"/>
      <c r="G461" s="1407"/>
      <c r="H461" s="1407"/>
      <c r="I461" s="1407"/>
      <c r="J461" s="1407"/>
      <c r="K461" s="1407"/>
      <c r="L461" s="1407"/>
      <c r="M461" s="1407"/>
      <c r="N461" s="1407"/>
      <c r="O461" s="1407"/>
      <c r="P461" s="1407"/>
      <c r="Q461" s="1407"/>
      <c r="R461" s="1407"/>
      <c r="S461" s="1407"/>
      <c r="T461" s="1407"/>
      <c r="U461" s="1407"/>
      <c r="V461" s="1408"/>
      <c r="W461" s="1380">
        <v>0</v>
      </c>
      <c r="X461" s="1381"/>
      <c r="Y461" s="1382"/>
      <c r="Z461" s="311"/>
      <c r="AA461" s="311"/>
      <c r="AB461" s="311"/>
      <c r="AC461" s="311"/>
      <c r="AD461" s="311"/>
      <c r="AE461" s="311"/>
      <c r="AF461" s="311"/>
      <c r="AG461" s="311"/>
      <c r="AH461" s="311"/>
      <c r="AI461" s="311"/>
      <c r="AJ461" s="41"/>
      <c r="AK461" s="41"/>
      <c r="AL461" s="41"/>
    </row>
    <row r="462" spans="1:38" ht="12.9" customHeight="1">
      <c r="A462" s="41"/>
      <c r="B462" s="41"/>
      <c r="C462" s="41"/>
      <c r="D462" s="1416" t="s">
        <v>1154</v>
      </c>
      <c r="E462" s="1407"/>
      <c r="F462" s="1407"/>
      <c r="G462" s="1407"/>
      <c r="H462" s="1407"/>
      <c r="I462" s="1407"/>
      <c r="J462" s="1407"/>
      <c r="K462" s="1407"/>
      <c r="L462" s="1407"/>
      <c r="M462" s="1407"/>
      <c r="N462" s="1407"/>
      <c r="O462" s="1407"/>
      <c r="P462" s="1407"/>
      <c r="Q462" s="1407"/>
      <c r="R462" s="1407"/>
      <c r="S462" s="1407"/>
      <c r="T462" s="1407"/>
      <c r="U462" s="1407"/>
      <c r="V462" s="1408"/>
      <c r="W462" s="1380">
        <v>0</v>
      </c>
      <c r="X462" s="1381"/>
      <c r="Y462" s="1382"/>
      <c r="Z462" s="311"/>
      <c r="AA462" s="311"/>
      <c r="AB462" s="311"/>
      <c r="AC462" s="311"/>
      <c r="AD462" s="311"/>
      <c r="AE462" s="311"/>
      <c r="AF462" s="311"/>
      <c r="AG462" s="311"/>
      <c r="AH462" s="311"/>
      <c r="AI462" s="311"/>
      <c r="AJ462" s="41"/>
      <c r="AK462" s="41"/>
      <c r="AL462" s="41"/>
    </row>
    <row r="463" spans="1:38" ht="12.9" customHeight="1">
      <c r="A463" s="41"/>
      <c r="B463" s="41"/>
      <c r="C463" s="41"/>
      <c r="D463" s="1406" t="s">
        <v>233</v>
      </c>
      <c r="E463" s="1407"/>
      <c r="F463" s="1407"/>
      <c r="G463" s="1407"/>
      <c r="H463" s="1407"/>
      <c r="I463" s="1407"/>
      <c r="J463" s="1407"/>
      <c r="K463" s="1407"/>
      <c r="L463" s="1407"/>
      <c r="M463" s="1407"/>
      <c r="N463" s="1407"/>
      <c r="O463" s="1407"/>
      <c r="P463" s="1407"/>
      <c r="Q463" s="1407"/>
      <c r="R463" s="1407"/>
      <c r="S463" s="1407"/>
      <c r="T463" s="1407"/>
      <c r="U463" s="1407"/>
      <c r="V463" s="1408"/>
      <c r="W463" s="1380">
        <v>0</v>
      </c>
      <c r="X463" s="1381"/>
      <c r="Y463" s="1382"/>
      <c r="Z463" s="311"/>
      <c r="AA463" s="311"/>
      <c r="AB463" s="311"/>
      <c r="AC463" s="311"/>
      <c r="AD463" s="311"/>
      <c r="AE463" s="311"/>
      <c r="AF463" s="311"/>
      <c r="AG463" s="311"/>
      <c r="AH463" s="311"/>
      <c r="AI463" s="311"/>
      <c r="AJ463" s="41"/>
      <c r="AK463" s="41"/>
      <c r="AL463" s="41"/>
    </row>
    <row r="464" spans="1:38" ht="12.9" customHeight="1">
      <c r="A464" s="564"/>
      <c r="B464" s="564"/>
      <c r="C464" s="564"/>
      <c r="D464" s="1416" t="s">
        <v>1359</v>
      </c>
      <c r="E464" s="1457"/>
      <c r="F464" s="1457"/>
      <c r="G464" s="1457"/>
      <c r="H464" s="1457"/>
      <c r="I464" s="1457"/>
      <c r="J464" s="1457"/>
      <c r="K464" s="1457"/>
      <c r="L464" s="1457"/>
      <c r="M464" s="1457"/>
      <c r="N464" s="1457"/>
      <c r="O464" s="1457"/>
      <c r="P464" s="1457"/>
      <c r="Q464" s="1457"/>
      <c r="R464" s="1457"/>
      <c r="S464" s="1457"/>
      <c r="T464" s="1457"/>
      <c r="U464" s="1457"/>
      <c r="V464" s="1458"/>
      <c r="W464" s="1420">
        <v>0</v>
      </c>
      <c r="X464" s="1421"/>
      <c r="Y464" s="1422"/>
      <c r="Z464" s="565"/>
      <c r="AA464" s="565"/>
      <c r="AB464" s="565"/>
      <c r="AC464" s="565"/>
      <c r="AD464" s="566"/>
      <c r="AE464" s="566"/>
      <c r="AF464" s="566"/>
      <c r="AG464" s="566"/>
      <c r="AH464" s="566"/>
      <c r="AI464" s="566"/>
      <c r="AJ464" s="366"/>
    </row>
    <row r="465" spans="1:97" ht="12.9" customHeight="1">
      <c r="A465" s="41"/>
      <c r="B465" s="41"/>
      <c r="C465" s="41"/>
      <c r="D465" s="1406" t="s">
        <v>2346</v>
      </c>
      <c r="E465" s="1457"/>
      <c r="F465" s="1457"/>
      <c r="G465" s="1457"/>
      <c r="H465" s="1457"/>
      <c r="I465" s="1457"/>
      <c r="J465" s="1457"/>
      <c r="K465" s="1457"/>
      <c r="L465" s="1457"/>
      <c r="M465" s="1457"/>
      <c r="N465" s="1457"/>
      <c r="O465" s="1457"/>
      <c r="P465" s="1457"/>
      <c r="Q465" s="1457"/>
      <c r="R465" s="1457"/>
      <c r="S465" s="1457"/>
      <c r="T465" s="1457"/>
      <c r="U465" s="1457"/>
      <c r="V465" s="1458"/>
      <c r="W465" s="1420">
        <v>0</v>
      </c>
      <c r="X465" s="1421"/>
      <c r="Y465" s="1422"/>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 customHeight="1">
      <c r="A466" s="41"/>
      <c r="B466" s="41"/>
      <c r="C466" s="41"/>
      <c r="D466" s="419" t="s">
        <v>296</v>
      </c>
      <c r="E466" s="420"/>
      <c r="F466" s="421"/>
      <c r="G466" s="1467"/>
      <c r="H466" s="1468"/>
      <c r="I466" s="1468"/>
      <c r="J466" s="1468"/>
      <c r="K466" s="1468"/>
      <c r="L466" s="1468"/>
      <c r="M466" s="1468"/>
      <c r="N466" s="1468"/>
      <c r="O466" s="1468"/>
      <c r="P466" s="1468"/>
      <c r="Q466" s="1468"/>
      <c r="R466" s="1468"/>
      <c r="S466" s="1468"/>
      <c r="T466" s="1468"/>
      <c r="U466" s="1468"/>
      <c r="V466" s="1469"/>
      <c r="W466" s="1380">
        <v>0</v>
      </c>
      <c r="X466" s="1381"/>
      <c r="Y466" s="1382"/>
      <c r="Z466" s="311"/>
      <c r="AA466" s="311"/>
      <c r="AB466" s="311"/>
      <c r="AC466" s="311"/>
      <c r="AD466" s="311"/>
      <c r="AE466" s="311"/>
      <c r="AF466" s="311"/>
      <c r="AG466" s="311"/>
      <c r="AH466" s="311"/>
      <c r="AI466" s="311"/>
      <c r="AJ466" s="41"/>
      <c r="AK466" s="41"/>
      <c r="AL466" s="41"/>
    </row>
    <row r="467" spans="1:97" ht="12.9" customHeight="1">
      <c r="A467" s="41"/>
      <c r="B467" s="41"/>
      <c r="C467" s="41"/>
      <c r="D467" s="959" t="s">
        <v>1360</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 customHeight="1">
      <c r="A468" s="41"/>
      <c r="B468" s="41"/>
      <c r="C468" s="41"/>
      <c r="D468" s="1546"/>
      <c r="E468" s="1546"/>
      <c r="F468" s="1546"/>
      <c r="G468" s="1546"/>
      <c r="H468" s="1546"/>
      <c r="I468" s="1546"/>
      <c r="J468" s="1546"/>
      <c r="K468" s="1546"/>
      <c r="L468" s="1546"/>
      <c r="M468" s="1546"/>
      <c r="N468" s="1546"/>
      <c r="O468" s="1546"/>
      <c r="P468" s="1546"/>
      <c r="Q468" s="1546"/>
      <c r="R468" s="1546"/>
      <c r="S468" s="1546"/>
      <c r="T468" s="1546"/>
      <c r="U468" s="1546"/>
      <c r="V468" s="1546"/>
      <c r="W468" s="1546"/>
      <c r="X468" s="1546"/>
      <c r="Y468" s="1546"/>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 customHeight="1">
      <c r="A469" s="41"/>
      <c r="B469" s="41"/>
      <c r="C469" s="41"/>
      <c r="D469" s="1547"/>
      <c r="E469" s="1547"/>
      <c r="F469" s="1547"/>
      <c r="G469" s="1547"/>
      <c r="H469" s="1547"/>
      <c r="I469" s="1547"/>
      <c r="J469" s="1547"/>
      <c r="K469" s="1547"/>
      <c r="L469" s="1547"/>
      <c r="M469" s="1547"/>
      <c r="N469" s="1547"/>
      <c r="O469" s="1547"/>
      <c r="P469" s="1547"/>
      <c r="Q469" s="1547"/>
      <c r="R469" s="1547"/>
      <c r="S469" s="1547"/>
      <c r="T469" s="1547"/>
      <c r="U469" s="1547"/>
      <c r="V469" s="1547"/>
      <c r="W469" s="1547"/>
      <c r="X469" s="1547"/>
      <c r="Y469" s="1547"/>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 customHeight="1">
      <c r="A470" s="41"/>
      <c r="B470" s="41"/>
      <c r="C470" s="41"/>
      <c r="D470" s="1547"/>
      <c r="E470" s="1547"/>
      <c r="F470" s="1547"/>
      <c r="G470" s="1547"/>
      <c r="H470" s="1547"/>
      <c r="I470" s="1547"/>
      <c r="J470" s="1547"/>
      <c r="K470" s="1547"/>
      <c r="L470" s="1547"/>
      <c r="M470" s="1547"/>
      <c r="N470" s="1547"/>
      <c r="O470" s="1547"/>
      <c r="P470" s="1547"/>
      <c r="Q470" s="1547"/>
      <c r="R470" s="1547"/>
      <c r="S470" s="1547"/>
      <c r="T470" s="1547"/>
      <c r="U470" s="1547"/>
      <c r="V470" s="1547"/>
      <c r="W470" s="1547"/>
      <c r="X470" s="1547"/>
      <c r="Y470" s="1547"/>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1282" t="s">
        <v>1071</v>
      </c>
      <c r="B473" s="1282"/>
      <c r="C473" s="1282"/>
      <c r="D473" s="1282"/>
      <c r="E473" s="1282"/>
      <c r="F473" s="1282"/>
      <c r="G473" s="1282"/>
      <c r="H473" s="1282"/>
      <c r="I473" s="1282"/>
      <c r="J473" s="1282"/>
      <c r="K473" s="1282"/>
      <c r="L473" s="1282"/>
      <c r="M473" s="1282"/>
      <c r="N473" s="1282"/>
      <c r="O473" s="1282"/>
      <c r="P473" s="1282"/>
      <c r="Q473" s="1282"/>
      <c r="R473" s="1282"/>
      <c r="S473" s="1282"/>
      <c r="T473" s="1282"/>
      <c r="U473" s="1282"/>
      <c r="V473" s="1282"/>
      <c r="W473" s="1282"/>
      <c r="X473" s="1282"/>
      <c r="Y473" s="1282"/>
      <c r="Z473" s="1282"/>
      <c r="AA473" s="1282"/>
      <c r="AB473" s="1282"/>
      <c r="AC473" s="1282"/>
      <c r="AD473" s="1282"/>
      <c r="AE473" s="1282"/>
      <c r="AF473" s="1282"/>
      <c r="AG473" s="1282"/>
      <c r="AH473" s="1282"/>
      <c r="AI473" s="1282"/>
      <c r="AJ473" s="1282"/>
      <c r="AK473" s="1282"/>
      <c r="AL473" s="1282"/>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thickBot="1">
      <c r="A474" s="1283"/>
      <c r="B474" s="1283"/>
      <c r="C474" s="1283"/>
      <c r="D474" s="1283"/>
      <c r="E474" s="1283"/>
      <c r="F474" s="1283"/>
      <c r="G474" s="1283"/>
      <c r="H474" s="1283"/>
      <c r="I474" s="1283"/>
      <c r="J474" s="1283"/>
      <c r="K474" s="1283"/>
      <c r="L474" s="1283"/>
      <c r="M474" s="1283"/>
      <c r="N474" s="1283"/>
      <c r="O474" s="1283"/>
      <c r="P474" s="1283"/>
      <c r="Q474" s="1283"/>
      <c r="R474" s="1283"/>
      <c r="S474" s="1283"/>
      <c r="T474" s="1283"/>
      <c r="U474" s="1283"/>
      <c r="V474" s="1283"/>
      <c r="W474" s="1283"/>
      <c r="X474" s="1283"/>
      <c r="Y474" s="1283"/>
      <c r="Z474" s="1283"/>
      <c r="AA474" s="1283"/>
      <c r="AB474" s="1283"/>
      <c r="AC474" s="1283"/>
      <c r="AD474" s="1283"/>
      <c r="AE474" s="1283"/>
      <c r="AF474" s="1283"/>
      <c r="AG474" s="1283"/>
      <c r="AH474" s="1283"/>
      <c r="AI474" s="1283"/>
      <c r="AJ474" s="1283"/>
      <c r="AK474" s="1283"/>
      <c r="AL474" s="1283"/>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B478" s="8"/>
      <c r="C478" s="9"/>
      <c r="D478" s="9"/>
      <c r="E478" s="9"/>
      <c r="F478" s="9"/>
      <c r="G478" s="9"/>
      <c r="H478" s="9"/>
      <c r="I478" s="9"/>
      <c r="J478" s="9"/>
      <c r="K478" s="9"/>
      <c r="L478" s="9"/>
      <c r="M478" s="9"/>
      <c r="N478" s="9"/>
      <c r="O478" s="9"/>
      <c r="P478" s="52"/>
      <c r="Q478" s="1384" t="s">
        <v>251</v>
      </c>
      <c r="R478" s="1385"/>
      <c r="S478" s="1385"/>
      <c r="T478" s="1385"/>
      <c r="U478" s="1385"/>
      <c r="V478" s="1385"/>
      <c r="W478" s="1385"/>
      <c r="X478" s="1385"/>
      <c r="Y478" s="1385"/>
      <c r="Z478" s="1385"/>
      <c r="AA478" s="1385"/>
      <c r="AB478" s="1385"/>
      <c r="AC478" s="1385"/>
      <c r="AD478" s="1385"/>
      <c r="AE478" s="1385"/>
      <c r="AF478" s="1385"/>
      <c r="AG478" s="1385"/>
      <c r="AH478" s="1385"/>
      <c r="AI478" s="1385"/>
      <c r="AJ478" s="1385"/>
      <c r="AK478" s="1386"/>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B479" s="8" t="s">
        <v>252</v>
      </c>
      <c r="C479" s="9"/>
      <c r="D479" s="9"/>
      <c r="E479" s="9"/>
      <c r="F479" s="9"/>
      <c r="G479" s="9"/>
      <c r="H479" s="9"/>
      <c r="I479" s="9"/>
      <c r="J479" s="9"/>
      <c r="K479" s="9"/>
      <c r="L479" s="9"/>
      <c r="M479" s="9"/>
      <c r="N479" s="9"/>
      <c r="O479" s="9"/>
      <c r="P479" s="9"/>
      <c r="Q479" s="1161" t="s">
        <v>2408</v>
      </c>
      <c r="R479" s="1085"/>
      <c r="S479" s="1085"/>
      <c r="T479" s="1085"/>
      <c r="U479" s="1085"/>
      <c r="V479" s="1085"/>
      <c r="W479" s="1085"/>
      <c r="X479" s="1085"/>
      <c r="Y479" s="1085"/>
      <c r="Z479" s="1085"/>
      <c r="AA479" s="1085"/>
      <c r="AB479" s="1085"/>
      <c r="AC479" s="1085"/>
      <c r="AD479" s="1085"/>
      <c r="AE479" s="1085"/>
      <c r="AF479" s="1085"/>
      <c r="AG479" s="1085"/>
      <c r="AH479" s="1085"/>
      <c r="AI479" s="1085"/>
      <c r="AJ479" s="1085"/>
      <c r="AK479" s="1162"/>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8" t="s">
        <v>253</v>
      </c>
      <c r="C480" s="9"/>
      <c r="D480" s="9"/>
      <c r="E480" s="9"/>
      <c r="F480" s="9"/>
      <c r="G480" s="9"/>
      <c r="H480" s="9"/>
      <c r="I480" s="9"/>
      <c r="J480" s="9"/>
      <c r="K480" s="9"/>
      <c r="L480" s="9"/>
      <c r="M480" s="9"/>
      <c r="N480" s="9"/>
      <c r="O480" s="9"/>
      <c r="P480" s="9"/>
      <c r="Q480" s="1161" t="s">
        <v>2409</v>
      </c>
      <c r="R480" s="1085"/>
      <c r="S480" s="1085"/>
      <c r="T480" s="1085"/>
      <c r="U480" s="1085"/>
      <c r="V480" s="1085"/>
      <c r="W480" s="1085"/>
      <c r="X480" s="1085"/>
      <c r="Y480" s="1085"/>
      <c r="Z480" s="1085"/>
      <c r="AA480" s="1085"/>
      <c r="AB480" s="1085"/>
      <c r="AC480" s="1085"/>
      <c r="AD480" s="1085"/>
      <c r="AE480" s="1085"/>
      <c r="AF480" s="1085"/>
      <c r="AG480" s="1085"/>
      <c r="AH480" s="1085"/>
      <c r="AI480" s="1085"/>
      <c r="AJ480" s="1085"/>
      <c r="AK480" s="1162"/>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t="s">
        <v>254</v>
      </c>
      <c r="C481" s="9"/>
      <c r="D481" s="9"/>
      <c r="E481" s="9"/>
      <c r="F481" s="9"/>
      <c r="G481" s="9"/>
      <c r="H481" s="9"/>
      <c r="I481" s="9"/>
      <c r="J481" s="9"/>
      <c r="K481" s="9"/>
      <c r="L481" s="9"/>
      <c r="M481" s="9"/>
      <c r="N481" s="9"/>
      <c r="O481" s="9"/>
      <c r="P481" s="9"/>
      <c r="Q481" s="1161" t="s">
        <v>2410</v>
      </c>
      <c r="R481" s="1085"/>
      <c r="S481" s="1085"/>
      <c r="T481" s="1085"/>
      <c r="U481" s="1085"/>
      <c r="V481" s="1085"/>
      <c r="W481" s="1085"/>
      <c r="X481" s="1085"/>
      <c r="Y481" s="1085"/>
      <c r="Z481" s="1085"/>
      <c r="AA481" s="1085"/>
      <c r="AB481" s="1085"/>
      <c r="AC481" s="1085"/>
      <c r="AD481" s="1085"/>
      <c r="AE481" s="1085"/>
      <c r="AF481" s="1085"/>
      <c r="AG481" s="1085"/>
      <c r="AH481" s="1085"/>
      <c r="AI481" s="1085"/>
      <c r="AJ481" s="1085"/>
      <c r="AK481" s="116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1409" t="s">
        <v>255</v>
      </c>
      <c r="C482" s="1410"/>
      <c r="D482" s="1410"/>
      <c r="E482" s="1410"/>
      <c r="F482" s="1410"/>
      <c r="G482" s="1410"/>
      <c r="H482" s="1410"/>
      <c r="I482" s="1410"/>
      <c r="J482" s="1410"/>
      <c r="K482" s="1410"/>
      <c r="L482" s="1410"/>
      <c r="M482" s="1410"/>
      <c r="N482" s="1410"/>
      <c r="O482" s="1410"/>
      <c r="P482" s="1411"/>
      <c r="Q482" s="1476" t="s">
        <v>115</v>
      </c>
      <c r="R482" s="1477"/>
      <c r="S482" s="1480" t="s">
        <v>2463</v>
      </c>
      <c r="T482" s="1481"/>
      <c r="U482" s="1481"/>
      <c r="V482" s="1481"/>
      <c r="W482" s="1481"/>
      <c r="X482" s="1481"/>
      <c r="Y482" s="1481"/>
      <c r="Z482" s="1481"/>
      <c r="AA482" s="1481"/>
      <c r="AB482" s="1481"/>
      <c r="AC482" s="1481"/>
      <c r="AD482" s="1481"/>
      <c r="AE482" s="1481"/>
      <c r="AF482" s="1481"/>
      <c r="AG482" s="1481"/>
      <c r="AH482" s="1481"/>
      <c r="AI482" s="1481"/>
      <c r="AJ482" s="1481"/>
      <c r="AK482" s="148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1412"/>
      <c r="C483" s="1413"/>
      <c r="D483" s="1413"/>
      <c r="E483" s="1413"/>
      <c r="F483" s="1413"/>
      <c r="G483" s="1413"/>
      <c r="H483" s="1413"/>
      <c r="I483" s="1413"/>
      <c r="J483" s="1413"/>
      <c r="K483" s="1413"/>
      <c r="L483" s="1413"/>
      <c r="M483" s="1413"/>
      <c r="N483" s="1413"/>
      <c r="O483" s="1413"/>
      <c r="P483" s="1414"/>
      <c r="Q483" s="1478"/>
      <c r="R483" s="1479"/>
      <c r="S483" s="1483"/>
      <c r="T483" s="1484"/>
      <c r="U483" s="1484"/>
      <c r="V483" s="1484"/>
      <c r="W483" s="1484"/>
      <c r="X483" s="1484"/>
      <c r="Y483" s="1484"/>
      <c r="Z483" s="1484"/>
      <c r="AA483" s="1484"/>
      <c r="AB483" s="1484"/>
      <c r="AC483" s="1484"/>
      <c r="AD483" s="1484"/>
      <c r="AE483" s="1484"/>
      <c r="AF483" s="1484"/>
      <c r="AG483" s="1484"/>
      <c r="AH483" s="1484"/>
      <c r="AI483" s="1484"/>
      <c r="AJ483" s="1484"/>
      <c r="AK483" s="148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40" t="s">
        <v>2334</v>
      </c>
      <c r="C484" s="821"/>
      <c r="D484" s="821"/>
      <c r="E484" s="821"/>
      <c r="F484" s="821"/>
      <c r="G484" s="821"/>
      <c r="H484" s="821"/>
      <c r="I484" s="821"/>
      <c r="J484" s="821"/>
      <c r="K484" s="821"/>
      <c r="L484" s="821"/>
      <c r="M484" s="821"/>
      <c r="N484" s="821"/>
      <c r="O484" s="821"/>
      <c r="P484" s="821"/>
      <c r="Q484" s="1486" t="s">
        <v>509</v>
      </c>
      <c r="R484" s="1487"/>
      <c r="S484" s="1487"/>
      <c r="T484" s="1487"/>
      <c r="U484" s="1487"/>
      <c r="V484" s="1487"/>
      <c r="W484" s="1487"/>
      <c r="X484" s="1487"/>
      <c r="Y484" s="1487"/>
      <c r="Z484" s="1487"/>
      <c r="AA484" s="1487"/>
      <c r="AB484" s="1487"/>
      <c r="AC484" s="1487"/>
      <c r="AD484" s="1487"/>
      <c r="AE484" s="1487"/>
      <c r="AF484" s="1487"/>
      <c r="AG484" s="1487"/>
      <c r="AH484" s="1487"/>
      <c r="AI484" s="1487"/>
      <c r="AJ484" s="1487"/>
      <c r="AK484" s="148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8" t="s">
        <v>256</v>
      </c>
      <c r="C485" s="9"/>
      <c r="D485" s="9"/>
      <c r="E485" s="9"/>
      <c r="F485" s="9"/>
      <c r="G485" s="9"/>
      <c r="H485" s="9"/>
      <c r="I485" s="9"/>
      <c r="J485" s="9"/>
      <c r="K485" s="9"/>
      <c r="L485" s="9"/>
      <c r="M485" s="9"/>
      <c r="N485" s="9"/>
      <c r="O485" s="9"/>
      <c r="P485" s="9"/>
      <c r="Q485" s="1161" t="s">
        <v>2411</v>
      </c>
      <c r="R485" s="1085"/>
      <c r="S485" s="1085"/>
      <c r="T485" s="1085"/>
      <c r="U485" s="1085"/>
      <c r="V485" s="1085"/>
      <c r="W485" s="1085"/>
      <c r="X485" s="1085"/>
      <c r="Y485" s="1085"/>
      <c r="Z485" s="1085"/>
      <c r="AA485" s="1085"/>
      <c r="AB485" s="1085"/>
      <c r="AC485" s="1085"/>
      <c r="AD485" s="1085"/>
      <c r="AE485" s="1085"/>
      <c r="AF485" s="1085"/>
      <c r="AG485" s="1085"/>
      <c r="AH485" s="1085"/>
      <c r="AI485" s="1085"/>
      <c r="AJ485" s="1085"/>
      <c r="AK485" s="116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8" t="s">
        <v>257</v>
      </c>
      <c r="C486" s="9"/>
      <c r="D486" s="9"/>
      <c r="E486" s="9"/>
      <c r="F486" s="9"/>
      <c r="G486" s="9"/>
      <c r="H486" s="9"/>
      <c r="I486" s="9"/>
      <c r="J486" s="9"/>
      <c r="K486" s="9"/>
      <c r="L486" s="9"/>
      <c r="M486" s="9"/>
      <c r="N486" s="9"/>
      <c r="O486" s="9"/>
      <c r="P486" s="9"/>
      <c r="Q486" s="1161" t="s">
        <v>2412</v>
      </c>
      <c r="R486" s="1085"/>
      <c r="S486" s="1085"/>
      <c r="T486" s="1085"/>
      <c r="U486" s="1085"/>
      <c r="V486" s="1085"/>
      <c r="W486" s="1085"/>
      <c r="X486" s="1085"/>
      <c r="Y486" s="1085"/>
      <c r="Z486" s="1085"/>
      <c r="AA486" s="1085"/>
      <c r="AB486" s="1085"/>
      <c r="AC486" s="1085"/>
      <c r="AD486" s="1085"/>
      <c r="AE486" s="1085"/>
      <c r="AF486" s="1085"/>
      <c r="AG486" s="1085"/>
      <c r="AH486" s="1085"/>
      <c r="AI486" s="1085"/>
      <c r="AJ486" s="1085"/>
      <c r="AK486" s="116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214" t="s">
        <v>2076</v>
      </c>
      <c r="C487" s="9"/>
      <c r="D487" s="9"/>
      <c r="E487" s="9"/>
      <c r="F487" s="9"/>
      <c r="G487" s="9"/>
      <c r="H487" s="9"/>
      <c r="I487" s="9"/>
      <c r="J487" s="9"/>
      <c r="K487" s="9"/>
      <c r="L487" s="9"/>
      <c r="M487" s="9"/>
      <c r="N487" s="9"/>
      <c r="O487" s="9"/>
      <c r="P487" s="9"/>
      <c r="Q487" s="1161">
        <v>45</v>
      </c>
      <c r="R487" s="1085"/>
      <c r="S487" s="1085"/>
      <c r="T487" s="1085"/>
      <c r="U487" s="1085"/>
      <c r="V487" s="1085"/>
      <c r="W487" s="1085"/>
      <c r="X487" s="1085"/>
      <c r="Y487" s="1085"/>
      <c r="Z487" s="1085"/>
      <c r="AA487" s="1085"/>
      <c r="AB487" s="1085"/>
      <c r="AC487" s="1085"/>
      <c r="AD487" s="1085"/>
      <c r="AE487" s="1085"/>
      <c r="AF487" s="1085"/>
      <c r="AG487" s="1085"/>
      <c r="AH487" s="1085"/>
      <c r="AI487" s="1085"/>
      <c r="AJ487" s="1085"/>
      <c r="AK487" s="116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214" t="s">
        <v>2077</v>
      </c>
      <c r="C488" s="9"/>
      <c r="D488" s="9"/>
      <c r="E488" s="9"/>
      <c r="F488" s="9"/>
      <c r="G488" s="9"/>
      <c r="H488" s="9"/>
      <c r="I488" s="9"/>
      <c r="J488" s="9"/>
      <c r="K488" s="9"/>
      <c r="L488" s="9"/>
      <c r="M488" s="1049"/>
      <c r="N488" s="1050"/>
      <c r="O488" s="1050"/>
      <c r="P488" s="1051"/>
      <c r="Q488" s="214" t="s">
        <v>2078</v>
      </c>
      <c r="R488" s="9"/>
      <c r="S488" s="9"/>
      <c r="T488" s="9"/>
      <c r="U488" s="9"/>
      <c r="V488" s="9"/>
      <c r="W488" s="9"/>
      <c r="X488" s="9"/>
      <c r="Y488" s="9"/>
      <c r="Z488" s="9"/>
      <c r="AA488" s="9"/>
      <c r="AB488" s="9"/>
      <c r="AC488" s="9"/>
      <c r="AD488" s="9"/>
      <c r="AE488" s="9"/>
      <c r="AF488" s="9"/>
      <c r="AG488" s="9"/>
      <c r="AH488" s="1049">
        <v>45</v>
      </c>
      <c r="AI488" s="1050"/>
      <c r="AJ488" s="1050"/>
      <c r="AK488" s="105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4" t="s">
        <v>259</v>
      </c>
      <c r="AD492" s="1385"/>
      <c r="AE492" s="1385"/>
      <c r="AF492" s="1385"/>
      <c r="AG492" s="1385"/>
      <c r="AH492" s="1385"/>
      <c r="AI492" s="1385"/>
      <c r="AJ492" s="1385"/>
      <c r="AK492" s="138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4" t="s">
        <v>260</v>
      </c>
      <c r="AD493" s="1385"/>
      <c r="AE493" s="1385"/>
      <c r="AF493" s="1385"/>
      <c r="AG493" s="56" t="s">
        <v>261</v>
      </c>
      <c r="AH493" s="1385" t="s">
        <v>262</v>
      </c>
      <c r="AI493" s="1385"/>
      <c r="AJ493" s="1385"/>
      <c r="AK493" s="138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070" t="s">
        <v>263</v>
      </c>
      <c r="C494" s="1071"/>
      <c r="D494" s="1071"/>
      <c r="E494" s="1071"/>
      <c r="F494" s="1071"/>
      <c r="G494" s="1071"/>
      <c r="H494" s="1072"/>
      <c r="I494" s="7" t="s">
        <v>705</v>
      </c>
      <c r="J494" s="7"/>
      <c r="K494" s="7"/>
      <c r="L494" s="7"/>
      <c r="M494" s="7"/>
      <c r="N494" s="7"/>
      <c r="O494" s="7"/>
      <c r="P494" s="7"/>
      <c r="Q494" s="7"/>
      <c r="R494" s="7"/>
      <c r="S494" s="7"/>
      <c r="T494" s="7"/>
      <c r="U494" s="7"/>
      <c r="V494" s="7"/>
      <c r="W494" s="7"/>
      <c r="AC494" s="1383" t="s">
        <v>131</v>
      </c>
      <c r="AD494" s="1111"/>
      <c r="AE494" s="1111"/>
      <c r="AF494" s="1111"/>
      <c r="AG494" s="18" t="s">
        <v>261</v>
      </c>
      <c r="AH494" s="1099">
        <v>0</v>
      </c>
      <c r="AI494" s="1099"/>
      <c r="AJ494" s="1099"/>
      <c r="AK494" s="116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1073"/>
      <c r="C495" s="1074"/>
      <c r="D495" s="1074"/>
      <c r="E495" s="1074"/>
      <c r="F495" s="1074"/>
      <c r="G495" s="1074"/>
      <c r="H495" s="1075"/>
      <c r="I495" s="54" t="s">
        <v>706</v>
      </c>
      <c r="J495" s="54"/>
      <c r="K495" s="54"/>
      <c r="L495" s="54"/>
      <c r="M495" s="54"/>
      <c r="N495" s="54"/>
      <c r="O495" s="54"/>
      <c r="P495" s="54"/>
      <c r="Q495" s="54"/>
      <c r="R495" s="54"/>
      <c r="S495" s="54"/>
      <c r="T495" s="54"/>
      <c r="U495" s="54"/>
      <c r="V495" s="54"/>
      <c r="W495" s="54"/>
      <c r="X495" s="54"/>
      <c r="Y495" s="54"/>
      <c r="Z495" s="54"/>
      <c r="AA495" s="54"/>
      <c r="AB495" s="54"/>
      <c r="AC495" s="1383">
        <v>11</v>
      </c>
      <c r="AD495" s="1111"/>
      <c r="AE495" s="1111"/>
      <c r="AF495" s="1111"/>
      <c r="AG495" s="47" t="s">
        <v>261</v>
      </c>
      <c r="AH495" s="1099">
        <v>2023</v>
      </c>
      <c r="AI495" s="1099"/>
      <c r="AJ495" s="1099"/>
      <c r="AK495" s="116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1070" t="s">
        <v>707</v>
      </c>
      <c r="C496" s="1071"/>
      <c r="D496" s="1071"/>
      <c r="E496" s="1071"/>
      <c r="F496" s="1071"/>
      <c r="G496" s="1071"/>
      <c r="H496" s="1072"/>
      <c r="I496" s="7" t="s">
        <v>708</v>
      </c>
      <c r="J496" s="7"/>
      <c r="K496" s="7"/>
      <c r="L496" s="7"/>
      <c r="M496" s="7"/>
      <c r="N496" s="7"/>
      <c r="O496" s="7"/>
      <c r="P496" s="7"/>
      <c r="Q496" s="7"/>
      <c r="R496" s="7"/>
      <c r="S496" s="7"/>
      <c r="T496" s="7"/>
      <c r="U496" s="7"/>
      <c r="V496" s="7"/>
      <c r="W496" s="7"/>
      <c r="AC496" s="1383" t="s">
        <v>131</v>
      </c>
      <c r="AD496" s="1111"/>
      <c r="AE496" s="1111"/>
      <c r="AF496" s="1111"/>
      <c r="AG496" s="18" t="s">
        <v>261</v>
      </c>
      <c r="AH496" s="1099"/>
      <c r="AI496" s="1099"/>
      <c r="AJ496" s="1099"/>
      <c r="AK496" s="116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073"/>
      <c r="C497" s="1074"/>
      <c r="D497" s="1074"/>
      <c r="E497" s="1074"/>
      <c r="F497" s="1074"/>
      <c r="G497" s="1074"/>
      <c r="H497" s="1075"/>
      <c r="I497" t="s">
        <v>709</v>
      </c>
      <c r="AC497" s="1383" t="s">
        <v>131</v>
      </c>
      <c r="AD497" s="1111"/>
      <c r="AE497" s="1111"/>
      <c r="AF497" s="1111"/>
      <c r="AG497" s="18" t="s">
        <v>261</v>
      </c>
      <c r="AH497" s="1099"/>
      <c r="AI497" s="1099"/>
      <c r="AJ497" s="1099"/>
      <c r="AK497" s="116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073"/>
      <c r="C498" s="1074"/>
      <c r="D498" s="1074"/>
      <c r="E498" s="1074"/>
      <c r="F498" s="1074"/>
      <c r="G498" s="1074"/>
      <c r="H498" s="1075"/>
      <c r="I498" t="s">
        <v>710</v>
      </c>
      <c r="AC498" s="1383" t="s">
        <v>131</v>
      </c>
      <c r="AD498" s="1111"/>
      <c r="AE498" s="1111"/>
      <c r="AF498" s="1111"/>
      <c r="AG498" s="18" t="s">
        <v>261</v>
      </c>
      <c r="AH498" s="1099"/>
      <c r="AI498" s="1099"/>
      <c r="AJ498" s="1099"/>
      <c r="AK498" s="116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073"/>
      <c r="C499" s="1074"/>
      <c r="D499" s="1074"/>
      <c r="E499" s="1074"/>
      <c r="F499" s="1074"/>
      <c r="G499" s="1074"/>
      <c r="H499" s="1075"/>
      <c r="I499" t="s">
        <v>711</v>
      </c>
      <c r="AC499" s="1383">
        <v>5</v>
      </c>
      <c r="AD499" s="1111"/>
      <c r="AE499" s="1111"/>
      <c r="AF499" s="1111"/>
      <c r="AG499" s="18" t="s">
        <v>261</v>
      </c>
      <c r="AH499" s="1099">
        <v>2024</v>
      </c>
      <c r="AI499" s="1099"/>
      <c r="AJ499" s="1099"/>
      <c r="AK499" s="116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073"/>
      <c r="C500" s="1074"/>
      <c r="D500" s="1074"/>
      <c r="E500" s="1074"/>
      <c r="F500" s="1074"/>
      <c r="G500" s="1074"/>
      <c r="H500" s="1075"/>
      <c r="I500" s="41" t="s">
        <v>712</v>
      </c>
      <c r="AC500" s="1219">
        <v>5</v>
      </c>
      <c r="AD500" s="1220"/>
      <c r="AE500" s="1220"/>
      <c r="AF500" s="1220"/>
      <c r="AG500" s="18" t="s">
        <v>261</v>
      </c>
      <c r="AH500" s="1099">
        <v>2024</v>
      </c>
      <c r="AI500" s="1099"/>
      <c r="AJ500" s="1099"/>
      <c r="AK500" s="116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073"/>
      <c r="C501" s="1074"/>
      <c r="D501" s="1074"/>
      <c r="E501" s="1074"/>
      <c r="F501" s="1074"/>
      <c r="G501" s="1074"/>
      <c r="H501" s="1075"/>
      <c r="I501" s="414" t="s">
        <v>296</v>
      </c>
      <c r="J501" s="54"/>
      <c r="K501" s="54"/>
      <c r="L501" s="1427" t="s">
        <v>591</v>
      </c>
      <c r="M501" s="1424"/>
      <c r="N501" s="1424"/>
      <c r="O501" s="1424"/>
      <c r="P501" s="1424"/>
      <c r="Q501" s="1424"/>
      <c r="R501" s="1424"/>
      <c r="S501" s="1424"/>
      <c r="T501" s="1424"/>
      <c r="U501" s="1424"/>
      <c r="V501" s="1424"/>
      <c r="W501" s="1424"/>
      <c r="X501" s="1424"/>
      <c r="Y501" s="1424"/>
      <c r="Z501" s="1424"/>
      <c r="AA501" s="1424"/>
      <c r="AB501" s="1466"/>
      <c r="AC501" s="1428" t="s">
        <v>131</v>
      </c>
      <c r="AD501" s="1289"/>
      <c r="AE501" s="1289"/>
      <c r="AF501" s="1289"/>
      <c r="AG501" s="47" t="s">
        <v>261</v>
      </c>
      <c r="AH501" s="1099"/>
      <c r="AI501" s="1099"/>
      <c r="AJ501" s="1099"/>
      <c r="AK501" s="116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073"/>
      <c r="C502" s="1074"/>
      <c r="D502" s="1074"/>
      <c r="E502" s="1074"/>
      <c r="F502" s="1074"/>
      <c r="G502" s="1074"/>
      <c r="H502" s="1075"/>
      <c r="I502" s="41" t="s">
        <v>2079</v>
      </c>
      <c r="AC502" s="1395" t="s">
        <v>2071</v>
      </c>
      <c r="AD502" s="1395"/>
      <c r="AE502" s="1395"/>
      <c r="AF502" s="1395"/>
      <c r="AG502" s="18"/>
      <c r="AH502" s="1017"/>
      <c r="AI502" s="1017"/>
      <c r="AJ502" s="1017"/>
      <c r="AK502" s="139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073"/>
      <c r="C503" s="1074"/>
      <c r="D503" s="1074"/>
      <c r="E503" s="1074"/>
      <c r="F503" s="1074"/>
      <c r="G503" s="1074"/>
      <c r="H503" s="1075"/>
      <c r="I503" t="s">
        <v>2080</v>
      </c>
      <c r="AC503" s="1219"/>
      <c r="AD503" s="1220"/>
      <c r="AE503" s="1220"/>
      <c r="AF503" s="1221"/>
      <c r="AG503" s="18"/>
      <c r="AH503" s="1017"/>
      <c r="AI503" s="1017"/>
      <c r="AJ503" s="1017"/>
      <c r="AK503" s="139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073"/>
      <c r="C504" s="1074"/>
      <c r="D504" s="1074"/>
      <c r="E504" s="1074"/>
      <c r="F504" s="1074"/>
      <c r="G504" s="1074"/>
      <c r="H504" s="1075"/>
      <c r="I504" t="s">
        <v>2081</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073"/>
      <c r="C505" s="1074"/>
      <c r="D505" s="1074"/>
      <c r="E505" s="1074"/>
      <c r="F505" s="1074"/>
      <c r="G505" s="1074"/>
      <c r="H505" s="1075"/>
      <c r="I505" s="845" t="s">
        <v>2082</v>
      </c>
      <c r="J505" s="54"/>
      <c r="K505" s="54"/>
      <c r="L505" s="54"/>
      <c r="M505" s="54"/>
      <c r="N505" s="54"/>
      <c r="O505" s="54"/>
      <c r="P505" s="54"/>
      <c r="Q505" s="54"/>
      <c r="R505" s="54"/>
      <c r="S505" s="54"/>
      <c r="T505" s="54"/>
      <c r="U505" s="54"/>
      <c r="V505" s="54"/>
      <c r="W505" s="54"/>
      <c r="X505" s="54"/>
      <c r="Y505" s="54"/>
      <c r="Z505" s="54"/>
      <c r="AA505" s="54"/>
      <c r="AB505" s="54"/>
      <c r="AC505" s="1471"/>
      <c r="AD505" s="1472"/>
      <c r="AE505" s="1472"/>
      <c r="AF505" s="1473"/>
      <c r="AG505" s="47"/>
      <c r="AH505" s="1448"/>
      <c r="AI505" s="1448"/>
      <c r="AJ505" s="1448"/>
      <c r="AK505" s="144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070" t="s">
        <v>713</v>
      </c>
      <c r="C506" s="1071"/>
      <c r="D506" s="1071"/>
      <c r="E506" s="1071"/>
      <c r="F506" s="1071"/>
      <c r="G506" s="1071"/>
      <c r="H506" s="1072"/>
      <c r="I506" s="7" t="s">
        <v>714</v>
      </c>
      <c r="J506" s="7"/>
      <c r="K506" s="7"/>
      <c r="L506" s="7"/>
      <c r="M506" s="7"/>
      <c r="N506" s="7"/>
      <c r="O506" s="7"/>
      <c r="P506" s="7"/>
      <c r="Q506" s="7"/>
      <c r="R506" s="7"/>
      <c r="S506" s="7"/>
      <c r="T506" s="7"/>
      <c r="U506" s="7"/>
      <c r="V506" s="7"/>
      <c r="W506" s="7"/>
      <c r="AC506" s="1383">
        <v>7</v>
      </c>
      <c r="AD506" s="1111"/>
      <c r="AE506" s="1111"/>
      <c r="AF506" s="1111"/>
      <c r="AG506" s="18" t="s">
        <v>261</v>
      </c>
      <c r="AH506" s="1099">
        <v>2023</v>
      </c>
      <c r="AI506" s="1099"/>
      <c r="AJ506" s="1099"/>
      <c r="AK506" s="116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073"/>
      <c r="C507" s="1074"/>
      <c r="D507" s="1074"/>
      <c r="E507" s="1074"/>
      <c r="F507" s="1074"/>
      <c r="G507" s="1074"/>
      <c r="H507" s="1075"/>
      <c r="I507" t="s">
        <v>715</v>
      </c>
      <c r="AC507" s="1383">
        <v>8</v>
      </c>
      <c r="AD507" s="1111"/>
      <c r="AE507" s="1111"/>
      <c r="AF507" s="1111"/>
      <c r="AG507" s="18" t="s">
        <v>261</v>
      </c>
      <c r="AH507" s="1099">
        <v>2023</v>
      </c>
      <c r="AI507" s="1099"/>
      <c r="AJ507" s="1099"/>
      <c r="AK507" s="116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073"/>
      <c r="C508" s="1074"/>
      <c r="D508" s="1074"/>
      <c r="E508" s="1074"/>
      <c r="F508" s="1074"/>
      <c r="G508" s="1074"/>
      <c r="H508" s="1075"/>
      <c r="I508" s="54" t="s">
        <v>716</v>
      </c>
      <c r="J508" s="54"/>
      <c r="K508" s="54"/>
      <c r="L508" s="54"/>
      <c r="M508" s="54"/>
      <c r="N508" s="54"/>
      <c r="O508" s="54"/>
      <c r="P508" s="54"/>
      <c r="Q508" s="54"/>
      <c r="R508" s="54"/>
      <c r="S508" s="54"/>
      <c r="T508" s="54"/>
      <c r="U508" s="54"/>
      <c r="V508" s="54"/>
      <c r="W508" s="54"/>
      <c r="X508" s="54"/>
      <c r="Y508" s="54"/>
      <c r="Z508" s="54"/>
      <c r="AA508" s="54"/>
      <c r="AB508" s="54"/>
      <c r="AC508" s="1383">
        <v>5</v>
      </c>
      <c r="AD508" s="1111"/>
      <c r="AE508" s="1111"/>
      <c r="AF508" s="1111"/>
      <c r="AG508" s="47" t="s">
        <v>261</v>
      </c>
      <c r="AH508" s="1099">
        <v>2024</v>
      </c>
      <c r="AI508" s="1099"/>
      <c r="AJ508" s="1099"/>
      <c r="AK508" s="116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070" t="s">
        <v>717</v>
      </c>
      <c r="C509" s="1071"/>
      <c r="D509" s="1071"/>
      <c r="E509" s="1071"/>
      <c r="F509" s="1071"/>
      <c r="G509" s="1071"/>
      <c r="H509" s="1072"/>
      <c r="I509" s="7" t="s">
        <v>714</v>
      </c>
      <c r="J509" s="7"/>
      <c r="K509" s="7"/>
      <c r="L509" s="7"/>
      <c r="M509" s="7"/>
      <c r="N509" s="7"/>
      <c r="O509" s="7"/>
      <c r="P509" s="7"/>
      <c r="Q509" s="7"/>
      <c r="R509" s="7"/>
      <c r="S509" s="7"/>
      <c r="T509" s="7"/>
      <c r="U509" s="7"/>
      <c r="V509" s="7"/>
      <c r="W509" s="7"/>
      <c r="X509" s="7"/>
      <c r="Y509" s="7"/>
      <c r="Z509" s="7"/>
      <c r="AA509" s="7"/>
      <c r="AB509" s="7"/>
      <c r="AC509" s="1272">
        <v>7</v>
      </c>
      <c r="AD509" s="1273"/>
      <c r="AE509" s="1273"/>
      <c r="AF509" s="1273"/>
      <c r="AG509" s="230" t="s">
        <v>261</v>
      </c>
      <c r="AH509" s="1099">
        <v>2023</v>
      </c>
      <c r="AI509" s="1099"/>
      <c r="AJ509" s="1099"/>
      <c r="AK509" s="116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073"/>
      <c r="C510" s="1074"/>
      <c r="D510" s="1074"/>
      <c r="E510" s="1074"/>
      <c r="F510" s="1074"/>
      <c r="G510" s="1074"/>
      <c r="H510" s="1075"/>
      <c r="I510" t="s">
        <v>715</v>
      </c>
      <c r="AC510" s="1383">
        <v>8</v>
      </c>
      <c r="AD510" s="1111"/>
      <c r="AE510" s="1111"/>
      <c r="AF510" s="1111"/>
      <c r="AG510" s="18" t="s">
        <v>261</v>
      </c>
      <c r="AH510" s="1099">
        <v>2023</v>
      </c>
      <c r="AI510" s="1099"/>
      <c r="AJ510" s="1099"/>
      <c r="AK510" s="116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076"/>
      <c r="C511" s="1077"/>
      <c r="D511" s="1077"/>
      <c r="E511" s="1077"/>
      <c r="F511" s="1077"/>
      <c r="G511" s="1077"/>
      <c r="H511" s="1078"/>
      <c r="I511" s="54" t="s">
        <v>716</v>
      </c>
      <c r="J511" s="54"/>
      <c r="K511" s="54"/>
      <c r="L511" s="54"/>
      <c r="M511" s="54"/>
      <c r="N511" s="54"/>
      <c r="O511" s="54"/>
      <c r="P511" s="54"/>
      <c r="Q511" s="54"/>
      <c r="R511" s="54"/>
      <c r="S511" s="54"/>
      <c r="T511" s="54"/>
      <c r="U511" s="54"/>
      <c r="V511" s="54"/>
      <c r="W511" s="54"/>
      <c r="X511" s="54"/>
      <c r="Y511" s="54"/>
      <c r="Z511" s="54"/>
      <c r="AA511" s="54"/>
      <c r="AB511" s="54"/>
      <c r="AC511" s="1383">
        <v>5</v>
      </c>
      <c r="AD511" s="1111"/>
      <c r="AE511" s="1111"/>
      <c r="AF511" s="1111"/>
      <c r="AG511" s="47" t="s">
        <v>261</v>
      </c>
      <c r="AH511" s="1099">
        <v>2026</v>
      </c>
      <c r="AI511" s="1099"/>
      <c r="AJ511" s="1099"/>
      <c r="AK511" s="116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070" t="s">
        <v>718</v>
      </c>
      <c r="C512" s="1071"/>
      <c r="D512" s="1071"/>
      <c r="E512" s="1071"/>
      <c r="F512" s="1071"/>
      <c r="G512" s="1071"/>
      <c r="H512" s="1072"/>
      <c r="I512" s="6" t="s">
        <v>719</v>
      </c>
      <c r="J512" s="7"/>
      <c r="K512" s="7"/>
      <c r="L512" s="7"/>
      <c r="M512" s="7"/>
      <c r="N512" s="7"/>
      <c r="O512" s="1427" t="s">
        <v>591</v>
      </c>
      <c r="P512" s="1424"/>
      <c r="Q512" s="1424"/>
      <c r="R512" s="1424"/>
      <c r="S512" s="1424"/>
      <c r="T512" s="1424"/>
      <c r="U512" s="1424"/>
      <c r="V512" s="1424"/>
      <c r="W512" s="1424"/>
      <c r="X512" s="1424"/>
      <c r="Y512" s="1424"/>
      <c r="Z512" s="1424"/>
      <c r="AA512" s="1424"/>
      <c r="AB512" s="64"/>
      <c r="AC512" s="1272" t="s">
        <v>131</v>
      </c>
      <c r="AD512" s="1273"/>
      <c r="AE512" s="1273"/>
      <c r="AF512" s="1273"/>
      <c r="AG512" s="230" t="s">
        <v>261</v>
      </c>
      <c r="AH512" s="1099"/>
      <c r="AI512" s="1099"/>
      <c r="AJ512" s="1099"/>
      <c r="AK512" s="116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073"/>
      <c r="C513" s="1074"/>
      <c r="D513" s="1074"/>
      <c r="E513" s="1074"/>
      <c r="F513" s="1074"/>
      <c r="G513" s="1074"/>
      <c r="H513" s="1075"/>
      <c r="I513" s="204" t="s">
        <v>720</v>
      </c>
      <c r="AB513" s="71"/>
      <c r="AC513" s="1383" t="s">
        <v>131</v>
      </c>
      <c r="AD513" s="1111"/>
      <c r="AE513" s="1111"/>
      <c r="AF513" s="1111"/>
      <c r="AG513" s="18" t="s">
        <v>261</v>
      </c>
      <c r="AH513" s="1099"/>
      <c r="AI513" s="1099"/>
      <c r="AJ513" s="1099"/>
      <c r="AK513" s="116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073"/>
      <c r="C514" s="1074"/>
      <c r="D514" s="1074"/>
      <c r="E514" s="1074"/>
      <c r="F514" s="1074"/>
      <c r="G514" s="1074"/>
      <c r="H514" s="1075"/>
      <c r="I514" s="53" t="s">
        <v>721</v>
      </c>
      <c r="J514" s="54"/>
      <c r="K514" s="54"/>
      <c r="L514" s="54"/>
      <c r="M514" s="54"/>
      <c r="N514" s="54"/>
      <c r="O514" s="54"/>
      <c r="P514" s="54"/>
      <c r="Q514" s="54"/>
      <c r="R514" s="54"/>
      <c r="S514" s="54"/>
      <c r="T514" s="54"/>
      <c r="U514" s="54"/>
      <c r="V514" s="54"/>
      <c r="W514" s="54"/>
      <c r="X514" s="54"/>
      <c r="Y514" s="54"/>
      <c r="Z514" s="54"/>
      <c r="AA514" s="54"/>
      <c r="AB514" s="55"/>
      <c r="AC514" s="1383" t="s">
        <v>131</v>
      </c>
      <c r="AD514" s="1111"/>
      <c r="AE514" s="1111"/>
      <c r="AF514" s="1111"/>
      <c r="AG514" s="47" t="s">
        <v>261</v>
      </c>
      <c r="AH514" s="1099"/>
      <c r="AI514" s="1099"/>
      <c r="AJ514" s="1099"/>
      <c r="AK514" s="1164"/>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073"/>
      <c r="C515" s="1074"/>
      <c r="D515" s="1074"/>
      <c r="E515" s="1074"/>
      <c r="F515" s="1074"/>
      <c r="G515" s="1074"/>
      <c r="H515" s="1075"/>
      <c r="I515" s="7" t="s">
        <v>722</v>
      </c>
      <c r="J515" s="7"/>
      <c r="K515" s="7"/>
      <c r="L515" s="7"/>
      <c r="M515" s="7"/>
      <c r="N515" s="7"/>
      <c r="O515" s="1427" t="s">
        <v>591</v>
      </c>
      <c r="P515" s="1424"/>
      <c r="Q515" s="1424"/>
      <c r="R515" s="1424"/>
      <c r="S515" s="1424"/>
      <c r="T515" s="1424"/>
      <c r="U515" s="1424"/>
      <c r="V515" s="1424"/>
      <c r="W515" s="1424"/>
      <c r="X515" s="1424"/>
      <c r="Y515" s="1424"/>
      <c r="Z515" s="1424"/>
      <c r="AA515" s="1424"/>
      <c r="AC515" s="1383" t="s">
        <v>131</v>
      </c>
      <c r="AD515" s="1111"/>
      <c r="AE515" s="1111"/>
      <c r="AF515" s="1111"/>
      <c r="AG515" s="18" t="s">
        <v>261</v>
      </c>
      <c r="AH515" s="1099"/>
      <c r="AI515" s="1099"/>
      <c r="AJ515" s="1099"/>
      <c r="AK515" s="1164"/>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073"/>
      <c r="C516" s="1074"/>
      <c r="D516" s="1074"/>
      <c r="E516" s="1074"/>
      <c r="F516" s="1074"/>
      <c r="G516" s="1074"/>
      <c r="H516" s="1075"/>
      <c r="I516" t="s">
        <v>720</v>
      </c>
      <c r="AC516" s="1383" t="s">
        <v>131</v>
      </c>
      <c r="AD516" s="1111"/>
      <c r="AE516" s="1111"/>
      <c r="AF516" s="1111"/>
      <c r="AG516" s="18" t="s">
        <v>261</v>
      </c>
      <c r="AH516" s="1099"/>
      <c r="AI516" s="1099"/>
      <c r="AJ516" s="1099"/>
      <c r="AK516" s="1164"/>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073"/>
      <c r="C517" s="1074"/>
      <c r="D517" s="1074"/>
      <c r="E517" s="1074"/>
      <c r="F517" s="1074"/>
      <c r="G517" s="1074"/>
      <c r="H517" s="1075"/>
      <c r="I517" s="54" t="s">
        <v>721</v>
      </c>
      <c r="J517" s="54"/>
      <c r="K517" s="54"/>
      <c r="L517" s="54"/>
      <c r="M517" s="54"/>
      <c r="N517" s="54"/>
      <c r="O517" s="54"/>
      <c r="P517" s="54"/>
      <c r="Q517" s="54"/>
      <c r="R517" s="54"/>
      <c r="S517" s="54"/>
      <c r="T517" s="54"/>
      <c r="U517" s="54"/>
      <c r="V517" s="54"/>
      <c r="W517" s="54"/>
      <c r="X517" s="54"/>
      <c r="Y517" s="54"/>
      <c r="Z517" s="54"/>
      <c r="AA517" s="54"/>
      <c r="AB517" s="54"/>
      <c r="AC517" s="1383" t="s">
        <v>131</v>
      </c>
      <c r="AD517" s="1111"/>
      <c r="AE517" s="1111"/>
      <c r="AF517" s="1111"/>
      <c r="AG517" s="47" t="s">
        <v>261</v>
      </c>
      <c r="AH517" s="1099"/>
      <c r="AI517" s="1099"/>
      <c r="AJ517" s="1099"/>
      <c r="AK517" s="1164"/>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073"/>
      <c r="C518" s="1074"/>
      <c r="D518" s="1074"/>
      <c r="E518" s="1074"/>
      <c r="F518" s="1074"/>
      <c r="G518" s="1074"/>
      <c r="H518" s="1075"/>
      <c r="I518" s="7" t="s">
        <v>722</v>
      </c>
      <c r="J518" s="7"/>
      <c r="K518" s="7"/>
      <c r="L518" s="7"/>
      <c r="M518" s="7"/>
      <c r="N518" s="7"/>
      <c r="O518" s="1427" t="s">
        <v>591</v>
      </c>
      <c r="P518" s="1424"/>
      <c r="Q518" s="1424"/>
      <c r="R518" s="1424"/>
      <c r="S518" s="1424"/>
      <c r="T518" s="1424"/>
      <c r="U518" s="1424"/>
      <c r="V518" s="1424"/>
      <c r="W518" s="1424"/>
      <c r="X518" s="1424"/>
      <c r="Y518" s="1424"/>
      <c r="Z518" s="1424"/>
      <c r="AA518" s="1424"/>
      <c r="AC518" s="1383" t="s">
        <v>131</v>
      </c>
      <c r="AD518" s="1111"/>
      <c r="AE518" s="1111"/>
      <c r="AF518" s="1111"/>
      <c r="AG518" s="18" t="s">
        <v>261</v>
      </c>
      <c r="AH518" s="1099"/>
      <c r="AI518" s="1099"/>
      <c r="AJ518" s="1099"/>
      <c r="AK518" s="1164"/>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073"/>
      <c r="C519" s="1074"/>
      <c r="D519" s="1074"/>
      <c r="E519" s="1074"/>
      <c r="F519" s="1074"/>
      <c r="G519" s="1074"/>
      <c r="H519" s="1075"/>
      <c r="I519" t="s">
        <v>720</v>
      </c>
      <c r="AC519" s="1383" t="s">
        <v>131</v>
      </c>
      <c r="AD519" s="1111"/>
      <c r="AE519" s="1111"/>
      <c r="AF519" s="1111"/>
      <c r="AG519" s="18" t="s">
        <v>261</v>
      </c>
      <c r="AH519" s="1099"/>
      <c r="AI519" s="1099"/>
      <c r="AJ519" s="1099"/>
      <c r="AK519" s="1164"/>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073"/>
      <c r="C520" s="1074"/>
      <c r="D520" s="1074"/>
      <c r="E520" s="1074"/>
      <c r="F520" s="1074"/>
      <c r="G520" s="1074"/>
      <c r="H520" s="1075"/>
      <c r="I520" s="54" t="s">
        <v>721</v>
      </c>
      <c r="J520" s="54"/>
      <c r="K520" s="54"/>
      <c r="L520" s="54"/>
      <c r="M520" s="54"/>
      <c r="N520" s="54"/>
      <c r="O520" s="54"/>
      <c r="P520" s="54"/>
      <c r="Q520" s="54"/>
      <c r="R520" s="54"/>
      <c r="S520" s="54"/>
      <c r="T520" s="54"/>
      <c r="U520" s="54"/>
      <c r="V520" s="54"/>
      <c r="W520" s="54"/>
      <c r="X520" s="54"/>
      <c r="Y520" s="54"/>
      <c r="Z520" s="54"/>
      <c r="AA520" s="54"/>
      <c r="AB520" s="54"/>
      <c r="AC520" s="1383" t="s">
        <v>131</v>
      </c>
      <c r="AD520" s="1111"/>
      <c r="AE520" s="1111"/>
      <c r="AF520" s="1111"/>
      <c r="AG520" s="47" t="s">
        <v>261</v>
      </c>
      <c r="AH520" s="1099"/>
      <c r="AI520" s="1099"/>
      <c r="AJ520" s="1099"/>
      <c r="AK520" s="1164"/>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073"/>
      <c r="C521" s="1074"/>
      <c r="D521" s="1074"/>
      <c r="E521" s="1074"/>
      <c r="F521" s="1074"/>
      <c r="G521" s="1074"/>
      <c r="H521" s="1075"/>
      <c r="I521" s="7" t="s">
        <v>722</v>
      </c>
      <c r="J521" s="7"/>
      <c r="K521" s="7"/>
      <c r="L521" s="7"/>
      <c r="M521" s="7"/>
      <c r="N521" s="7"/>
      <c r="O521" s="1427" t="s">
        <v>591</v>
      </c>
      <c r="P521" s="1424"/>
      <c r="Q521" s="1424"/>
      <c r="R521" s="1424"/>
      <c r="S521" s="1424"/>
      <c r="T521" s="1424"/>
      <c r="U521" s="1424"/>
      <c r="V521" s="1424"/>
      <c r="W521" s="1424"/>
      <c r="X521" s="1424"/>
      <c r="Y521" s="1424"/>
      <c r="Z521" s="1424"/>
      <c r="AA521" s="1424"/>
      <c r="AC521" s="1383" t="s">
        <v>131</v>
      </c>
      <c r="AD521" s="1111"/>
      <c r="AE521" s="1111"/>
      <c r="AF521" s="1111"/>
      <c r="AG521" s="18" t="s">
        <v>261</v>
      </c>
      <c r="AH521" s="1099"/>
      <c r="AI521" s="1099"/>
      <c r="AJ521" s="1099"/>
      <c r="AK521" s="1164"/>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073"/>
      <c r="C522" s="1074"/>
      <c r="D522" s="1074"/>
      <c r="E522" s="1074"/>
      <c r="F522" s="1074"/>
      <c r="G522" s="1074"/>
      <c r="H522" s="1075"/>
      <c r="I522" t="s">
        <v>720</v>
      </c>
      <c r="AC522" s="1383" t="s">
        <v>131</v>
      </c>
      <c r="AD522" s="1111"/>
      <c r="AE522" s="1111"/>
      <c r="AF522" s="1111"/>
      <c r="AG522" s="18" t="s">
        <v>261</v>
      </c>
      <c r="AH522" s="1099"/>
      <c r="AI522" s="1099"/>
      <c r="AJ522" s="1099"/>
      <c r="AK522" s="1164"/>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073"/>
      <c r="C523" s="1074"/>
      <c r="D523" s="1074"/>
      <c r="E523" s="1074"/>
      <c r="F523" s="1074"/>
      <c r="G523" s="1074"/>
      <c r="H523" s="1075"/>
      <c r="I523" s="54" t="s">
        <v>721</v>
      </c>
      <c r="J523" s="54"/>
      <c r="K523" s="54"/>
      <c r="L523" s="54"/>
      <c r="M523" s="54"/>
      <c r="N523" s="54"/>
      <c r="O523" s="54"/>
      <c r="P523" s="54"/>
      <c r="Q523" s="54"/>
      <c r="R523" s="54"/>
      <c r="S523" s="54"/>
      <c r="T523" s="54"/>
      <c r="U523" s="54"/>
      <c r="V523" s="54"/>
      <c r="W523" s="54"/>
      <c r="X523" s="54"/>
      <c r="Y523" s="54"/>
      <c r="Z523" s="54"/>
      <c r="AA523" s="54"/>
      <c r="AB523" s="54"/>
      <c r="AC523" s="1383" t="s">
        <v>131</v>
      </c>
      <c r="AD523" s="1111"/>
      <c r="AE523" s="1111"/>
      <c r="AF523" s="1111"/>
      <c r="AG523" s="47" t="s">
        <v>261</v>
      </c>
      <c r="AH523" s="1099"/>
      <c r="AI523" s="1099"/>
      <c r="AJ523" s="1099"/>
      <c r="AK523" s="1164"/>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073"/>
      <c r="C524" s="1074"/>
      <c r="D524" s="1074"/>
      <c r="E524" s="1074"/>
      <c r="F524" s="1074"/>
      <c r="G524" s="1074"/>
      <c r="H524" s="1075"/>
      <c r="I524" s="7" t="s">
        <v>722</v>
      </c>
      <c r="J524" s="7"/>
      <c r="K524" s="7"/>
      <c r="L524" s="7"/>
      <c r="M524" s="7"/>
      <c r="N524" s="7"/>
      <c r="O524" s="1427" t="s">
        <v>591</v>
      </c>
      <c r="P524" s="1424"/>
      <c r="Q524" s="1424"/>
      <c r="R524" s="1424"/>
      <c r="S524" s="1424"/>
      <c r="T524" s="1424"/>
      <c r="U524" s="1424"/>
      <c r="V524" s="1424"/>
      <c r="W524" s="1424"/>
      <c r="X524" s="1424"/>
      <c r="Y524" s="1424"/>
      <c r="Z524" s="1424"/>
      <c r="AA524" s="1424"/>
      <c r="AC524" s="1383" t="s">
        <v>131</v>
      </c>
      <c r="AD524" s="1111"/>
      <c r="AE524" s="1111"/>
      <c r="AF524" s="1111"/>
      <c r="AG524" s="18" t="s">
        <v>261</v>
      </c>
      <c r="AH524" s="1099"/>
      <c r="AI524" s="1099"/>
      <c r="AJ524" s="1099"/>
      <c r="AK524" s="1164"/>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073"/>
      <c r="C525" s="1074"/>
      <c r="D525" s="1074"/>
      <c r="E525" s="1074"/>
      <c r="F525" s="1074"/>
      <c r="G525" s="1074"/>
      <c r="H525" s="1075"/>
      <c r="I525" t="s">
        <v>720</v>
      </c>
      <c r="AC525" s="1383" t="s">
        <v>131</v>
      </c>
      <c r="AD525" s="1111"/>
      <c r="AE525" s="1111"/>
      <c r="AF525" s="1111"/>
      <c r="AG525" s="47" t="s">
        <v>261</v>
      </c>
      <c r="AH525" s="1099"/>
      <c r="AI525" s="1099"/>
      <c r="AJ525" s="1099"/>
      <c r="AK525" s="1164"/>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073"/>
      <c r="C526" s="1074"/>
      <c r="D526" s="1074"/>
      <c r="E526" s="1074"/>
      <c r="F526" s="1074"/>
      <c r="G526" s="1074"/>
      <c r="H526" s="1075"/>
      <c r="I526" s="54" t="s">
        <v>721</v>
      </c>
      <c r="J526" s="54"/>
      <c r="K526" s="54"/>
      <c r="L526" s="54"/>
      <c r="M526" s="54"/>
      <c r="N526" s="54"/>
      <c r="O526" s="54"/>
      <c r="P526" s="54"/>
      <c r="Q526" s="54"/>
      <c r="R526" s="54"/>
      <c r="S526" s="54"/>
      <c r="T526" s="54"/>
      <c r="U526" s="54"/>
      <c r="V526" s="54"/>
      <c r="W526" s="54"/>
      <c r="X526" s="54"/>
      <c r="Y526" s="54"/>
      <c r="Z526" s="54"/>
      <c r="AA526" s="54"/>
      <c r="AB526" s="54"/>
      <c r="AC526" s="1383" t="s">
        <v>131</v>
      </c>
      <c r="AD526" s="1111"/>
      <c r="AE526" s="1111"/>
      <c r="AF526" s="1111"/>
      <c r="AG526" s="18" t="s">
        <v>261</v>
      </c>
      <c r="AH526" s="1099"/>
      <c r="AI526" s="1099"/>
      <c r="AJ526" s="1099"/>
      <c r="AK526" s="1164"/>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073"/>
      <c r="C527" s="1074"/>
      <c r="D527" s="1074"/>
      <c r="E527" s="1074"/>
      <c r="F527" s="1074"/>
      <c r="G527" s="1074"/>
      <c r="H527" s="1075"/>
      <c r="I527" s="7" t="s">
        <v>722</v>
      </c>
      <c r="J527" s="7"/>
      <c r="K527" s="7"/>
      <c r="L527" s="7"/>
      <c r="M527" s="7"/>
      <c r="N527" s="7"/>
      <c r="O527" s="1427" t="s">
        <v>591</v>
      </c>
      <c r="P527" s="1424"/>
      <c r="Q527" s="1424"/>
      <c r="R527" s="1424"/>
      <c r="S527" s="1424"/>
      <c r="T527" s="1424"/>
      <c r="U527" s="1424"/>
      <c r="V527" s="1424"/>
      <c r="W527" s="1424"/>
      <c r="X527" s="1424"/>
      <c r="Y527" s="1424"/>
      <c r="Z527" s="1424"/>
      <c r="AA527" s="1424"/>
      <c r="AC527" s="1383" t="s">
        <v>131</v>
      </c>
      <c r="AD527" s="1111"/>
      <c r="AE527" s="1111"/>
      <c r="AF527" s="1111"/>
      <c r="AG527" s="47" t="s">
        <v>261</v>
      </c>
      <c r="AH527" s="1099"/>
      <c r="AI527" s="1099"/>
      <c r="AJ527" s="1099"/>
      <c r="AK527" s="1164"/>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073"/>
      <c r="C528" s="1074"/>
      <c r="D528" s="1074"/>
      <c r="E528" s="1074"/>
      <c r="F528" s="1074"/>
      <c r="G528" s="1074"/>
      <c r="H528" s="1075"/>
      <c r="I528" t="s">
        <v>720</v>
      </c>
      <c r="AC528" s="1383" t="s">
        <v>131</v>
      </c>
      <c r="AD528" s="1111"/>
      <c r="AE528" s="1111"/>
      <c r="AF528" s="1111"/>
      <c r="AG528" s="18" t="s">
        <v>261</v>
      </c>
      <c r="AH528" s="1099"/>
      <c r="AI528" s="1099"/>
      <c r="AJ528" s="1099"/>
      <c r="AK528" s="1164"/>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073"/>
      <c r="C529" s="1074"/>
      <c r="D529" s="1074"/>
      <c r="E529" s="1074"/>
      <c r="F529" s="1074"/>
      <c r="G529" s="1074"/>
      <c r="H529" s="1075"/>
      <c r="I529" s="54" t="s">
        <v>721</v>
      </c>
      <c r="J529" s="54"/>
      <c r="K529" s="54"/>
      <c r="L529" s="54"/>
      <c r="M529" s="54"/>
      <c r="N529" s="54"/>
      <c r="O529" s="54"/>
      <c r="P529" s="54"/>
      <c r="Q529" s="54"/>
      <c r="R529" s="54"/>
      <c r="S529" s="54"/>
      <c r="T529" s="54"/>
      <c r="U529" s="54"/>
      <c r="V529" s="54"/>
      <c r="W529" s="54"/>
      <c r="X529" s="54"/>
      <c r="Y529" s="54"/>
      <c r="Z529" s="54"/>
      <c r="AA529" s="54"/>
      <c r="AB529" s="54"/>
      <c r="AC529" s="1383" t="s">
        <v>131</v>
      </c>
      <c r="AD529" s="1111"/>
      <c r="AE529" s="1111"/>
      <c r="AF529" s="1111"/>
      <c r="AG529" s="47" t="s">
        <v>261</v>
      </c>
      <c r="AH529" s="1099"/>
      <c r="AI529" s="1099"/>
      <c r="AJ529" s="1099"/>
      <c r="AK529" s="1164"/>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 customHeight="1">
      <c r="B530" s="1073"/>
      <c r="C530" s="1074"/>
      <c r="D530" s="1074"/>
      <c r="E530" s="1074"/>
      <c r="F530" s="1074"/>
      <c r="G530" s="1074"/>
      <c r="H530" s="1075"/>
      <c r="I530" s="7" t="s">
        <v>769</v>
      </c>
      <c r="J530" s="7"/>
      <c r="K530" s="7"/>
      <c r="L530" s="7"/>
      <c r="M530" s="7"/>
      <c r="N530" s="7"/>
      <c r="O530" s="7"/>
      <c r="P530" s="7"/>
      <c r="Q530" s="7"/>
      <c r="R530" s="7"/>
      <c r="S530" s="7"/>
      <c r="T530" s="7"/>
      <c r="U530" s="7"/>
      <c r="V530" s="7"/>
      <c r="W530" s="7"/>
      <c r="AC530" s="1383">
        <v>10</v>
      </c>
      <c r="AD530" s="1111"/>
      <c r="AE530" s="1111"/>
      <c r="AF530" s="1111"/>
      <c r="AG530" s="47" t="s">
        <v>261</v>
      </c>
      <c r="AH530" s="1099">
        <v>2024</v>
      </c>
      <c r="AI530" s="1099"/>
      <c r="AJ530" s="1099"/>
      <c r="AK530" s="1164"/>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 customHeight="1">
      <c r="B531" s="1073"/>
      <c r="C531" s="1074"/>
      <c r="D531" s="1074"/>
      <c r="E531" s="1074"/>
      <c r="F531" s="1074"/>
      <c r="G531" s="1074"/>
      <c r="H531" s="1075"/>
      <c r="I531" t="s">
        <v>770</v>
      </c>
      <c r="AC531" s="1383">
        <v>5</v>
      </c>
      <c r="AD531" s="1111"/>
      <c r="AE531" s="1111"/>
      <c r="AF531" s="1111"/>
      <c r="AG531" s="18" t="s">
        <v>261</v>
      </c>
      <c r="AH531" s="1099">
        <v>2024</v>
      </c>
      <c r="AI531" s="1099"/>
      <c r="AJ531" s="1099"/>
      <c r="AK531" s="1164"/>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 customHeight="1">
      <c r="B532" s="1073"/>
      <c r="C532" s="1074"/>
      <c r="D532" s="1074"/>
      <c r="E532" s="1074"/>
      <c r="F532" s="1074"/>
      <c r="G532" s="1074"/>
      <c r="H532" s="1075"/>
      <c r="I532" t="s">
        <v>771</v>
      </c>
      <c r="AC532" s="1383">
        <v>11</v>
      </c>
      <c r="AD532" s="1111"/>
      <c r="AE532" s="1111"/>
      <c r="AF532" s="1111"/>
      <c r="AG532" s="47" t="s">
        <v>261</v>
      </c>
      <c r="AH532" s="1099">
        <v>2025</v>
      </c>
      <c r="AI532" s="1099"/>
      <c r="AJ532" s="1099"/>
      <c r="AK532" s="1164"/>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073"/>
      <c r="C533" s="1074"/>
      <c r="D533" s="1074"/>
      <c r="E533" s="1074"/>
      <c r="F533" s="1074"/>
      <c r="G533" s="1074"/>
      <c r="H533" s="1075"/>
      <c r="I533" t="s">
        <v>772</v>
      </c>
      <c r="AC533" s="1383">
        <v>11</v>
      </c>
      <c r="AD533" s="1111"/>
      <c r="AE533" s="1111"/>
      <c r="AF533" s="1111"/>
      <c r="AG533" s="47" t="s">
        <v>261</v>
      </c>
      <c r="AH533" s="1099">
        <v>2025</v>
      </c>
      <c r="AI533" s="1099"/>
      <c r="AJ533" s="1099"/>
      <c r="AK533" s="1164"/>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076"/>
      <c r="C534" s="1077"/>
      <c r="D534" s="1077"/>
      <c r="E534" s="1077"/>
      <c r="F534" s="1077"/>
      <c r="G534" s="1077"/>
      <c r="H534" s="1078"/>
      <c r="I534" s="54" t="s">
        <v>1426</v>
      </c>
      <c r="J534" s="54"/>
      <c r="K534" s="54"/>
      <c r="L534" s="54"/>
      <c r="M534" s="54"/>
      <c r="N534" s="54"/>
      <c r="O534" s="54"/>
      <c r="P534" s="54"/>
      <c r="Q534" s="54"/>
      <c r="R534" s="54"/>
      <c r="S534" s="54"/>
      <c r="T534" s="54"/>
      <c r="U534" s="54"/>
      <c r="V534" s="54"/>
      <c r="W534" s="54"/>
      <c r="X534" s="54"/>
      <c r="Y534" s="54"/>
      <c r="Z534" s="54"/>
      <c r="AA534" s="54"/>
      <c r="AB534" s="54"/>
      <c r="AC534" s="1383">
        <v>2</v>
      </c>
      <c r="AD534" s="1111"/>
      <c r="AE534" s="1111"/>
      <c r="AF534" s="1111"/>
      <c r="AG534" s="47" t="s">
        <v>261</v>
      </c>
      <c r="AH534" s="1099">
        <v>2026</v>
      </c>
      <c r="AI534" s="1099"/>
      <c r="AJ534" s="1099"/>
      <c r="AK534" s="1164"/>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A536" s="965" t="s">
        <v>525</v>
      </c>
      <c r="B536" s="965"/>
      <c r="C536" s="965"/>
      <c r="D536" s="965"/>
      <c r="E536" s="965"/>
      <c r="F536" s="965"/>
      <c r="G536" s="965"/>
      <c r="H536" s="965"/>
      <c r="I536" s="965"/>
      <c r="J536" s="965"/>
      <c r="K536" s="965"/>
      <c r="L536" s="965"/>
      <c r="M536" s="965"/>
      <c r="N536" s="965"/>
      <c r="O536" s="965"/>
      <c r="P536" s="965"/>
      <c r="Q536" s="965"/>
      <c r="R536" s="965"/>
      <c r="S536" s="965"/>
      <c r="T536" s="965"/>
      <c r="U536" s="965"/>
      <c r="V536" s="965"/>
      <c r="W536" s="965"/>
      <c r="X536" s="965"/>
      <c r="Y536" s="965"/>
      <c r="Z536" s="965"/>
      <c r="AA536" s="965"/>
      <c r="AB536" s="965"/>
      <c r="AC536" s="965"/>
      <c r="AD536" s="965"/>
      <c r="AE536" s="965"/>
      <c r="AF536" s="965"/>
      <c r="AG536" s="965"/>
      <c r="AH536" s="965"/>
      <c r="AI536" s="965"/>
      <c r="AJ536" s="965"/>
      <c r="AK536" s="965"/>
      <c r="AL536" s="965"/>
      <c r="AM536" s="965"/>
      <c r="AN536" s="965"/>
      <c r="AO536" s="965"/>
      <c r="AP536" s="965"/>
      <c r="AQ536" s="965"/>
      <c r="AR536" s="965"/>
      <c r="AS536" s="965"/>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A537" s="965"/>
      <c r="B537" s="965"/>
      <c r="C537" s="965"/>
      <c r="D537" s="965"/>
      <c r="E537" s="965"/>
      <c r="F537" s="965"/>
      <c r="G537" s="965"/>
      <c r="H537" s="965"/>
      <c r="I537" s="965"/>
      <c r="J537" s="965"/>
      <c r="K537" s="965"/>
      <c r="L537" s="965"/>
      <c r="M537" s="965"/>
      <c r="N537" s="965"/>
      <c r="O537" s="965"/>
      <c r="P537" s="965"/>
      <c r="Q537" s="965"/>
      <c r="R537" s="965"/>
      <c r="S537" s="965"/>
      <c r="T537" s="965"/>
      <c r="U537" s="965"/>
      <c r="V537" s="965"/>
      <c r="W537" s="965"/>
      <c r="X537" s="965"/>
      <c r="Y537" s="965"/>
      <c r="Z537" s="965"/>
      <c r="AA537" s="965"/>
      <c r="AB537" s="965"/>
      <c r="AC537" s="965"/>
      <c r="AD537" s="965"/>
      <c r="AE537" s="965"/>
      <c r="AF537" s="965"/>
      <c r="AG537" s="965"/>
      <c r="AH537" s="965"/>
      <c r="AI537" s="965"/>
      <c r="AJ537" s="965"/>
      <c r="AK537" s="965"/>
      <c r="AL537" s="965"/>
      <c r="AM537" s="965"/>
      <c r="AN537" s="965"/>
      <c r="AO537" s="965"/>
      <c r="AP537" s="965"/>
      <c r="AQ537" s="965"/>
      <c r="AR537" s="965"/>
      <c r="AS537" s="965"/>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 customHeight="1">
      <c r="B543" s="1070" t="s">
        <v>2311</v>
      </c>
      <c r="C543" s="1071"/>
      <c r="D543" s="1071"/>
      <c r="E543" s="1071"/>
      <c r="F543" s="1071"/>
      <c r="G543" s="1071"/>
      <c r="H543" s="1071"/>
      <c r="I543" s="1071"/>
      <c r="J543" s="1071"/>
      <c r="K543" s="1071"/>
      <c r="L543" s="1071"/>
      <c r="M543" s="1119" t="s">
        <v>2285</v>
      </c>
      <c r="N543" s="1119"/>
      <c r="O543" s="1119"/>
      <c r="P543" s="1119"/>
      <c r="Q543" s="1070" t="s">
        <v>467</v>
      </c>
      <c r="R543" s="1071"/>
      <c r="S543" s="1072"/>
      <c r="T543" s="1070" t="s">
        <v>2083</v>
      </c>
      <c r="U543" s="1071"/>
      <c r="V543" s="1072"/>
      <c r="W543" s="1070" t="s">
        <v>774</v>
      </c>
      <c r="X543" s="1071"/>
      <c r="Y543" s="1072"/>
      <c r="Z543" s="1070" t="s">
        <v>2085</v>
      </c>
      <c r="AA543" s="1071"/>
      <c r="AB543" s="1071"/>
      <c r="AC543" s="1071"/>
      <c r="AD543" s="1072"/>
      <c r="AE543" s="1070" t="s">
        <v>2084</v>
      </c>
      <c r="AF543" s="1071"/>
      <c r="AG543" s="1071"/>
      <c r="AH543" s="1072"/>
      <c r="AI543" s="1070" t="s">
        <v>2086</v>
      </c>
      <c r="AJ543" s="1071"/>
      <c r="AK543" s="1071"/>
      <c r="AL543" s="1072"/>
      <c r="AM543" s="1070" t="s">
        <v>775</v>
      </c>
      <c r="AN543" s="1071"/>
      <c r="AO543" s="1071"/>
      <c r="AP543" s="1071"/>
      <c r="AQ543" s="1071"/>
      <c r="AR543" s="1071"/>
      <c r="AS543" s="107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 customHeight="1">
      <c r="B544" s="1073"/>
      <c r="C544" s="1074"/>
      <c r="D544" s="1074"/>
      <c r="E544" s="1074"/>
      <c r="F544" s="1074"/>
      <c r="G544" s="1074"/>
      <c r="H544" s="1074"/>
      <c r="I544" s="1074"/>
      <c r="J544" s="1074"/>
      <c r="K544" s="1074"/>
      <c r="L544" s="1074"/>
      <c r="M544" s="1119"/>
      <c r="N544" s="1119"/>
      <c r="O544" s="1119"/>
      <c r="P544" s="1119"/>
      <c r="Q544" s="1073"/>
      <c r="R544" s="1074"/>
      <c r="S544" s="1075"/>
      <c r="T544" s="1073"/>
      <c r="U544" s="1074"/>
      <c r="V544" s="1075"/>
      <c r="W544" s="1073"/>
      <c r="X544" s="1074"/>
      <c r="Y544" s="1075"/>
      <c r="Z544" s="1073"/>
      <c r="AA544" s="1074"/>
      <c r="AB544" s="1074"/>
      <c r="AC544" s="1074"/>
      <c r="AD544" s="1075"/>
      <c r="AE544" s="1073"/>
      <c r="AF544" s="1074"/>
      <c r="AG544" s="1074"/>
      <c r="AH544" s="1075"/>
      <c r="AI544" s="1073"/>
      <c r="AJ544" s="1074"/>
      <c r="AK544" s="1074"/>
      <c r="AL544" s="1075"/>
      <c r="AM544" s="1073"/>
      <c r="AN544" s="1074"/>
      <c r="AO544" s="1074"/>
      <c r="AP544" s="1074"/>
      <c r="AQ544" s="1074"/>
      <c r="AR544" s="1074"/>
      <c r="AS544" s="107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 customHeight="1">
      <c r="B545" s="1076"/>
      <c r="C545" s="1077"/>
      <c r="D545" s="1077"/>
      <c r="E545" s="1077"/>
      <c r="F545" s="1077"/>
      <c r="G545" s="1077"/>
      <c r="H545" s="1077"/>
      <c r="I545" s="1077"/>
      <c r="J545" s="1077"/>
      <c r="K545" s="1077"/>
      <c r="L545" s="1077"/>
      <c r="M545" s="1119"/>
      <c r="N545" s="1119"/>
      <c r="O545" s="1119"/>
      <c r="P545" s="1119"/>
      <c r="Q545" s="1076"/>
      <c r="R545" s="1077"/>
      <c r="S545" s="1078"/>
      <c r="T545" s="1076"/>
      <c r="U545" s="1077"/>
      <c r="V545" s="1078"/>
      <c r="W545" s="1076"/>
      <c r="X545" s="1077"/>
      <c r="Y545" s="1078"/>
      <c r="Z545" s="1076"/>
      <c r="AA545" s="1077"/>
      <c r="AB545" s="1077"/>
      <c r="AC545" s="1077"/>
      <c r="AD545" s="1078"/>
      <c r="AE545" s="1076"/>
      <c r="AF545" s="1077"/>
      <c r="AG545" s="1077"/>
      <c r="AH545" s="1078"/>
      <c r="AI545" s="1076"/>
      <c r="AJ545" s="1077"/>
      <c r="AK545" s="1077"/>
      <c r="AL545" s="1078"/>
      <c r="AM545" s="1076"/>
      <c r="AN545" s="1077"/>
      <c r="AO545" s="1077"/>
      <c r="AP545" s="1077"/>
      <c r="AQ545" s="1077"/>
      <c r="AR545" s="1077"/>
      <c r="AS545" s="107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 customHeight="1">
      <c r="B546" s="57" t="s">
        <v>942</v>
      </c>
      <c r="C546" s="1082" t="s">
        <v>2455</v>
      </c>
      <c r="D546" s="1082"/>
      <c r="E546" s="1082"/>
      <c r="F546" s="1082"/>
      <c r="G546" s="1082"/>
      <c r="H546" s="1082"/>
      <c r="I546" s="1082"/>
      <c r="J546" s="1082"/>
      <c r="K546" s="1082"/>
      <c r="L546" s="1082"/>
      <c r="M546" s="1083" t="s">
        <v>2295</v>
      </c>
      <c r="N546" s="1083"/>
      <c r="O546" s="1083"/>
      <c r="P546" s="1083"/>
      <c r="Q546" s="1087">
        <v>24</v>
      </c>
      <c r="R546" s="1087"/>
      <c r="S546" s="1088"/>
      <c r="T546" s="1086"/>
      <c r="U546" s="1087"/>
      <c r="V546" s="1088"/>
      <c r="W546" s="1433">
        <v>0.06</v>
      </c>
      <c r="X546" s="1434"/>
      <c r="Y546" s="1435"/>
      <c r="Z546" s="1436" t="s">
        <v>2071</v>
      </c>
      <c r="AA546" s="1436"/>
      <c r="AB546" s="1436"/>
      <c r="AC546" s="1436"/>
      <c r="AD546" s="1436"/>
      <c r="AE546" s="1437"/>
      <c r="AF546" s="1438"/>
      <c r="AG546" s="1438"/>
      <c r="AH546" s="1439"/>
      <c r="AI546" s="1430"/>
      <c r="AJ546" s="1431"/>
      <c r="AK546" s="1431"/>
      <c r="AL546" s="1432"/>
      <c r="AM546" s="1141">
        <v>10927026</v>
      </c>
      <c r="AN546" s="1142"/>
      <c r="AO546" s="1142"/>
      <c r="AP546" s="1142"/>
      <c r="AQ546" s="1142"/>
      <c r="AR546" s="1142"/>
      <c r="AS546" s="1143"/>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 customHeight="1">
      <c r="B547" s="58" t="s">
        <v>943</v>
      </c>
      <c r="C547" s="1082" t="s">
        <v>2449</v>
      </c>
      <c r="D547" s="1082"/>
      <c r="E547" s="1082"/>
      <c r="F547" s="1082"/>
      <c r="G547" s="1082"/>
      <c r="H547" s="1082"/>
      <c r="I547" s="1082"/>
      <c r="J547" s="1082"/>
      <c r="K547" s="1082"/>
      <c r="L547" s="1082"/>
      <c r="M547" s="1083" t="s">
        <v>2292</v>
      </c>
      <c r="N547" s="1083"/>
      <c r="O547" s="1083"/>
      <c r="P547" s="1083"/>
      <c r="Q547" s="1086"/>
      <c r="R547" s="1087"/>
      <c r="S547" s="1088"/>
      <c r="T547" s="1086"/>
      <c r="U547" s="1087"/>
      <c r="V547" s="1088"/>
      <c r="W547" s="1433"/>
      <c r="X547" s="1434"/>
      <c r="Y547" s="1435"/>
      <c r="Z547" s="1436" t="s">
        <v>2071</v>
      </c>
      <c r="AA547" s="1436"/>
      <c r="AB547" s="1436"/>
      <c r="AC547" s="1436"/>
      <c r="AD547" s="1436"/>
      <c r="AE547" s="1437"/>
      <c r="AF547" s="1438"/>
      <c r="AG547" s="1438"/>
      <c r="AH547" s="1439"/>
      <c r="AI547" s="1430"/>
      <c r="AJ547" s="1431"/>
      <c r="AK547" s="1431"/>
      <c r="AL547" s="1432"/>
      <c r="AM547" s="1141">
        <v>1199461</v>
      </c>
      <c r="AN547" s="1142"/>
      <c r="AO547" s="1142"/>
      <c r="AP547" s="1142"/>
      <c r="AQ547" s="1142"/>
      <c r="AR547" s="1142"/>
      <c r="AS547" s="1143"/>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 customHeight="1">
      <c r="B548" s="58" t="s">
        <v>949</v>
      </c>
      <c r="C548" s="1082" t="s">
        <v>2363</v>
      </c>
      <c r="D548" s="1082"/>
      <c r="E548" s="1082"/>
      <c r="F548" s="1082"/>
      <c r="G548" s="1082"/>
      <c r="H548" s="1082"/>
      <c r="I548" s="1082"/>
      <c r="J548" s="1082"/>
      <c r="K548" s="1082"/>
      <c r="L548" s="1082"/>
      <c r="M548" s="1083" t="s">
        <v>2287</v>
      </c>
      <c r="N548" s="1083"/>
      <c r="O548" s="1083"/>
      <c r="P548" s="1083"/>
      <c r="Q548" s="1086"/>
      <c r="R548" s="1087"/>
      <c r="S548" s="1088"/>
      <c r="T548" s="1086"/>
      <c r="U548" s="1087"/>
      <c r="V548" s="1088"/>
      <c r="W548" s="1433"/>
      <c r="X548" s="1434"/>
      <c r="Y548" s="1435"/>
      <c r="Z548" s="1436" t="s">
        <v>2071</v>
      </c>
      <c r="AA548" s="1436"/>
      <c r="AB548" s="1436"/>
      <c r="AC548" s="1436"/>
      <c r="AD548" s="1436"/>
      <c r="AE548" s="1437"/>
      <c r="AF548" s="1438"/>
      <c r="AG548" s="1438"/>
      <c r="AH548" s="1439"/>
      <c r="AI548" s="1430"/>
      <c r="AJ548" s="1431"/>
      <c r="AK548" s="1431"/>
      <c r="AL548" s="1432"/>
      <c r="AM548" s="1141">
        <v>428429</v>
      </c>
      <c r="AN548" s="1142"/>
      <c r="AO548" s="1142"/>
      <c r="AP548" s="1142"/>
      <c r="AQ548" s="1142"/>
      <c r="AR548" s="1142"/>
      <c r="AS548" s="1143"/>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 customHeight="1">
      <c r="B549" s="58" t="s">
        <v>458</v>
      </c>
      <c r="C549" s="1082" t="s">
        <v>2363</v>
      </c>
      <c r="D549" s="1082"/>
      <c r="E549" s="1082"/>
      <c r="F549" s="1082"/>
      <c r="G549" s="1082"/>
      <c r="H549" s="1082"/>
      <c r="I549" s="1082"/>
      <c r="J549" s="1082"/>
      <c r="K549" s="1082"/>
      <c r="L549" s="1082"/>
      <c r="M549" s="1083" t="s">
        <v>2288</v>
      </c>
      <c r="N549" s="1083"/>
      <c r="O549" s="1083"/>
      <c r="P549" s="1083"/>
      <c r="Q549" s="1086"/>
      <c r="R549" s="1087"/>
      <c r="S549" s="1088"/>
      <c r="T549" s="1086"/>
      <c r="U549" s="1087"/>
      <c r="V549" s="1088"/>
      <c r="W549" s="1433"/>
      <c r="X549" s="1434"/>
      <c r="Y549" s="1435"/>
      <c r="Z549" s="1436" t="s">
        <v>2071</v>
      </c>
      <c r="AA549" s="1436"/>
      <c r="AB549" s="1436"/>
      <c r="AC549" s="1436"/>
      <c r="AD549" s="1436"/>
      <c r="AE549" s="1437"/>
      <c r="AF549" s="1438"/>
      <c r="AG549" s="1438"/>
      <c r="AH549" s="1439"/>
      <c r="AI549" s="1430"/>
      <c r="AJ549" s="1431"/>
      <c r="AK549" s="1431"/>
      <c r="AL549" s="1432"/>
      <c r="AM549" s="1141">
        <v>1668927</v>
      </c>
      <c r="AN549" s="1142"/>
      <c r="AO549" s="1142"/>
      <c r="AP549" s="1142"/>
      <c r="AQ549" s="1142"/>
      <c r="AR549" s="1142"/>
      <c r="AS549" s="1143"/>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 customHeight="1">
      <c r="B550" s="58" t="s">
        <v>181</v>
      </c>
      <c r="C550" s="1082"/>
      <c r="D550" s="1082"/>
      <c r="E550" s="1082"/>
      <c r="F550" s="1082"/>
      <c r="G550" s="1082"/>
      <c r="H550" s="1082"/>
      <c r="I550" s="1082"/>
      <c r="J550" s="1082"/>
      <c r="K550" s="1082"/>
      <c r="L550" s="1082"/>
      <c r="M550" s="1083" t="s">
        <v>2071</v>
      </c>
      <c r="N550" s="1083"/>
      <c r="O550" s="1083"/>
      <c r="P550" s="1083"/>
      <c r="Q550" s="1086"/>
      <c r="R550" s="1087"/>
      <c r="S550" s="1088"/>
      <c r="T550" s="1086"/>
      <c r="U550" s="1087"/>
      <c r="V550" s="1088"/>
      <c r="W550" s="1433"/>
      <c r="X550" s="1434"/>
      <c r="Y550" s="1435"/>
      <c r="Z550" s="1436" t="s">
        <v>2071</v>
      </c>
      <c r="AA550" s="1436"/>
      <c r="AB550" s="1436"/>
      <c r="AC550" s="1436"/>
      <c r="AD550" s="1436"/>
      <c r="AE550" s="1437"/>
      <c r="AF550" s="1438"/>
      <c r="AG550" s="1438"/>
      <c r="AH550" s="1439"/>
      <c r="AI550" s="1430"/>
      <c r="AJ550" s="1431"/>
      <c r="AK550" s="1431"/>
      <c r="AL550" s="1432"/>
      <c r="AM550" s="1141"/>
      <c r="AN550" s="1142"/>
      <c r="AO550" s="1142"/>
      <c r="AP550" s="1142"/>
      <c r="AQ550" s="1142"/>
      <c r="AR550" s="1142"/>
      <c r="AS550" s="1143"/>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 customHeight="1">
      <c r="B551" s="58" t="s">
        <v>461</v>
      </c>
      <c r="C551" s="1082"/>
      <c r="D551" s="1082"/>
      <c r="E551" s="1082"/>
      <c r="F551" s="1082"/>
      <c r="G551" s="1082"/>
      <c r="H551" s="1082"/>
      <c r="I551" s="1082"/>
      <c r="J551" s="1082"/>
      <c r="K551" s="1082"/>
      <c r="L551" s="1082"/>
      <c r="M551" s="1083" t="s">
        <v>2071</v>
      </c>
      <c r="N551" s="1083"/>
      <c r="O551" s="1083"/>
      <c r="P551" s="1083"/>
      <c r="Q551" s="1086"/>
      <c r="R551" s="1087"/>
      <c r="S551" s="1088"/>
      <c r="T551" s="1086"/>
      <c r="U551" s="1087"/>
      <c r="V551" s="1088"/>
      <c r="W551" s="1433"/>
      <c r="X551" s="1434"/>
      <c r="Y551" s="1435"/>
      <c r="Z551" s="1436" t="s">
        <v>2071</v>
      </c>
      <c r="AA551" s="1436"/>
      <c r="AB551" s="1436"/>
      <c r="AC551" s="1436"/>
      <c r="AD551" s="1436"/>
      <c r="AE551" s="1437"/>
      <c r="AF551" s="1438"/>
      <c r="AG551" s="1438"/>
      <c r="AH551" s="1439"/>
      <c r="AI551" s="1430"/>
      <c r="AJ551" s="1431"/>
      <c r="AK551" s="1431"/>
      <c r="AL551" s="1432"/>
      <c r="AM551" s="1141"/>
      <c r="AN551" s="1142"/>
      <c r="AO551" s="1142"/>
      <c r="AP551" s="1142"/>
      <c r="AQ551" s="1142"/>
      <c r="AR551" s="1142"/>
      <c r="AS551" s="1143"/>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 customHeight="1">
      <c r="B552" s="58" t="s">
        <v>776</v>
      </c>
      <c r="C552" s="1082"/>
      <c r="D552" s="1082"/>
      <c r="E552" s="1082"/>
      <c r="F552" s="1082"/>
      <c r="G552" s="1082"/>
      <c r="H552" s="1082"/>
      <c r="I552" s="1082"/>
      <c r="J552" s="1082"/>
      <c r="K552" s="1082"/>
      <c r="L552" s="1082"/>
      <c r="M552" s="1083" t="s">
        <v>2071</v>
      </c>
      <c r="N552" s="1083"/>
      <c r="O552" s="1083"/>
      <c r="P552" s="1083"/>
      <c r="Q552" s="1086"/>
      <c r="R552" s="1087"/>
      <c r="S552" s="1088"/>
      <c r="T552" s="1086"/>
      <c r="U552" s="1087"/>
      <c r="V552" s="1088"/>
      <c r="W552" s="1433"/>
      <c r="X552" s="1434"/>
      <c r="Y552" s="1435"/>
      <c r="Z552" s="1436" t="s">
        <v>2071</v>
      </c>
      <c r="AA552" s="1436"/>
      <c r="AB552" s="1436"/>
      <c r="AC552" s="1436"/>
      <c r="AD552" s="1436"/>
      <c r="AE552" s="1437"/>
      <c r="AF552" s="1438"/>
      <c r="AG552" s="1438"/>
      <c r="AH552" s="1439"/>
      <c r="AI552" s="1430"/>
      <c r="AJ552" s="1431"/>
      <c r="AK552" s="1431"/>
      <c r="AL552" s="1432"/>
      <c r="AM552" s="1141"/>
      <c r="AN552" s="1142"/>
      <c r="AO552" s="1142"/>
      <c r="AP552" s="1142"/>
      <c r="AQ552" s="1142"/>
      <c r="AR552" s="1142"/>
      <c r="AS552" s="1143"/>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 customHeight="1">
      <c r="B553" s="58" t="s">
        <v>777</v>
      </c>
      <c r="C553" s="1082"/>
      <c r="D553" s="1082"/>
      <c r="E553" s="1082"/>
      <c r="F553" s="1082"/>
      <c r="G553" s="1082"/>
      <c r="H553" s="1082"/>
      <c r="I553" s="1082"/>
      <c r="J553" s="1082"/>
      <c r="K553" s="1082"/>
      <c r="L553" s="1082"/>
      <c r="M553" s="1083" t="s">
        <v>2071</v>
      </c>
      <c r="N553" s="1083"/>
      <c r="O553" s="1083"/>
      <c r="P553" s="1083"/>
      <c r="Q553" s="1086"/>
      <c r="R553" s="1087"/>
      <c r="S553" s="1088"/>
      <c r="T553" s="1086"/>
      <c r="U553" s="1087"/>
      <c r="V553" s="1088"/>
      <c r="W553" s="1433"/>
      <c r="X553" s="1434"/>
      <c r="Y553" s="1435"/>
      <c r="Z553" s="1436" t="s">
        <v>2071</v>
      </c>
      <c r="AA553" s="1436"/>
      <c r="AB553" s="1436"/>
      <c r="AC553" s="1436"/>
      <c r="AD553" s="1436"/>
      <c r="AE553" s="1437"/>
      <c r="AF553" s="1438"/>
      <c r="AG553" s="1438"/>
      <c r="AH553" s="1439"/>
      <c r="AI553" s="1430"/>
      <c r="AJ553" s="1431"/>
      <c r="AK553" s="1431"/>
      <c r="AL553" s="1432"/>
      <c r="AM553" s="1141"/>
      <c r="AN553" s="1142"/>
      <c r="AO553" s="1142"/>
      <c r="AP553" s="1142"/>
      <c r="AQ553" s="1142"/>
      <c r="AR553" s="1142"/>
      <c r="AS553" s="1143"/>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58" t="s">
        <v>575</v>
      </c>
      <c r="C554" s="1082"/>
      <c r="D554" s="1082"/>
      <c r="E554" s="1082"/>
      <c r="F554" s="1082"/>
      <c r="G554" s="1082"/>
      <c r="H554" s="1082"/>
      <c r="I554" s="1082"/>
      <c r="J554" s="1082"/>
      <c r="K554" s="1082"/>
      <c r="L554" s="1082"/>
      <c r="M554" s="1083" t="s">
        <v>2071</v>
      </c>
      <c r="N554" s="1083"/>
      <c r="O554" s="1083"/>
      <c r="P554" s="1083"/>
      <c r="Q554" s="1086"/>
      <c r="R554" s="1087"/>
      <c r="S554" s="1088"/>
      <c r="T554" s="1086"/>
      <c r="U554" s="1087"/>
      <c r="V554" s="1088"/>
      <c r="W554" s="1433"/>
      <c r="X554" s="1434"/>
      <c r="Y554" s="1435"/>
      <c r="Z554" s="1436" t="s">
        <v>2071</v>
      </c>
      <c r="AA554" s="1436"/>
      <c r="AB554" s="1436"/>
      <c r="AC554" s="1436"/>
      <c r="AD554" s="1436"/>
      <c r="AE554" s="1437"/>
      <c r="AF554" s="1438"/>
      <c r="AG554" s="1438"/>
      <c r="AH554" s="1439"/>
      <c r="AI554" s="1430"/>
      <c r="AJ554" s="1431"/>
      <c r="AK554" s="1431"/>
      <c r="AL554" s="1432"/>
      <c r="AM554" s="1141"/>
      <c r="AN554" s="1142"/>
      <c r="AO554" s="1142"/>
      <c r="AP554" s="1142"/>
      <c r="AQ554" s="1142"/>
      <c r="AR554" s="1142"/>
      <c r="AS554" s="1143"/>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58" t="s">
        <v>184</v>
      </c>
      <c r="C555" s="1082"/>
      <c r="D555" s="1082"/>
      <c r="E555" s="1082"/>
      <c r="F555" s="1082"/>
      <c r="G555" s="1082"/>
      <c r="H555" s="1082"/>
      <c r="I555" s="1082"/>
      <c r="J555" s="1082"/>
      <c r="K555" s="1082"/>
      <c r="L555" s="1082"/>
      <c r="M555" s="1083" t="s">
        <v>2071</v>
      </c>
      <c r="N555" s="1083"/>
      <c r="O555" s="1083"/>
      <c r="P555" s="1083"/>
      <c r="Q555" s="1086"/>
      <c r="R555" s="1087"/>
      <c r="S555" s="1088"/>
      <c r="T555" s="1086"/>
      <c r="U555" s="1087"/>
      <c r="V555" s="1088"/>
      <c r="W555" s="1433"/>
      <c r="X555" s="1434"/>
      <c r="Y555" s="1435"/>
      <c r="Z555" s="1436" t="s">
        <v>2071</v>
      </c>
      <c r="AA555" s="1436"/>
      <c r="AB555" s="1436"/>
      <c r="AC555" s="1436"/>
      <c r="AD555" s="1436"/>
      <c r="AE555" s="1437"/>
      <c r="AF555" s="1438"/>
      <c r="AG555" s="1438"/>
      <c r="AH555" s="1439"/>
      <c r="AI555" s="1430"/>
      <c r="AJ555" s="1431"/>
      <c r="AK555" s="1431"/>
      <c r="AL555" s="1432"/>
      <c r="AM555" s="1141"/>
      <c r="AN555" s="1142"/>
      <c r="AO555" s="1142"/>
      <c r="AP555" s="1142"/>
      <c r="AQ555" s="1142"/>
      <c r="AR555" s="1142"/>
      <c r="AS555" s="1143"/>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58" t="s">
        <v>36</v>
      </c>
      <c r="C556" s="1082"/>
      <c r="D556" s="1082"/>
      <c r="E556" s="1082"/>
      <c r="F556" s="1082"/>
      <c r="G556" s="1082"/>
      <c r="H556" s="1082"/>
      <c r="I556" s="1082"/>
      <c r="J556" s="1082"/>
      <c r="K556" s="1082"/>
      <c r="L556" s="1082"/>
      <c r="M556" s="1083" t="s">
        <v>2071</v>
      </c>
      <c r="N556" s="1083"/>
      <c r="O556" s="1083"/>
      <c r="P556" s="1083"/>
      <c r="Q556" s="1086"/>
      <c r="R556" s="1087"/>
      <c r="S556" s="1088"/>
      <c r="T556" s="1086"/>
      <c r="U556" s="1087"/>
      <c r="V556" s="1088"/>
      <c r="W556" s="1433"/>
      <c r="X556" s="1434"/>
      <c r="Y556" s="1435"/>
      <c r="Z556" s="1436" t="s">
        <v>2071</v>
      </c>
      <c r="AA556" s="1436"/>
      <c r="AB556" s="1436"/>
      <c r="AC556" s="1436"/>
      <c r="AD556" s="1436"/>
      <c r="AE556" s="1437"/>
      <c r="AF556" s="1438"/>
      <c r="AG556" s="1438"/>
      <c r="AH556" s="1439"/>
      <c r="AI556" s="1430"/>
      <c r="AJ556" s="1431"/>
      <c r="AK556" s="1431"/>
      <c r="AL556" s="1432"/>
      <c r="AM556" s="1141"/>
      <c r="AN556" s="1142"/>
      <c r="AO556" s="1142"/>
      <c r="AP556" s="1142"/>
      <c r="AQ556" s="1142"/>
      <c r="AR556" s="1142"/>
      <c r="AS556" s="1143"/>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8" t="s">
        <v>37</v>
      </c>
      <c r="C557" s="1082"/>
      <c r="D557" s="1082"/>
      <c r="E557" s="1082"/>
      <c r="F557" s="1082"/>
      <c r="G557" s="1082"/>
      <c r="H557" s="1082"/>
      <c r="I557" s="1082"/>
      <c r="J557" s="1082"/>
      <c r="K557" s="1082"/>
      <c r="L557" s="1082"/>
      <c r="M557" s="1083" t="s">
        <v>2071</v>
      </c>
      <c r="N557" s="1083"/>
      <c r="O557" s="1083"/>
      <c r="P557" s="1083"/>
      <c r="Q557" s="1086"/>
      <c r="R557" s="1087"/>
      <c r="S557" s="1088"/>
      <c r="T557" s="1086"/>
      <c r="U557" s="1087"/>
      <c r="V557" s="1088"/>
      <c r="W557" s="1433"/>
      <c r="X557" s="1434"/>
      <c r="Y557" s="1435"/>
      <c r="Z557" s="1436" t="s">
        <v>2071</v>
      </c>
      <c r="AA557" s="1436"/>
      <c r="AB557" s="1436"/>
      <c r="AC557" s="1436"/>
      <c r="AD557" s="1436"/>
      <c r="AE557" s="1437"/>
      <c r="AF557" s="1438"/>
      <c r="AG557" s="1438"/>
      <c r="AH557" s="1439"/>
      <c r="AI557" s="1430"/>
      <c r="AJ557" s="1431"/>
      <c r="AK557" s="1431"/>
      <c r="AL557" s="1432"/>
      <c r="AM557" s="1141"/>
      <c r="AN557" s="1142"/>
      <c r="AO557" s="1142"/>
      <c r="AP557" s="1142"/>
      <c r="AQ557" s="1142"/>
      <c r="AR557" s="1142"/>
      <c r="AS557" s="1143"/>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1089" t="s">
        <v>380</v>
      </c>
      <c r="C558" s="1090"/>
      <c r="D558" s="1090"/>
      <c r="E558" s="1090"/>
      <c r="F558" s="1090"/>
      <c r="G558" s="1090"/>
      <c r="H558" s="1090"/>
      <c r="I558" s="1090"/>
      <c r="J558" s="1090"/>
      <c r="K558" s="1090"/>
      <c r="L558" s="1090"/>
      <c r="M558" s="1090"/>
      <c r="N558" s="1090"/>
      <c r="O558" s="1090"/>
      <c r="P558" s="1090"/>
      <c r="Q558" s="1090"/>
      <c r="R558" s="1090"/>
      <c r="S558" s="1090"/>
      <c r="T558" s="1090"/>
      <c r="U558" s="1091"/>
      <c r="V558" s="1090"/>
      <c r="W558" s="1090"/>
      <c r="X558" s="1090"/>
      <c r="Y558" s="1090"/>
      <c r="Z558" s="1090"/>
      <c r="AA558" s="1090"/>
      <c r="AB558" s="1090"/>
      <c r="AC558" s="1090"/>
      <c r="AD558" s="1090"/>
      <c r="AE558" s="1090"/>
      <c r="AF558" s="1090"/>
      <c r="AG558" s="1090"/>
      <c r="AH558" s="1090"/>
      <c r="AI558" s="1090"/>
      <c r="AJ558" s="1090"/>
      <c r="AK558" s="1090"/>
      <c r="AL558" s="1092"/>
      <c r="AM558" s="1147">
        <f>SUM(AM546:AS557)</f>
        <v>14223843</v>
      </c>
      <c r="AN558" s="1148"/>
      <c r="AO558" s="1148"/>
      <c r="AP558" s="1148"/>
      <c r="AQ558" s="1148"/>
      <c r="AR558" s="1148"/>
      <c r="AS558" s="1149"/>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A560" s="61" t="s">
        <v>942</v>
      </c>
      <c r="B560" t="s">
        <v>89</v>
      </c>
      <c r="G560" s="1291" t="str">
        <f>C546</f>
        <v>Lument</v>
      </c>
      <c r="H560" s="1291"/>
      <c r="I560" s="1291"/>
      <c r="J560" s="1291"/>
      <c r="K560" s="1291"/>
      <c r="L560" s="1291"/>
      <c r="M560" s="1291"/>
      <c r="N560" s="1291"/>
      <c r="O560" s="1291"/>
      <c r="P560" s="1291"/>
      <c r="Q560" s="1291"/>
      <c r="R560" s="1291"/>
      <c r="S560" s="12"/>
      <c r="T560" s="61" t="s">
        <v>943</v>
      </c>
      <c r="U560" t="s">
        <v>89</v>
      </c>
      <c r="Z560" s="1291" t="str">
        <f>C547</f>
        <v>RBC Community Investments</v>
      </c>
      <c r="AA560" s="1291"/>
      <c r="AB560" s="1291"/>
      <c r="AC560" s="1291"/>
      <c r="AD560" s="1291"/>
      <c r="AE560" s="1291"/>
      <c r="AF560" s="1291"/>
      <c r="AG560" s="1291"/>
      <c r="AH560" s="1291"/>
      <c r="AI560" s="1291"/>
      <c r="AJ560" s="1291"/>
      <c r="AK560" s="12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A561" s="4"/>
      <c r="B561" t="s">
        <v>395</v>
      </c>
      <c r="G561" s="1084" t="s">
        <v>2456</v>
      </c>
      <c r="H561" s="1084"/>
      <c r="I561" s="1084"/>
      <c r="J561" s="1084"/>
      <c r="K561" s="1084"/>
      <c r="L561" s="1084"/>
      <c r="M561" s="1084"/>
      <c r="N561" s="1084"/>
      <c r="O561" s="1084"/>
      <c r="P561" s="1084"/>
      <c r="Q561" s="1084"/>
      <c r="R561" s="1084"/>
      <c r="S561" s="12"/>
      <c r="T561" s="4"/>
      <c r="U561" t="s">
        <v>395</v>
      </c>
      <c r="Z561" s="1084" t="s">
        <v>2450</v>
      </c>
      <c r="AA561" s="1084"/>
      <c r="AB561" s="1084"/>
      <c r="AC561" s="1084"/>
      <c r="AD561" s="1084"/>
      <c r="AE561" s="1084"/>
      <c r="AF561" s="1084"/>
      <c r="AG561" s="1084"/>
      <c r="AH561" s="1084"/>
      <c r="AI561" s="1084"/>
      <c r="AJ561" s="1084"/>
      <c r="AK561" s="108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A562" s="4"/>
      <c r="B562" t="s">
        <v>457</v>
      </c>
      <c r="G562" s="1084" t="s">
        <v>2457</v>
      </c>
      <c r="H562" s="1084"/>
      <c r="I562" s="1084"/>
      <c r="J562" s="1084"/>
      <c r="K562" s="1084"/>
      <c r="L562" s="1084"/>
      <c r="M562" s="1084"/>
      <c r="N562" s="1084"/>
      <c r="O562" s="1084"/>
      <c r="P562" s="1084"/>
      <c r="Q562" s="1084"/>
      <c r="R562" s="1084"/>
      <c r="T562" s="4"/>
      <c r="U562" t="s">
        <v>457</v>
      </c>
      <c r="Z562" s="1085" t="s">
        <v>2451</v>
      </c>
      <c r="AA562" s="1085"/>
      <c r="AB562" s="1085"/>
      <c r="AC562" s="1085"/>
      <c r="AD562" s="1085"/>
      <c r="AE562" s="1085"/>
      <c r="AF562" s="1085"/>
      <c r="AG562" s="1085"/>
      <c r="AH562" s="1085"/>
      <c r="AI562" s="1085"/>
      <c r="AJ562" s="1085"/>
      <c r="AK562" s="1085"/>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4"/>
      <c r="B563" t="s">
        <v>872</v>
      </c>
      <c r="G563" s="1084" t="s">
        <v>2458</v>
      </c>
      <c r="H563" s="1084"/>
      <c r="I563" s="1084"/>
      <c r="J563" s="1084"/>
      <c r="K563" s="1084"/>
      <c r="L563" s="1084"/>
      <c r="M563" s="1084"/>
      <c r="N563" s="1084"/>
      <c r="O563" s="1084"/>
      <c r="P563" s="1084"/>
      <c r="Q563" s="1084"/>
      <c r="R563" s="1084"/>
      <c r="S563" s="12"/>
      <c r="T563" s="4"/>
      <c r="U563" t="s">
        <v>872</v>
      </c>
      <c r="Z563" s="1085" t="s">
        <v>2452</v>
      </c>
      <c r="AA563" s="1085"/>
      <c r="AB563" s="1085"/>
      <c r="AC563" s="1085"/>
      <c r="AD563" s="1085"/>
      <c r="AE563" s="1085"/>
      <c r="AF563" s="1085"/>
      <c r="AG563" s="1085"/>
      <c r="AH563" s="1085"/>
      <c r="AI563" s="1085"/>
      <c r="AJ563" s="1085"/>
      <c r="AK563" s="1085"/>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684</v>
      </c>
      <c r="G564" s="1284" t="s">
        <v>2459</v>
      </c>
      <c r="H564" s="1108"/>
      <c r="I564" s="1108"/>
      <c r="J564" s="1108"/>
      <c r="K564" s="1108"/>
      <c r="L564" s="1108"/>
      <c r="O564" s="42" t="s">
        <v>857</v>
      </c>
      <c r="P564" s="1279"/>
      <c r="Q564" s="1279"/>
      <c r="R564" s="1279"/>
      <c r="S564" s="14"/>
      <c r="T564" s="4"/>
      <c r="U564" t="s">
        <v>684</v>
      </c>
      <c r="Z564" s="1284" t="s">
        <v>2453</v>
      </c>
      <c r="AA564" s="1108"/>
      <c r="AB564" s="1108"/>
      <c r="AC564" s="1108"/>
      <c r="AD564" s="1108"/>
      <c r="AE564" s="1108"/>
      <c r="AH564" s="42" t="s">
        <v>857</v>
      </c>
      <c r="AI564" s="1279"/>
      <c r="AJ564" s="1279"/>
      <c r="AK564" s="1279"/>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873</v>
      </c>
      <c r="H565" s="1084" t="s">
        <v>2460</v>
      </c>
      <c r="I565" s="1084"/>
      <c r="J565" s="1084"/>
      <c r="K565" s="1084"/>
      <c r="L565" s="1084"/>
      <c r="M565" s="1084"/>
      <c r="N565" s="1084"/>
      <c r="O565" s="1084"/>
      <c r="P565" s="1084"/>
      <c r="Q565" s="1084"/>
      <c r="R565" s="1084"/>
      <c r="S565" s="12"/>
      <c r="T565" s="4"/>
      <c r="U565" t="s">
        <v>873</v>
      </c>
      <c r="AA565" s="1084" t="s">
        <v>2454</v>
      </c>
      <c r="AB565" s="1084"/>
      <c r="AC565" s="1084"/>
      <c r="AD565" s="1084"/>
      <c r="AE565" s="1084"/>
      <c r="AF565" s="1084"/>
      <c r="AG565" s="1084"/>
      <c r="AH565" s="1084"/>
      <c r="AI565" s="1084"/>
      <c r="AJ565" s="1084"/>
      <c r="AK565" s="108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875</v>
      </c>
      <c r="N566" s="1109" t="s">
        <v>115</v>
      </c>
      <c r="O566" s="1109"/>
      <c r="T566" s="4"/>
      <c r="U566" t="s">
        <v>875</v>
      </c>
      <c r="AG566" s="1109" t="s">
        <v>115</v>
      </c>
      <c r="AH566" s="1109"/>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61" t="s">
        <v>949</v>
      </c>
      <c r="B568" t="s">
        <v>89</v>
      </c>
      <c r="G568" s="1291" t="str">
        <f>C548</f>
        <v>Pacific Housing, Inc.</v>
      </c>
      <c r="H568" s="1291"/>
      <c r="I568" s="1291"/>
      <c r="J568" s="1291"/>
      <c r="K568" s="1291"/>
      <c r="L568" s="1291"/>
      <c r="M568" s="1291"/>
      <c r="N568" s="1291"/>
      <c r="O568" s="1291"/>
      <c r="P568" s="1291"/>
      <c r="Q568" s="1291"/>
      <c r="R568" s="1291"/>
      <c r="T568" s="61" t="s">
        <v>458</v>
      </c>
      <c r="U568" t="s">
        <v>89</v>
      </c>
      <c r="Z568" s="1291" t="str">
        <f>C549</f>
        <v>Pacific Housing, Inc.</v>
      </c>
      <c r="AA568" s="1291"/>
      <c r="AB568" s="1291"/>
      <c r="AC568" s="1291"/>
      <c r="AD568" s="1291"/>
      <c r="AE568" s="1291"/>
      <c r="AF568" s="1291"/>
      <c r="AG568" s="1291"/>
      <c r="AH568" s="1291"/>
      <c r="AI568" s="1291"/>
      <c r="AJ568" s="1291"/>
      <c r="AK568" s="12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395</v>
      </c>
      <c r="G569" s="1084" t="s">
        <v>2376</v>
      </c>
      <c r="H569" s="1084"/>
      <c r="I569" s="1084"/>
      <c r="J569" s="1084"/>
      <c r="K569" s="1084"/>
      <c r="L569" s="1084"/>
      <c r="M569" s="1084"/>
      <c r="N569" s="1084"/>
      <c r="O569" s="1084"/>
      <c r="P569" s="1084"/>
      <c r="Q569" s="1084"/>
      <c r="R569" s="1084"/>
      <c r="T569" s="4"/>
      <c r="U569" t="s">
        <v>395</v>
      </c>
      <c r="Z569" s="1084" t="s">
        <v>2376</v>
      </c>
      <c r="AA569" s="1084"/>
      <c r="AB569" s="1084"/>
      <c r="AC569" s="1084"/>
      <c r="AD569" s="1084"/>
      <c r="AE569" s="1084"/>
      <c r="AF569" s="1084"/>
      <c r="AG569" s="1084"/>
      <c r="AH569" s="1084"/>
      <c r="AI569" s="1084"/>
      <c r="AJ569" s="1084"/>
      <c r="AK569" s="108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570" s="4"/>
      <c r="B570" t="s">
        <v>457</v>
      </c>
      <c r="G570" s="1085" t="s">
        <v>117</v>
      </c>
      <c r="H570" s="1085"/>
      <c r="I570" s="1085"/>
      <c r="J570" s="1085"/>
      <c r="K570" s="1085"/>
      <c r="L570" s="1085"/>
      <c r="M570" s="1085"/>
      <c r="N570" s="1085"/>
      <c r="O570" s="1085"/>
      <c r="P570" s="1085"/>
      <c r="Q570" s="1085"/>
      <c r="R570" s="1085"/>
      <c r="T570" s="4"/>
      <c r="U570" t="s">
        <v>457</v>
      </c>
      <c r="Z570" s="1085" t="s">
        <v>2395</v>
      </c>
      <c r="AA570" s="1085"/>
      <c r="AB570" s="1085"/>
      <c r="AC570" s="1085"/>
      <c r="AD570" s="1085"/>
      <c r="AE570" s="1085"/>
      <c r="AF570" s="1085"/>
      <c r="AG570" s="1085"/>
      <c r="AH570" s="1085"/>
      <c r="AI570" s="1085"/>
      <c r="AJ570" s="1085"/>
      <c r="AK570" s="1085"/>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4"/>
      <c r="B571" t="s">
        <v>872</v>
      </c>
      <c r="G571" s="1085" t="s">
        <v>2391</v>
      </c>
      <c r="H571" s="1085"/>
      <c r="I571" s="1085"/>
      <c r="J571" s="1085"/>
      <c r="K571" s="1085"/>
      <c r="L571" s="1085"/>
      <c r="M571" s="1085"/>
      <c r="N571" s="1085"/>
      <c r="O571" s="1085"/>
      <c r="P571" s="1085"/>
      <c r="Q571" s="1085"/>
      <c r="R571" s="1085"/>
      <c r="T571" s="4"/>
      <c r="U571" t="s">
        <v>872</v>
      </c>
      <c r="Z571" s="1085" t="s">
        <v>2391</v>
      </c>
      <c r="AA571" s="1085"/>
      <c r="AB571" s="1085"/>
      <c r="AC571" s="1085"/>
      <c r="AD571" s="1085"/>
      <c r="AE571" s="1085"/>
      <c r="AF571" s="1085"/>
      <c r="AG571" s="1085"/>
      <c r="AH571" s="1085"/>
      <c r="AI571" s="1085"/>
      <c r="AJ571" s="1085"/>
      <c r="AK571" s="10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684</v>
      </c>
      <c r="G572" s="1108">
        <v>9166385200</v>
      </c>
      <c r="H572" s="1108"/>
      <c r="I572" s="1108"/>
      <c r="J572" s="1108"/>
      <c r="K572" s="1108"/>
      <c r="L572" s="1108"/>
      <c r="O572" s="42" t="s">
        <v>857</v>
      </c>
      <c r="P572" s="1279"/>
      <c r="Q572" s="1279"/>
      <c r="R572" s="1279"/>
      <c r="T572" s="4"/>
      <c r="U572" t="s">
        <v>684</v>
      </c>
      <c r="Z572" s="1108" t="s">
        <v>2377</v>
      </c>
      <c r="AA572" s="1108"/>
      <c r="AB572" s="1108"/>
      <c r="AC572" s="1108"/>
      <c r="AD572" s="1108"/>
      <c r="AE572" s="1108"/>
      <c r="AH572" s="42" t="s">
        <v>857</v>
      </c>
      <c r="AI572" s="1279"/>
      <c r="AJ572" s="1279"/>
      <c r="AK572" s="127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873</v>
      </c>
      <c r="H573" s="1084" t="s">
        <v>2384</v>
      </c>
      <c r="I573" s="1084"/>
      <c r="J573" s="1084"/>
      <c r="K573" s="1084"/>
      <c r="L573" s="1084"/>
      <c r="M573" s="1084"/>
      <c r="N573" s="1084"/>
      <c r="O573" s="1084"/>
      <c r="P573" s="1084"/>
      <c r="Q573" s="1084"/>
      <c r="R573" s="1084"/>
      <c r="T573" s="4"/>
      <c r="U573" t="s">
        <v>873</v>
      </c>
      <c r="AA573" s="1084" t="s">
        <v>2385</v>
      </c>
      <c r="AB573" s="1084"/>
      <c r="AC573" s="1084"/>
      <c r="AD573" s="1084"/>
      <c r="AE573" s="1084"/>
      <c r="AF573" s="1084"/>
      <c r="AG573" s="1084"/>
      <c r="AH573" s="1084"/>
      <c r="AI573" s="1084"/>
      <c r="AJ573" s="1084"/>
      <c r="AK573" s="108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875</v>
      </c>
      <c r="N574" s="1099" t="s">
        <v>115</v>
      </c>
      <c r="O574" s="1099"/>
      <c r="T574" s="4"/>
      <c r="U574" t="s">
        <v>875</v>
      </c>
      <c r="AG574" s="1099" t="s">
        <v>115</v>
      </c>
      <c r="AH574" s="109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61" t="s">
        <v>181</v>
      </c>
      <c r="B576" t="s">
        <v>89</v>
      </c>
      <c r="G576" s="1291">
        <f>C550</f>
        <v>0</v>
      </c>
      <c r="H576" s="1291"/>
      <c r="I576" s="1291"/>
      <c r="J576" s="1291"/>
      <c r="K576" s="1291"/>
      <c r="L576" s="1291"/>
      <c r="M576" s="1291"/>
      <c r="N576" s="1291"/>
      <c r="O576" s="1291"/>
      <c r="P576" s="1291"/>
      <c r="Q576" s="1291"/>
      <c r="R576" s="1291"/>
      <c r="T576" s="61" t="s">
        <v>461</v>
      </c>
      <c r="U576" t="s">
        <v>89</v>
      </c>
      <c r="Z576" s="1291">
        <f>C551</f>
        <v>0</v>
      </c>
      <c r="AA576" s="1291"/>
      <c r="AB576" s="1291"/>
      <c r="AC576" s="1291"/>
      <c r="AD576" s="1291"/>
      <c r="AE576" s="1291"/>
      <c r="AF576" s="1291"/>
      <c r="AG576" s="1291"/>
      <c r="AH576" s="1291"/>
      <c r="AI576" s="1291"/>
      <c r="AJ576" s="1291"/>
      <c r="AK576" s="12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395</v>
      </c>
      <c r="G577" s="1084"/>
      <c r="H577" s="1084"/>
      <c r="I577" s="1084"/>
      <c r="J577" s="1084"/>
      <c r="K577" s="1084"/>
      <c r="L577" s="1084"/>
      <c r="M577" s="1084"/>
      <c r="N577" s="1084"/>
      <c r="O577" s="1084"/>
      <c r="P577" s="1084"/>
      <c r="Q577" s="1084"/>
      <c r="R577" s="1084"/>
      <c r="T577" s="4"/>
      <c r="U577" t="s">
        <v>395</v>
      </c>
      <c r="Z577" s="1084"/>
      <c r="AA577" s="1084"/>
      <c r="AB577" s="1084"/>
      <c r="AC577" s="1084"/>
      <c r="AD577" s="1084"/>
      <c r="AE577" s="1084"/>
      <c r="AF577" s="1084"/>
      <c r="AG577" s="1084"/>
      <c r="AH577" s="1084"/>
      <c r="AI577" s="1084"/>
      <c r="AJ577" s="1084"/>
      <c r="AK577" s="108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578" s="4"/>
      <c r="B578" t="s">
        <v>457</v>
      </c>
      <c r="G578" s="1084"/>
      <c r="H578" s="1084"/>
      <c r="I578" s="1084"/>
      <c r="J578" s="1084"/>
      <c r="K578" s="1084"/>
      <c r="L578" s="1084"/>
      <c r="M578" s="1084"/>
      <c r="N578" s="1084"/>
      <c r="O578" s="1084"/>
      <c r="P578" s="1084"/>
      <c r="Q578" s="1084"/>
      <c r="R578" s="1084"/>
      <c r="T578" s="4"/>
      <c r="U578" t="s">
        <v>457</v>
      </c>
      <c r="Z578" s="1085"/>
      <c r="AA578" s="1085"/>
      <c r="AB578" s="1085"/>
      <c r="AC578" s="1085"/>
      <c r="AD578" s="1085"/>
      <c r="AE578" s="1085"/>
      <c r="AF578" s="1085"/>
      <c r="AG578" s="1085"/>
      <c r="AH578" s="1085"/>
      <c r="AI578" s="1085"/>
      <c r="AJ578" s="1085"/>
      <c r="AK578" s="1085"/>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4"/>
      <c r="B579" t="s">
        <v>872</v>
      </c>
      <c r="G579" s="1084"/>
      <c r="H579" s="1084"/>
      <c r="I579" s="1084"/>
      <c r="J579" s="1084"/>
      <c r="K579" s="1084"/>
      <c r="L579" s="1084"/>
      <c r="M579" s="1084"/>
      <c r="N579" s="1084"/>
      <c r="O579" s="1084"/>
      <c r="P579" s="1084"/>
      <c r="Q579" s="1084"/>
      <c r="R579" s="1084"/>
      <c r="T579" s="4"/>
      <c r="U579" t="s">
        <v>872</v>
      </c>
      <c r="Z579" s="1085"/>
      <c r="AA579" s="1085"/>
      <c r="AB579" s="1085"/>
      <c r="AC579" s="1085"/>
      <c r="AD579" s="1085"/>
      <c r="AE579" s="1085"/>
      <c r="AF579" s="1085"/>
      <c r="AG579" s="1085"/>
      <c r="AH579" s="1085"/>
      <c r="AI579" s="1085"/>
      <c r="AJ579" s="1085"/>
      <c r="AK579" s="10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684</v>
      </c>
      <c r="G580" s="1108"/>
      <c r="H580" s="1108"/>
      <c r="I580" s="1108"/>
      <c r="J580" s="1108"/>
      <c r="K580" s="1108"/>
      <c r="L580" s="1108"/>
      <c r="O580" s="42" t="s">
        <v>857</v>
      </c>
      <c r="P580" s="1279"/>
      <c r="Q580" s="1279"/>
      <c r="R580" s="1279"/>
      <c r="T580" s="4"/>
      <c r="U580" t="s">
        <v>684</v>
      </c>
      <c r="Z580" s="1108"/>
      <c r="AA580" s="1108"/>
      <c r="AB580" s="1108"/>
      <c r="AC580" s="1108"/>
      <c r="AD580" s="1108"/>
      <c r="AE580" s="1108"/>
      <c r="AH580" s="42" t="s">
        <v>857</v>
      </c>
      <c r="AI580" s="1279"/>
      <c r="AJ580" s="1279"/>
      <c r="AK580" s="127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873</v>
      </c>
      <c r="H581" s="1084"/>
      <c r="I581" s="1084"/>
      <c r="J581" s="1084"/>
      <c r="K581" s="1084"/>
      <c r="L581" s="1084"/>
      <c r="M581" s="1084"/>
      <c r="N581" s="1084"/>
      <c r="O581" s="1084"/>
      <c r="P581" s="1084"/>
      <c r="Q581" s="1084"/>
      <c r="R581" s="1084"/>
      <c r="T581" s="4"/>
      <c r="U581" t="s">
        <v>873</v>
      </c>
      <c r="AA581" s="1084"/>
      <c r="AB581" s="1084"/>
      <c r="AC581" s="1084"/>
      <c r="AD581" s="1084"/>
      <c r="AE581" s="1084"/>
      <c r="AF581" s="1084"/>
      <c r="AG581" s="1084"/>
      <c r="AH581" s="1084"/>
      <c r="AI581" s="1084"/>
      <c r="AJ581" s="1084"/>
      <c r="AK581" s="108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875</v>
      </c>
      <c r="N582" s="1099" t="s">
        <v>509</v>
      </c>
      <c r="O582" s="1099"/>
      <c r="T582" s="4"/>
      <c r="U582" t="s">
        <v>875</v>
      </c>
      <c r="AG582" s="1099" t="s">
        <v>509</v>
      </c>
      <c r="AH582" s="109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61" t="s">
        <v>776</v>
      </c>
      <c r="B584" t="s">
        <v>89</v>
      </c>
      <c r="G584" s="1291">
        <f>C552</f>
        <v>0</v>
      </c>
      <c r="H584" s="1291"/>
      <c r="I584" s="1291"/>
      <c r="J584" s="1291"/>
      <c r="K584" s="1291"/>
      <c r="L584" s="1291"/>
      <c r="M584" s="1291"/>
      <c r="N584" s="1291"/>
      <c r="O584" s="1291"/>
      <c r="P584" s="1291"/>
      <c r="Q584" s="1291"/>
      <c r="R584" s="1291"/>
      <c r="T584" s="61" t="s">
        <v>777</v>
      </c>
      <c r="U584" t="s">
        <v>89</v>
      </c>
      <c r="Z584" s="1291">
        <f>C553</f>
        <v>0</v>
      </c>
      <c r="AA584" s="1291"/>
      <c r="AB584" s="1291"/>
      <c r="AC584" s="1291"/>
      <c r="AD584" s="1291"/>
      <c r="AE584" s="1291"/>
      <c r="AF584" s="1291"/>
      <c r="AG584" s="1291"/>
      <c r="AH584" s="1291"/>
      <c r="AI584" s="1291"/>
      <c r="AJ584" s="1291"/>
      <c r="AK584" s="12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395</v>
      </c>
      <c r="G585" s="1084"/>
      <c r="H585" s="1084"/>
      <c r="I585" s="1084"/>
      <c r="J585" s="1084"/>
      <c r="K585" s="1084"/>
      <c r="L585" s="1084"/>
      <c r="M585" s="1084"/>
      <c r="N585" s="1084"/>
      <c r="O585" s="1084"/>
      <c r="P585" s="1084"/>
      <c r="Q585" s="1084"/>
      <c r="R585" s="1084"/>
      <c r="T585" s="4"/>
      <c r="U585" t="s">
        <v>395</v>
      </c>
      <c r="Z585" s="1084"/>
      <c r="AA585" s="1084"/>
      <c r="AB585" s="1084"/>
      <c r="AC585" s="1084"/>
      <c r="AD585" s="1084"/>
      <c r="AE585" s="1084"/>
      <c r="AF585" s="1084"/>
      <c r="AG585" s="1084"/>
      <c r="AH585" s="1084"/>
      <c r="AI585" s="1084"/>
      <c r="AJ585" s="1084"/>
      <c r="AK585" s="108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 customHeight="1">
      <c r="A586" s="4"/>
      <c r="B586" t="s">
        <v>457</v>
      </c>
      <c r="C586"/>
      <c r="D586"/>
      <c r="E586"/>
      <c r="F586"/>
      <c r="G586" s="1084"/>
      <c r="H586" s="1084"/>
      <c r="I586" s="1084"/>
      <c r="J586" s="1084"/>
      <c r="K586" s="1084"/>
      <c r="L586" s="1084"/>
      <c r="M586" s="1084"/>
      <c r="N586" s="1084"/>
      <c r="O586" s="1084"/>
      <c r="P586" s="1084"/>
      <c r="Q586" s="1084"/>
      <c r="R586" s="1084"/>
      <c r="S586"/>
      <c r="T586" s="4"/>
      <c r="U586" t="s">
        <v>457</v>
      </c>
      <c r="V586"/>
      <c r="W586"/>
      <c r="X586"/>
      <c r="Y586"/>
      <c r="Z586" s="1085"/>
      <c r="AA586" s="1085"/>
      <c r="AB586" s="1085"/>
      <c r="AC586" s="1085"/>
      <c r="AD586" s="1085"/>
      <c r="AE586" s="1085"/>
      <c r="AF586" s="1085"/>
      <c r="AG586" s="1085"/>
      <c r="AH586" s="1085"/>
      <c r="AI586" s="1085"/>
      <c r="AJ586" s="1085"/>
      <c r="AK586" s="1085"/>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 customHeight="1">
      <c r="A587" s="4"/>
      <c r="B587" t="s">
        <v>872</v>
      </c>
      <c r="C587"/>
      <c r="D587"/>
      <c r="E587"/>
      <c r="F587"/>
      <c r="G587" s="1084"/>
      <c r="H587" s="1084"/>
      <c r="I587" s="1084"/>
      <c r="J587" s="1084"/>
      <c r="K587" s="1084"/>
      <c r="L587" s="1084"/>
      <c r="M587" s="1084"/>
      <c r="N587" s="1084"/>
      <c r="O587" s="1084"/>
      <c r="P587" s="1084"/>
      <c r="Q587" s="1084"/>
      <c r="R587" s="1084"/>
      <c r="S587"/>
      <c r="T587" s="4"/>
      <c r="U587" t="s">
        <v>872</v>
      </c>
      <c r="V587"/>
      <c r="W587"/>
      <c r="X587"/>
      <c r="Y587"/>
      <c r="Z587" s="1085"/>
      <c r="AA587" s="1085"/>
      <c r="AB587" s="1085"/>
      <c r="AC587" s="1085"/>
      <c r="AD587" s="1085"/>
      <c r="AE587" s="1085"/>
      <c r="AF587" s="1085"/>
      <c r="AG587" s="1085"/>
      <c r="AH587" s="1085"/>
      <c r="AI587" s="1085"/>
      <c r="AJ587" s="1085"/>
      <c r="AK587" s="1085"/>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364</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 customHeight="1">
      <c r="A588" s="4"/>
      <c r="B588" t="s">
        <v>684</v>
      </c>
      <c r="C588"/>
      <c r="D588"/>
      <c r="E588"/>
      <c r="F588"/>
      <c r="G588" s="1108"/>
      <c r="H588" s="1108"/>
      <c r="I588" s="1108"/>
      <c r="J588" s="1108"/>
      <c r="K588" s="1108"/>
      <c r="L588" s="1108"/>
      <c r="M588"/>
      <c r="N588"/>
      <c r="O588" s="42" t="s">
        <v>857</v>
      </c>
      <c r="P588" s="1279"/>
      <c r="Q588" s="1279"/>
      <c r="R588" s="1279"/>
      <c r="S588"/>
      <c r="T588" s="4"/>
      <c r="U588" t="s">
        <v>684</v>
      </c>
      <c r="V588"/>
      <c r="W588"/>
      <c r="X588"/>
      <c r="Y588"/>
      <c r="Z588" s="1108"/>
      <c r="AA588" s="1108"/>
      <c r="AB588" s="1108"/>
      <c r="AC588" s="1108"/>
      <c r="AD588" s="1108"/>
      <c r="AE588" s="1108"/>
      <c r="AF588"/>
      <c r="AG588"/>
      <c r="AH588" s="42" t="s">
        <v>857</v>
      </c>
      <c r="AI588" s="1279"/>
      <c r="AJ588" s="1279"/>
      <c r="AK588" s="1279"/>
      <c r="AL588"/>
      <c r="AZ588" s="5" t="s">
        <v>468</v>
      </c>
      <c r="BA588" s="41"/>
      <c r="BB588" s="41"/>
      <c r="BC588" s="41"/>
      <c r="BD588" s="41"/>
      <c r="BE588" s="214" t="s">
        <v>371</v>
      </c>
      <c r="BF588" s="215"/>
      <c r="BG588" s="1237"/>
      <c r="BH588" s="1240"/>
      <c r="BI588" s="214" t="s">
        <v>372</v>
      </c>
      <c r="BJ588" s="215"/>
      <c r="BK588" s="1237"/>
      <c r="BL588" s="1240"/>
      <c r="BN588" s="1237">
        <f t="shared" ref="BN588:BN612" si="1">IF(B692="SRO/Studio",G692,0)</f>
        <v>0</v>
      </c>
      <c r="BO588" s="1238"/>
      <c r="BP588" s="1238"/>
      <c r="BQ588" s="1238"/>
      <c r="BR588" s="1239"/>
      <c r="BS588" s="1237">
        <f t="shared" ref="BS588:BS612" si="2">IF(B692="1 Bedroom",G692,0)</f>
        <v>1</v>
      </c>
      <c r="BT588" s="1238"/>
      <c r="BU588" s="1238"/>
      <c r="BV588" s="1238"/>
      <c r="BW588" s="1240"/>
      <c r="BX588" s="1237">
        <f t="shared" ref="BX588:BX612" si="3">IF(B692="2 Bedrooms",G692,0)</f>
        <v>0</v>
      </c>
      <c r="BY588" s="1238"/>
      <c r="BZ588" s="1238"/>
      <c r="CA588" s="1238"/>
      <c r="CB588" s="1240"/>
      <c r="CC588" s="1237">
        <f t="shared" ref="CC588:CC612" si="4">IF(B692="3 Bedrooms",G692,0)</f>
        <v>0</v>
      </c>
      <c r="CD588" s="1238"/>
      <c r="CE588" s="1238"/>
      <c r="CF588" s="1238"/>
      <c r="CG588" s="1240"/>
      <c r="CH588" s="1237">
        <f t="shared" ref="CH588:CH612" si="5">IF(B692="4 Bedrooms",G692,0)</f>
        <v>0</v>
      </c>
      <c r="CI588" s="1238"/>
      <c r="CJ588" s="1238"/>
      <c r="CK588" s="1238"/>
      <c r="CL588" s="1240"/>
      <c r="CM588" s="1492">
        <f t="shared" ref="CM588:CM612" si="6">IF(B692="5 Bedrooms",G692,0)</f>
        <v>0</v>
      </c>
      <c r="CN588" s="1493"/>
      <c r="CO588" s="1493"/>
      <c r="CP588" s="1493"/>
      <c r="CQ588" s="1239"/>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364</v>
      </c>
      <c r="DS588" s="847"/>
      <c r="DT588" s="847"/>
      <c r="DU588" s="847"/>
      <c r="DV588" s="847"/>
    </row>
    <row r="589" spans="1:126" s="5" customFormat="1" ht="12.9" customHeight="1">
      <c r="A589" s="4"/>
      <c r="B589" t="s">
        <v>873</v>
      </c>
      <c r="C589"/>
      <c r="D589"/>
      <c r="E589"/>
      <c r="F589"/>
      <c r="G589"/>
      <c r="H589" s="1084"/>
      <c r="I589" s="1084"/>
      <c r="J589" s="1084"/>
      <c r="K589" s="1084"/>
      <c r="L589" s="1084"/>
      <c r="M589" s="1084"/>
      <c r="N589" s="1084"/>
      <c r="O589" s="1084"/>
      <c r="P589" s="1084"/>
      <c r="Q589" s="1084"/>
      <c r="R589" s="1084"/>
      <c r="S589"/>
      <c r="T589" s="4"/>
      <c r="U589" t="s">
        <v>873</v>
      </c>
      <c r="V589"/>
      <c r="W589"/>
      <c r="X589"/>
      <c r="Y589"/>
      <c r="Z589"/>
      <c r="AA589" s="1084"/>
      <c r="AB589" s="1084"/>
      <c r="AC589" s="1084"/>
      <c r="AD589" s="1084"/>
      <c r="AE589" s="1084"/>
      <c r="AF589" s="1084"/>
      <c r="AG589" s="1084"/>
      <c r="AH589" s="1084"/>
      <c r="AI589" s="1084"/>
      <c r="AJ589" s="1084"/>
      <c r="AK589" s="1084"/>
      <c r="AL589"/>
      <c r="AZ589" s="5" t="s">
        <v>469</v>
      </c>
      <c r="BA589" s="41"/>
      <c r="BB589" s="41"/>
      <c r="BC589" s="41"/>
      <c r="BD589" s="41"/>
      <c r="BE589" s="1241">
        <f>IF(AND(AH692&lt;=0.5,AH692&gt;=0.36),1,0)</f>
        <v>0</v>
      </c>
      <c r="BF589" s="1242"/>
      <c r="BG589" s="1237">
        <f t="shared" ref="BG589:BG613" si="7">IF(BE589=1,G692,0)</f>
        <v>0</v>
      </c>
      <c r="BH589" s="1240"/>
      <c r="BI589" s="1241">
        <f>IF(AND(AH692&lt;=0.35,AH692&gt;0),1,0)</f>
        <v>1</v>
      </c>
      <c r="BJ589" s="1242"/>
      <c r="BK589" s="1237">
        <f t="shared" ref="BK589:BK613" si="8">IF(BI589=1,G692,0)</f>
        <v>1</v>
      </c>
      <c r="BL589" s="1240"/>
      <c r="BN589" s="1237">
        <f t="shared" si="1"/>
        <v>0</v>
      </c>
      <c r="BO589" s="1238"/>
      <c r="BP589" s="1238"/>
      <c r="BQ589" s="1238"/>
      <c r="BR589" s="1239"/>
      <c r="BS589" s="1237">
        <f t="shared" si="2"/>
        <v>2</v>
      </c>
      <c r="BT589" s="1238"/>
      <c r="BU589" s="1238"/>
      <c r="BV589" s="1238"/>
      <c r="BW589" s="1240"/>
      <c r="BX589" s="1237">
        <f t="shared" si="3"/>
        <v>0</v>
      </c>
      <c r="BY589" s="1238"/>
      <c r="BZ589" s="1238"/>
      <c r="CA589" s="1238"/>
      <c r="CB589" s="1240"/>
      <c r="CC589" s="1237">
        <f t="shared" si="4"/>
        <v>0</v>
      </c>
      <c r="CD589" s="1238"/>
      <c r="CE589" s="1238"/>
      <c r="CF589" s="1238"/>
      <c r="CG589" s="1240"/>
      <c r="CH589" s="1237">
        <f t="shared" si="5"/>
        <v>0</v>
      </c>
      <c r="CI589" s="1238"/>
      <c r="CJ589" s="1238"/>
      <c r="CK589" s="1238"/>
      <c r="CL589" s="1240"/>
      <c r="CM589" s="1237">
        <f t="shared" si="6"/>
        <v>0</v>
      </c>
      <c r="CN589" s="1238"/>
      <c r="CO589" s="1238"/>
      <c r="CP589" s="1238"/>
      <c r="CQ589" s="1240"/>
      <c r="CS589" s="1489">
        <f>IF(AND(B692="SRO/Studio",AH692&lt;=0.3),G692,0)</f>
        <v>0</v>
      </c>
      <c r="CT589" s="1490"/>
      <c r="CU589" s="1490"/>
      <c r="CV589" s="1490"/>
      <c r="CW589" s="1491"/>
      <c r="CX589" s="1489">
        <f>IF(AND(B692="1 Bedroom",AH692&lt;=0.3),G692,0)</f>
        <v>1</v>
      </c>
      <c r="CY589" s="1490"/>
      <c r="CZ589" s="1490"/>
      <c r="DA589" s="1490"/>
      <c r="DB589" s="1491"/>
      <c r="DC589" s="1489">
        <f>IF(AND(B692="2 Bedrooms",AH692&lt;=0.3),G692,0)</f>
        <v>0</v>
      </c>
      <c r="DD589" s="1490"/>
      <c r="DE589" s="1490"/>
      <c r="DF589" s="1490"/>
      <c r="DG589" s="1491"/>
      <c r="DH589" s="1489">
        <f>IF(AND(B692="3 Bedrooms",AH692&lt;=0.3),G692,0)</f>
        <v>0</v>
      </c>
      <c r="DI589" s="1490"/>
      <c r="DJ589" s="1490"/>
      <c r="DK589" s="1490"/>
      <c r="DL589" s="1491"/>
      <c r="DM589" s="1489">
        <f>IF(AND(B692="4 Bedrooms",AH692&lt;=0.3),G692,0)</f>
        <v>0</v>
      </c>
      <c r="DN589" s="1490"/>
      <c r="DO589" s="1490"/>
      <c r="DP589" s="1490"/>
      <c r="DQ589" s="1491"/>
      <c r="DR589" s="1489">
        <f>IF(AND(B692="5 Bedrooms",AH692&lt;=0.3),G692,0)</f>
        <v>0</v>
      </c>
      <c r="DS589" s="1490"/>
      <c r="DT589" s="1490"/>
      <c r="DU589" s="1490"/>
      <c r="DV589" s="1491"/>
    </row>
    <row r="590" spans="1:126" s="5" customFormat="1" ht="12.9" customHeight="1">
      <c r="A590" s="4"/>
      <c r="B590" t="s">
        <v>875</v>
      </c>
      <c r="C590"/>
      <c r="D590"/>
      <c r="E590"/>
      <c r="F590"/>
      <c r="G590"/>
      <c r="H590"/>
      <c r="I590"/>
      <c r="J590"/>
      <c r="K590"/>
      <c r="L590"/>
      <c r="M590"/>
      <c r="N590" s="1099" t="s">
        <v>509</v>
      </c>
      <c r="O590" s="1099"/>
      <c r="P590"/>
      <c r="Q590"/>
      <c r="R590"/>
      <c r="S590"/>
      <c r="T590" s="4"/>
      <c r="U590" t="s">
        <v>875</v>
      </c>
      <c r="V590"/>
      <c r="W590"/>
      <c r="X590"/>
      <c r="Y590"/>
      <c r="Z590"/>
      <c r="AA590"/>
      <c r="AB590"/>
      <c r="AC590"/>
      <c r="AD590"/>
      <c r="AE590"/>
      <c r="AF590"/>
      <c r="AG590" s="1099" t="s">
        <v>509</v>
      </c>
      <c r="AH590" s="1099"/>
      <c r="AI590"/>
      <c r="AJ590"/>
      <c r="AK590"/>
      <c r="AL590"/>
      <c r="AZ590" s="5" t="s">
        <v>815</v>
      </c>
      <c r="BA590" s="41"/>
      <c r="BB590" s="41"/>
      <c r="BC590" s="41"/>
      <c r="BD590" s="41"/>
      <c r="BE590" s="1241">
        <f t="shared" ref="BE590:BE613" si="9">IF(AND(AH693&lt;=0.5,AH693&gt;=0.36),1,0)</f>
        <v>1</v>
      </c>
      <c r="BF590" s="1242"/>
      <c r="BG590" s="1237">
        <f t="shared" si="7"/>
        <v>2</v>
      </c>
      <c r="BH590" s="1240"/>
      <c r="BI590" s="1241">
        <f t="shared" ref="BI590:BI613" si="10">IF(AND(AH693&lt;=0.35,AH693&gt;0),1,0)</f>
        <v>0</v>
      </c>
      <c r="BJ590" s="1242"/>
      <c r="BK590" s="1237">
        <f t="shared" si="8"/>
        <v>0</v>
      </c>
      <c r="BL590" s="1240"/>
      <c r="BN590" s="1237">
        <f t="shared" si="1"/>
        <v>0</v>
      </c>
      <c r="BO590" s="1238"/>
      <c r="BP590" s="1238"/>
      <c r="BQ590" s="1238"/>
      <c r="BR590" s="1239"/>
      <c r="BS590" s="1237">
        <f t="shared" si="2"/>
        <v>5</v>
      </c>
      <c r="BT590" s="1238"/>
      <c r="BU590" s="1238"/>
      <c r="BV590" s="1238"/>
      <c r="BW590" s="1240"/>
      <c r="BX590" s="1237">
        <f t="shared" si="3"/>
        <v>0</v>
      </c>
      <c r="BY590" s="1238"/>
      <c r="BZ590" s="1238"/>
      <c r="CA590" s="1238"/>
      <c r="CB590" s="1240"/>
      <c r="CC590" s="1237">
        <f t="shared" si="4"/>
        <v>0</v>
      </c>
      <c r="CD590" s="1238"/>
      <c r="CE590" s="1238"/>
      <c r="CF590" s="1238"/>
      <c r="CG590" s="1240"/>
      <c r="CH590" s="1237">
        <f t="shared" si="5"/>
        <v>0</v>
      </c>
      <c r="CI590" s="1238"/>
      <c r="CJ590" s="1238"/>
      <c r="CK590" s="1238"/>
      <c r="CL590" s="1240"/>
      <c r="CM590" s="1237">
        <f t="shared" si="6"/>
        <v>0</v>
      </c>
      <c r="CN590" s="1238"/>
      <c r="CO590" s="1238"/>
      <c r="CP590" s="1238"/>
      <c r="CQ590" s="1240"/>
      <c r="CS590" s="1489">
        <f t="shared" ref="CS590:CS613" si="11">IF(AND(B693="SRO/Studio",AH693&lt;=0.3),G693,0)</f>
        <v>0</v>
      </c>
      <c r="CT590" s="1490"/>
      <c r="CU590" s="1490"/>
      <c r="CV590" s="1490"/>
      <c r="CW590" s="1491"/>
      <c r="CX590" s="1489">
        <f t="shared" ref="CX590:CX613" si="12">IF(AND(B693="1 Bedroom",AH693&lt;=0.3),G693,0)</f>
        <v>0</v>
      </c>
      <c r="CY590" s="1490"/>
      <c r="CZ590" s="1490"/>
      <c r="DA590" s="1490"/>
      <c r="DB590" s="1491"/>
      <c r="DC590" s="1489">
        <f t="shared" ref="DC590:DC613" si="13">IF(AND(B693="2 Bedrooms",AH693&lt;=0.3),G693,0)</f>
        <v>0</v>
      </c>
      <c r="DD590" s="1490"/>
      <c r="DE590" s="1490"/>
      <c r="DF590" s="1490"/>
      <c r="DG590" s="1491"/>
      <c r="DH590" s="1489">
        <f t="shared" ref="DH590:DH613" si="14">IF(AND(B693="3 Bedrooms",AH693&lt;=0.3),G693,0)</f>
        <v>0</v>
      </c>
      <c r="DI590" s="1490"/>
      <c r="DJ590" s="1490"/>
      <c r="DK590" s="1490"/>
      <c r="DL590" s="1491"/>
      <c r="DM590" s="1489">
        <f t="shared" ref="DM590:DM613" si="15">IF(AND(B693="4 Bedrooms",AH693&lt;=0.3),G693,0)</f>
        <v>0</v>
      </c>
      <c r="DN590" s="1490"/>
      <c r="DO590" s="1490"/>
      <c r="DP590" s="1490"/>
      <c r="DQ590" s="1491"/>
      <c r="DR590" s="1489">
        <f t="shared" ref="DR590:DR613" si="16">IF(AND(B693="5 Bedrooms",AH693&lt;=0.3),G693,0)</f>
        <v>0</v>
      </c>
      <c r="DS590" s="1490"/>
      <c r="DT590" s="1490"/>
      <c r="DU590" s="1490"/>
      <c r="DV590" s="1491"/>
    </row>
    <row r="591" spans="1:126" ht="12.9" customHeight="1">
      <c r="AZ591" s="5" t="s">
        <v>816</v>
      </c>
      <c r="BA591" s="41"/>
      <c r="BB591" s="41"/>
      <c r="BC591" s="41"/>
      <c r="BD591" s="41"/>
      <c r="BE591" s="1241">
        <f t="shared" si="9"/>
        <v>1</v>
      </c>
      <c r="BF591" s="1242"/>
      <c r="BG591" s="1237">
        <f t="shared" si="7"/>
        <v>5</v>
      </c>
      <c r="BH591" s="1240"/>
      <c r="BI591" s="1241">
        <f t="shared" si="10"/>
        <v>0</v>
      </c>
      <c r="BJ591" s="1242"/>
      <c r="BK591" s="1237">
        <f t="shared" si="8"/>
        <v>0</v>
      </c>
      <c r="BL591" s="1240"/>
      <c r="BN591" s="1237">
        <f t="shared" si="1"/>
        <v>0</v>
      </c>
      <c r="BO591" s="1238"/>
      <c r="BP591" s="1238"/>
      <c r="BQ591" s="1238"/>
      <c r="BR591" s="1239"/>
      <c r="BS591" s="1237">
        <f t="shared" si="2"/>
        <v>4</v>
      </c>
      <c r="BT591" s="1238"/>
      <c r="BU591" s="1238"/>
      <c r="BV591" s="1238"/>
      <c r="BW591" s="1240"/>
      <c r="BX591" s="1237">
        <f t="shared" si="3"/>
        <v>0</v>
      </c>
      <c r="BY591" s="1238"/>
      <c r="BZ591" s="1238"/>
      <c r="CA591" s="1238"/>
      <c r="CB591" s="1240"/>
      <c r="CC591" s="1237">
        <f t="shared" si="4"/>
        <v>0</v>
      </c>
      <c r="CD591" s="1238"/>
      <c r="CE591" s="1238"/>
      <c r="CF591" s="1238"/>
      <c r="CG591" s="1240"/>
      <c r="CH591" s="1237">
        <f t="shared" si="5"/>
        <v>0</v>
      </c>
      <c r="CI591" s="1238"/>
      <c r="CJ591" s="1238"/>
      <c r="CK591" s="1238"/>
      <c r="CL591" s="1240"/>
      <c r="CM591" s="1237">
        <f t="shared" si="6"/>
        <v>0</v>
      </c>
      <c r="CN591" s="1238"/>
      <c r="CO591" s="1238"/>
      <c r="CP591" s="1238"/>
      <c r="CQ591" s="1240"/>
      <c r="CS591" s="1489">
        <f t="shared" si="11"/>
        <v>0</v>
      </c>
      <c r="CT591" s="1490"/>
      <c r="CU591" s="1490"/>
      <c r="CV591" s="1490"/>
      <c r="CW591" s="1491"/>
      <c r="CX591" s="1489">
        <f t="shared" si="12"/>
        <v>0</v>
      </c>
      <c r="CY591" s="1490"/>
      <c r="CZ591" s="1490"/>
      <c r="DA591" s="1490"/>
      <c r="DB591" s="1491"/>
      <c r="DC591" s="1489">
        <f t="shared" si="13"/>
        <v>0</v>
      </c>
      <c r="DD591" s="1490"/>
      <c r="DE591" s="1490"/>
      <c r="DF591" s="1490"/>
      <c r="DG591" s="1491"/>
      <c r="DH591" s="1489">
        <f t="shared" si="14"/>
        <v>0</v>
      </c>
      <c r="DI591" s="1490"/>
      <c r="DJ591" s="1490"/>
      <c r="DK591" s="1490"/>
      <c r="DL591" s="1491"/>
      <c r="DM591" s="1489">
        <f t="shared" si="15"/>
        <v>0</v>
      </c>
      <c r="DN591" s="1490"/>
      <c r="DO591" s="1490"/>
      <c r="DP591" s="1490"/>
      <c r="DQ591" s="1491"/>
      <c r="DR591" s="1489">
        <f t="shared" si="16"/>
        <v>0</v>
      </c>
      <c r="DS591" s="1490"/>
      <c r="DT591" s="1490"/>
      <c r="DU591" s="1490"/>
      <c r="DV591" s="1491"/>
    </row>
    <row r="592" spans="1:126" ht="12.9" customHeight="1">
      <c r="A592" s="61" t="s">
        <v>575</v>
      </c>
      <c r="B592" t="s">
        <v>89</v>
      </c>
      <c r="G592" s="1291">
        <f>C554</f>
        <v>0</v>
      </c>
      <c r="H592" s="1291"/>
      <c r="I592" s="1291"/>
      <c r="J592" s="1291"/>
      <c r="K592" s="1291"/>
      <c r="L592" s="1291"/>
      <c r="M592" s="1291"/>
      <c r="N592" s="1291"/>
      <c r="O592" s="1291"/>
      <c r="P592" s="1291"/>
      <c r="Q592" s="1291"/>
      <c r="R592" s="1291"/>
      <c r="T592" s="61" t="s">
        <v>184</v>
      </c>
      <c r="U592" t="s">
        <v>89</v>
      </c>
      <c r="Z592" s="1291">
        <f>C555</f>
        <v>0</v>
      </c>
      <c r="AA592" s="1291"/>
      <c r="AB592" s="1291"/>
      <c r="AC592" s="1291"/>
      <c r="AD592" s="1291"/>
      <c r="AE592" s="1291"/>
      <c r="AF592" s="1291"/>
      <c r="AG592" s="1291"/>
      <c r="AH592" s="1291"/>
      <c r="AI592" s="1291"/>
      <c r="AJ592" s="1291"/>
      <c r="AK592" s="1291"/>
      <c r="AZ592" s="5" t="s">
        <v>817</v>
      </c>
      <c r="BA592" s="41"/>
      <c r="BB592" s="41"/>
      <c r="BC592" s="41"/>
      <c r="BD592" s="41"/>
      <c r="BE592" s="1241">
        <f t="shared" si="9"/>
        <v>0</v>
      </c>
      <c r="BF592" s="1242"/>
      <c r="BG592" s="1237">
        <f t="shared" si="7"/>
        <v>0</v>
      </c>
      <c r="BH592" s="1240"/>
      <c r="BI592" s="1241">
        <f t="shared" si="10"/>
        <v>0</v>
      </c>
      <c r="BJ592" s="1242"/>
      <c r="BK592" s="1237">
        <f t="shared" si="8"/>
        <v>0</v>
      </c>
      <c r="BL592" s="1240"/>
      <c r="BN592" s="1237">
        <f t="shared" si="1"/>
        <v>0</v>
      </c>
      <c r="BO592" s="1238"/>
      <c r="BP592" s="1238"/>
      <c r="BQ592" s="1238"/>
      <c r="BR592" s="1239"/>
      <c r="BS592" s="1237">
        <f t="shared" si="2"/>
        <v>0</v>
      </c>
      <c r="BT592" s="1238"/>
      <c r="BU592" s="1238"/>
      <c r="BV592" s="1238"/>
      <c r="BW592" s="1240"/>
      <c r="BX592" s="1237">
        <f t="shared" si="3"/>
        <v>1</v>
      </c>
      <c r="BY592" s="1238"/>
      <c r="BZ592" s="1238"/>
      <c r="CA592" s="1238"/>
      <c r="CB592" s="1240"/>
      <c r="CC592" s="1237">
        <f t="shared" si="4"/>
        <v>0</v>
      </c>
      <c r="CD592" s="1238"/>
      <c r="CE592" s="1238"/>
      <c r="CF592" s="1238"/>
      <c r="CG592" s="1240"/>
      <c r="CH592" s="1237">
        <f t="shared" si="5"/>
        <v>0</v>
      </c>
      <c r="CI592" s="1238"/>
      <c r="CJ592" s="1238"/>
      <c r="CK592" s="1238"/>
      <c r="CL592" s="1240"/>
      <c r="CM592" s="1237">
        <f t="shared" si="6"/>
        <v>0</v>
      </c>
      <c r="CN592" s="1238"/>
      <c r="CO592" s="1238"/>
      <c r="CP592" s="1238"/>
      <c r="CQ592" s="1240"/>
      <c r="CS592" s="1489">
        <f t="shared" si="11"/>
        <v>0</v>
      </c>
      <c r="CT592" s="1490"/>
      <c r="CU592" s="1490"/>
      <c r="CV592" s="1490"/>
      <c r="CW592" s="1491"/>
      <c r="CX592" s="1489">
        <f t="shared" si="12"/>
        <v>0</v>
      </c>
      <c r="CY592" s="1490"/>
      <c r="CZ592" s="1490"/>
      <c r="DA592" s="1490"/>
      <c r="DB592" s="1491"/>
      <c r="DC592" s="1489">
        <f t="shared" si="13"/>
        <v>0</v>
      </c>
      <c r="DD592" s="1490"/>
      <c r="DE592" s="1490"/>
      <c r="DF592" s="1490"/>
      <c r="DG592" s="1491"/>
      <c r="DH592" s="1489">
        <f t="shared" si="14"/>
        <v>0</v>
      </c>
      <c r="DI592" s="1490"/>
      <c r="DJ592" s="1490"/>
      <c r="DK592" s="1490"/>
      <c r="DL592" s="1491"/>
      <c r="DM592" s="1489">
        <f t="shared" si="15"/>
        <v>0</v>
      </c>
      <c r="DN592" s="1490"/>
      <c r="DO592" s="1490"/>
      <c r="DP592" s="1490"/>
      <c r="DQ592" s="1491"/>
      <c r="DR592" s="1489">
        <f t="shared" si="16"/>
        <v>0</v>
      </c>
      <c r="DS592" s="1490"/>
      <c r="DT592" s="1490"/>
      <c r="DU592" s="1490"/>
      <c r="DV592" s="1491"/>
    </row>
    <row r="593" spans="1:126" ht="12.9" customHeight="1">
      <c r="A593" s="4"/>
      <c r="B593" t="s">
        <v>395</v>
      </c>
      <c r="G593" s="1084"/>
      <c r="H593" s="1084"/>
      <c r="I593" s="1084"/>
      <c r="J593" s="1084"/>
      <c r="K593" s="1084"/>
      <c r="L593" s="1084"/>
      <c r="M593" s="1084"/>
      <c r="N593" s="1084"/>
      <c r="O593" s="1084"/>
      <c r="P593" s="1084"/>
      <c r="Q593" s="1084"/>
      <c r="R593" s="1084"/>
      <c r="T593" s="4"/>
      <c r="U593" t="s">
        <v>395</v>
      </c>
      <c r="Z593" s="1084"/>
      <c r="AA593" s="1084"/>
      <c r="AB593" s="1084"/>
      <c r="AC593" s="1084"/>
      <c r="AD593" s="1084"/>
      <c r="AE593" s="1084"/>
      <c r="AF593" s="1084"/>
      <c r="AG593" s="1084"/>
      <c r="AH593" s="1084"/>
      <c r="AI593" s="1084"/>
      <c r="AJ593" s="1084"/>
      <c r="AK593" s="1084"/>
      <c r="AZ593" s="5" t="s">
        <v>364</v>
      </c>
      <c r="BA593" s="41"/>
      <c r="BB593" s="41"/>
      <c r="BC593" s="41"/>
      <c r="BD593" s="41"/>
      <c r="BE593" s="1241">
        <f t="shared" si="9"/>
        <v>0</v>
      </c>
      <c r="BF593" s="1242"/>
      <c r="BG593" s="1237">
        <f t="shared" si="7"/>
        <v>0</v>
      </c>
      <c r="BH593" s="1240"/>
      <c r="BI593" s="1241">
        <f t="shared" si="10"/>
        <v>1</v>
      </c>
      <c r="BJ593" s="1242"/>
      <c r="BK593" s="1237">
        <f t="shared" si="8"/>
        <v>1</v>
      </c>
      <c r="BL593" s="1240"/>
      <c r="BN593" s="1237">
        <f t="shared" si="1"/>
        <v>0</v>
      </c>
      <c r="BO593" s="1238"/>
      <c r="BP593" s="1238"/>
      <c r="BQ593" s="1238"/>
      <c r="BR593" s="1239"/>
      <c r="BS593" s="1237">
        <f t="shared" si="2"/>
        <v>0</v>
      </c>
      <c r="BT593" s="1238"/>
      <c r="BU593" s="1238"/>
      <c r="BV593" s="1238"/>
      <c r="BW593" s="1240"/>
      <c r="BX593" s="1237">
        <f t="shared" si="3"/>
        <v>1</v>
      </c>
      <c r="BY593" s="1238"/>
      <c r="BZ593" s="1238"/>
      <c r="CA593" s="1238"/>
      <c r="CB593" s="1240"/>
      <c r="CC593" s="1237">
        <f t="shared" si="4"/>
        <v>0</v>
      </c>
      <c r="CD593" s="1238"/>
      <c r="CE593" s="1238"/>
      <c r="CF593" s="1238"/>
      <c r="CG593" s="1240"/>
      <c r="CH593" s="1237">
        <f t="shared" si="5"/>
        <v>0</v>
      </c>
      <c r="CI593" s="1238"/>
      <c r="CJ593" s="1238"/>
      <c r="CK593" s="1238"/>
      <c r="CL593" s="1240"/>
      <c r="CM593" s="1237">
        <f t="shared" si="6"/>
        <v>0</v>
      </c>
      <c r="CN593" s="1238"/>
      <c r="CO593" s="1238"/>
      <c r="CP593" s="1238"/>
      <c r="CQ593" s="1240"/>
      <c r="CS593" s="1489">
        <f t="shared" si="11"/>
        <v>0</v>
      </c>
      <c r="CT593" s="1490"/>
      <c r="CU593" s="1490"/>
      <c r="CV593" s="1490"/>
      <c r="CW593" s="1491"/>
      <c r="CX593" s="1489">
        <f t="shared" si="12"/>
        <v>0</v>
      </c>
      <c r="CY593" s="1490"/>
      <c r="CZ593" s="1490"/>
      <c r="DA593" s="1490"/>
      <c r="DB593" s="1491"/>
      <c r="DC593" s="1489">
        <f t="shared" si="13"/>
        <v>1</v>
      </c>
      <c r="DD593" s="1490"/>
      <c r="DE593" s="1490"/>
      <c r="DF593" s="1490"/>
      <c r="DG593" s="1491"/>
      <c r="DH593" s="1489">
        <f t="shared" si="14"/>
        <v>0</v>
      </c>
      <c r="DI593" s="1490"/>
      <c r="DJ593" s="1490"/>
      <c r="DK593" s="1490"/>
      <c r="DL593" s="1491"/>
      <c r="DM593" s="1489">
        <f t="shared" si="15"/>
        <v>0</v>
      </c>
      <c r="DN593" s="1490"/>
      <c r="DO593" s="1490"/>
      <c r="DP593" s="1490"/>
      <c r="DQ593" s="1491"/>
      <c r="DR593" s="1489">
        <f t="shared" si="16"/>
        <v>0</v>
      </c>
      <c r="DS593" s="1490"/>
      <c r="DT593" s="1490"/>
      <c r="DU593" s="1490"/>
      <c r="DV593" s="1491"/>
    </row>
    <row r="594" spans="1:126" ht="12.9" customHeight="1">
      <c r="A594" s="4"/>
      <c r="B594" t="s">
        <v>457</v>
      </c>
      <c r="G594" s="1084"/>
      <c r="H594" s="1084"/>
      <c r="I594" s="1084"/>
      <c r="J594" s="1084"/>
      <c r="K594" s="1084"/>
      <c r="L594" s="1084"/>
      <c r="M594" s="1084"/>
      <c r="N594" s="1084"/>
      <c r="O594" s="1084"/>
      <c r="P594" s="1084"/>
      <c r="Q594" s="1084"/>
      <c r="R594" s="1084"/>
      <c r="T594" s="4"/>
      <c r="U594" t="s">
        <v>457</v>
      </c>
      <c r="Z594" s="1085"/>
      <c r="AA594" s="1085"/>
      <c r="AB594" s="1085"/>
      <c r="AC594" s="1085"/>
      <c r="AD594" s="1085"/>
      <c r="AE594" s="1085"/>
      <c r="AF594" s="1085"/>
      <c r="AG594" s="1085"/>
      <c r="AH594" s="1085"/>
      <c r="AI594" s="1085"/>
      <c r="AJ594" s="1085"/>
      <c r="AK594" s="1085"/>
      <c r="AZ594" s="41"/>
      <c r="BA594" s="41"/>
      <c r="BB594" s="41"/>
      <c r="BC594" s="41"/>
      <c r="BD594" s="41"/>
      <c r="BE594" s="1241">
        <f t="shared" si="9"/>
        <v>1</v>
      </c>
      <c r="BF594" s="1242"/>
      <c r="BG594" s="1237">
        <f t="shared" si="7"/>
        <v>1</v>
      </c>
      <c r="BH594" s="1240"/>
      <c r="BI594" s="1241">
        <f t="shared" si="10"/>
        <v>0</v>
      </c>
      <c r="BJ594" s="1242"/>
      <c r="BK594" s="1237">
        <f t="shared" si="8"/>
        <v>0</v>
      </c>
      <c r="BL594" s="1240"/>
      <c r="BN594" s="1237">
        <f t="shared" si="1"/>
        <v>0</v>
      </c>
      <c r="BO594" s="1238"/>
      <c r="BP594" s="1238"/>
      <c r="BQ594" s="1238"/>
      <c r="BR594" s="1239"/>
      <c r="BS594" s="1237">
        <f t="shared" si="2"/>
        <v>0</v>
      </c>
      <c r="BT594" s="1238"/>
      <c r="BU594" s="1238"/>
      <c r="BV594" s="1238"/>
      <c r="BW594" s="1240"/>
      <c r="BX594" s="1237">
        <f t="shared" si="3"/>
        <v>3</v>
      </c>
      <c r="BY594" s="1238"/>
      <c r="BZ594" s="1238"/>
      <c r="CA594" s="1238"/>
      <c r="CB594" s="1240"/>
      <c r="CC594" s="1237">
        <f t="shared" si="4"/>
        <v>0</v>
      </c>
      <c r="CD594" s="1238"/>
      <c r="CE594" s="1238"/>
      <c r="CF594" s="1238"/>
      <c r="CG594" s="1240"/>
      <c r="CH594" s="1237">
        <f t="shared" si="5"/>
        <v>0</v>
      </c>
      <c r="CI594" s="1238"/>
      <c r="CJ594" s="1238"/>
      <c r="CK594" s="1238"/>
      <c r="CL594" s="1240"/>
      <c r="CM594" s="1237">
        <f t="shared" si="6"/>
        <v>0</v>
      </c>
      <c r="CN594" s="1238"/>
      <c r="CO594" s="1238"/>
      <c r="CP594" s="1238"/>
      <c r="CQ594" s="1240"/>
      <c r="CS594" s="1489">
        <f t="shared" si="11"/>
        <v>0</v>
      </c>
      <c r="CT594" s="1490"/>
      <c r="CU594" s="1490"/>
      <c r="CV594" s="1490"/>
      <c r="CW594" s="1491"/>
      <c r="CX594" s="1489">
        <f t="shared" si="12"/>
        <v>0</v>
      </c>
      <c r="CY594" s="1490"/>
      <c r="CZ594" s="1490"/>
      <c r="DA594" s="1490"/>
      <c r="DB594" s="1491"/>
      <c r="DC594" s="1489">
        <f t="shared" si="13"/>
        <v>0</v>
      </c>
      <c r="DD594" s="1490"/>
      <c r="DE594" s="1490"/>
      <c r="DF594" s="1490"/>
      <c r="DG594" s="1491"/>
      <c r="DH594" s="1489">
        <f t="shared" si="14"/>
        <v>0</v>
      </c>
      <c r="DI594" s="1490"/>
      <c r="DJ594" s="1490"/>
      <c r="DK594" s="1490"/>
      <c r="DL594" s="1491"/>
      <c r="DM594" s="1489">
        <f t="shared" si="15"/>
        <v>0</v>
      </c>
      <c r="DN594" s="1490"/>
      <c r="DO594" s="1490"/>
      <c r="DP594" s="1490"/>
      <c r="DQ594" s="1491"/>
      <c r="DR594" s="1489">
        <f t="shared" si="16"/>
        <v>0</v>
      </c>
      <c r="DS594" s="1490"/>
      <c r="DT594" s="1490"/>
      <c r="DU594" s="1490"/>
      <c r="DV594" s="1491"/>
    </row>
    <row r="595" spans="1:126" ht="12.9" customHeight="1">
      <c r="A595" s="4"/>
      <c r="B595" t="s">
        <v>872</v>
      </c>
      <c r="G595" s="1084"/>
      <c r="H595" s="1084"/>
      <c r="I595" s="1084"/>
      <c r="J595" s="1084"/>
      <c r="K595" s="1084"/>
      <c r="L595" s="1084"/>
      <c r="M595" s="1084"/>
      <c r="N595" s="1084"/>
      <c r="O595" s="1084"/>
      <c r="P595" s="1084"/>
      <c r="Q595" s="1084"/>
      <c r="R595" s="1084"/>
      <c r="T595" s="4"/>
      <c r="U595" t="s">
        <v>872</v>
      </c>
      <c r="Z595" s="1085"/>
      <c r="AA595" s="1085"/>
      <c r="AB595" s="1085"/>
      <c r="AC595" s="1085"/>
      <c r="AD595" s="1085"/>
      <c r="AE595" s="1085"/>
      <c r="AF595" s="1085"/>
      <c r="AG595" s="1085"/>
      <c r="AH595" s="1085"/>
      <c r="AI595" s="1085"/>
      <c r="AJ595" s="1085"/>
      <c r="AK595" s="1085"/>
      <c r="AZ595" s="41"/>
      <c r="BA595" s="41"/>
      <c r="BB595" s="41"/>
      <c r="BC595" s="41"/>
      <c r="BD595" s="41"/>
      <c r="BE595" s="1241">
        <f t="shared" si="9"/>
        <v>1</v>
      </c>
      <c r="BF595" s="1242"/>
      <c r="BG595" s="1237">
        <f t="shared" si="7"/>
        <v>3</v>
      </c>
      <c r="BH595" s="1240"/>
      <c r="BI595" s="1241">
        <f t="shared" si="10"/>
        <v>0</v>
      </c>
      <c r="BJ595" s="1242"/>
      <c r="BK595" s="1237">
        <f t="shared" si="8"/>
        <v>0</v>
      </c>
      <c r="BL595" s="1240"/>
      <c r="BN595" s="1237">
        <f t="shared" si="1"/>
        <v>0</v>
      </c>
      <c r="BO595" s="1238"/>
      <c r="BP595" s="1238"/>
      <c r="BQ595" s="1238"/>
      <c r="BR595" s="1239"/>
      <c r="BS595" s="1237">
        <f t="shared" si="2"/>
        <v>0</v>
      </c>
      <c r="BT595" s="1238"/>
      <c r="BU595" s="1238"/>
      <c r="BV595" s="1238"/>
      <c r="BW595" s="1240"/>
      <c r="BX595" s="1237">
        <f t="shared" si="3"/>
        <v>2</v>
      </c>
      <c r="BY595" s="1238"/>
      <c r="BZ595" s="1238"/>
      <c r="CA595" s="1238"/>
      <c r="CB595" s="1240"/>
      <c r="CC595" s="1237">
        <f t="shared" si="4"/>
        <v>0</v>
      </c>
      <c r="CD595" s="1238"/>
      <c r="CE595" s="1238"/>
      <c r="CF595" s="1238"/>
      <c r="CG595" s="1240"/>
      <c r="CH595" s="1237">
        <f t="shared" si="5"/>
        <v>0</v>
      </c>
      <c r="CI595" s="1238"/>
      <c r="CJ595" s="1238"/>
      <c r="CK595" s="1238"/>
      <c r="CL595" s="1240"/>
      <c r="CM595" s="1237">
        <f t="shared" si="6"/>
        <v>0</v>
      </c>
      <c r="CN595" s="1238"/>
      <c r="CO595" s="1238"/>
      <c r="CP595" s="1238"/>
      <c r="CQ595" s="1240"/>
      <c r="CS595" s="1489">
        <f t="shared" si="11"/>
        <v>0</v>
      </c>
      <c r="CT595" s="1490"/>
      <c r="CU595" s="1490"/>
      <c r="CV595" s="1490"/>
      <c r="CW595" s="1491"/>
      <c r="CX595" s="1489">
        <f t="shared" si="12"/>
        <v>0</v>
      </c>
      <c r="CY595" s="1490"/>
      <c r="CZ595" s="1490"/>
      <c r="DA595" s="1490"/>
      <c r="DB595" s="1491"/>
      <c r="DC595" s="1489">
        <f t="shared" si="13"/>
        <v>0</v>
      </c>
      <c r="DD595" s="1490"/>
      <c r="DE595" s="1490"/>
      <c r="DF595" s="1490"/>
      <c r="DG595" s="1491"/>
      <c r="DH595" s="1489">
        <f t="shared" si="14"/>
        <v>0</v>
      </c>
      <c r="DI595" s="1490"/>
      <c r="DJ595" s="1490"/>
      <c r="DK595" s="1490"/>
      <c r="DL595" s="1491"/>
      <c r="DM595" s="1489">
        <f t="shared" si="15"/>
        <v>0</v>
      </c>
      <c r="DN595" s="1490"/>
      <c r="DO595" s="1490"/>
      <c r="DP595" s="1490"/>
      <c r="DQ595" s="1491"/>
      <c r="DR595" s="1489">
        <f t="shared" si="16"/>
        <v>0</v>
      </c>
      <c r="DS595" s="1490"/>
      <c r="DT595" s="1490"/>
      <c r="DU595" s="1490"/>
      <c r="DV595" s="1491"/>
    </row>
    <row r="596" spans="1:126" ht="12.9" customHeight="1">
      <c r="A596" s="4"/>
      <c r="B596" t="s">
        <v>684</v>
      </c>
      <c r="G596" s="1108"/>
      <c r="H596" s="1108"/>
      <c r="I596" s="1108"/>
      <c r="J596" s="1108"/>
      <c r="K596" s="1108"/>
      <c r="L596" s="1108"/>
      <c r="O596" s="42" t="s">
        <v>857</v>
      </c>
      <c r="P596" s="1279"/>
      <c r="Q596" s="1279"/>
      <c r="R596" s="1279"/>
      <c r="T596" s="4"/>
      <c r="U596" t="s">
        <v>684</v>
      </c>
      <c r="Z596" s="1108"/>
      <c r="AA596" s="1108"/>
      <c r="AB596" s="1108"/>
      <c r="AC596" s="1108"/>
      <c r="AD596" s="1108"/>
      <c r="AE596" s="1108"/>
      <c r="AH596" s="42" t="s">
        <v>857</v>
      </c>
      <c r="AI596" s="1279"/>
      <c r="AJ596" s="1279"/>
      <c r="AK596" s="1279"/>
      <c r="AZ596" s="41"/>
      <c r="BA596" s="41"/>
      <c r="BB596" s="41"/>
      <c r="BC596" s="41"/>
      <c r="BD596" s="41"/>
      <c r="BE596" s="1241">
        <f t="shared" si="9"/>
        <v>0</v>
      </c>
      <c r="BF596" s="1242"/>
      <c r="BG596" s="1237">
        <f t="shared" si="7"/>
        <v>0</v>
      </c>
      <c r="BH596" s="1240"/>
      <c r="BI596" s="1241">
        <f t="shared" si="10"/>
        <v>0</v>
      </c>
      <c r="BJ596" s="1242"/>
      <c r="BK596" s="1237">
        <f t="shared" si="8"/>
        <v>0</v>
      </c>
      <c r="BL596" s="1240"/>
      <c r="BN596" s="1237">
        <f t="shared" si="1"/>
        <v>0</v>
      </c>
      <c r="BO596" s="1238"/>
      <c r="BP596" s="1238"/>
      <c r="BQ596" s="1238"/>
      <c r="BR596" s="1239"/>
      <c r="BS596" s="1237">
        <f t="shared" si="2"/>
        <v>0</v>
      </c>
      <c r="BT596" s="1238"/>
      <c r="BU596" s="1238"/>
      <c r="BV596" s="1238"/>
      <c r="BW596" s="1240"/>
      <c r="BX596" s="1237">
        <f t="shared" si="3"/>
        <v>0</v>
      </c>
      <c r="BY596" s="1238"/>
      <c r="BZ596" s="1238"/>
      <c r="CA596" s="1238"/>
      <c r="CB596" s="1240"/>
      <c r="CC596" s="1237">
        <f t="shared" si="4"/>
        <v>1</v>
      </c>
      <c r="CD596" s="1238"/>
      <c r="CE596" s="1238"/>
      <c r="CF596" s="1238"/>
      <c r="CG596" s="1240"/>
      <c r="CH596" s="1237">
        <f t="shared" si="5"/>
        <v>0</v>
      </c>
      <c r="CI596" s="1238"/>
      <c r="CJ596" s="1238"/>
      <c r="CK596" s="1238"/>
      <c r="CL596" s="1240"/>
      <c r="CM596" s="1237">
        <f t="shared" si="6"/>
        <v>0</v>
      </c>
      <c r="CN596" s="1238"/>
      <c r="CO596" s="1238"/>
      <c r="CP596" s="1238"/>
      <c r="CQ596" s="1240"/>
      <c r="CS596" s="1489">
        <f t="shared" si="11"/>
        <v>0</v>
      </c>
      <c r="CT596" s="1490"/>
      <c r="CU596" s="1490"/>
      <c r="CV596" s="1490"/>
      <c r="CW596" s="1491"/>
      <c r="CX596" s="1489">
        <f t="shared" si="12"/>
        <v>0</v>
      </c>
      <c r="CY596" s="1490"/>
      <c r="CZ596" s="1490"/>
      <c r="DA596" s="1490"/>
      <c r="DB596" s="1491"/>
      <c r="DC596" s="1489">
        <f t="shared" si="13"/>
        <v>0</v>
      </c>
      <c r="DD596" s="1490"/>
      <c r="DE596" s="1490"/>
      <c r="DF596" s="1490"/>
      <c r="DG596" s="1491"/>
      <c r="DH596" s="1489">
        <f t="shared" si="14"/>
        <v>0</v>
      </c>
      <c r="DI596" s="1490"/>
      <c r="DJ596" s="1490"/>
      <c r="DK596" s="1490"/>
      <c r="DL596" s="1491"/>
      <c r="DM596" s="1489">
        <f t="shared" si="15"/>
        <v>0</v>
      </c>
      <c r="DN596" s="1490"/>
      <c r="DO596" s="1490"/>
      <c r="DP596" s="1490"/>
      <c r="DQ596" s="1491"/>
      <c r="DR596" s="1489">
        <f t="shared" si="16"/>
        <v>0</v>
      </c>
      <c r="DS596" s="1490"/>
      <c r="DT596" s="1490"/>
      <c r="DU596" s="1490"/>
      <c r="DV596" s="1491"/>
    </row>
    <row r="597" spans="1:126" s="5" customFormat="1" ht="12.9" customHeight="1">
      <c r="A597" s="4"/>
      <c r="B597" t="s">
        <v>873</v>
      </c>
      <c r="C597"/>
      <c r="D597"/>
      <c r="E597"/>
      <c r="F597"/>
      <c r="G597"/>
      <c r="H597" s="1084"/>
      <c r="I597" s="1084"/>
      <c r="J597" s="1084"/>
      <c r="K597" s="1084"/>
      <c r="L597" s="1084"/>
      <c r="M597" s="1084"/>
      <c r="N597" s="1084"/>
      <c r="O597" s="1084"/>
      <c r="P597" s="1084"/>
      <c r="Q597" s="1084"/>
      <c r="R597" s="1084"/>
      <c r="S597"/>
      <c r="T597" s="4"/>
      <c r="U597" t="s">
        <v>873</v>
      </c>
      <c r="V597"/>
      <c r="W597"/>
      <c r="X597"/>
      <c r="Y597"/>
      <c r="Z597"/>
      <c r="AA597" s="1084"/>
      <c r="AB597" s="1084"/>
      <c r="AC597" s="1084"/>
      <c r="AD597" s="1084"/>
      <c r="AE597" s="1084"/>
      <c r="AF597" s="1084"/>
      <c r="AG597" s="1084"/>
      <c r="AH597" s="1084"/>
      <c r="AI597" s="1084"/>
      <c r="AJ597" s="1084"/>
      <c r="AK597" s="1084"/>
      <c r="AL597"/>
      <c r="AZ597" s="41"/>
      <c r="BA597" s="41"/>
      <c r="BB597" s="41"/>
      <c r="BC597" s="41"/>
      <c r="BD597" s="41"/>
      <c r="BE597" s="1241">
        <f t="shared" si="9"/>
        <v>0</v>
      </c>
      <c r="BF597" s="1242"/>
      <c r="BG597" s="1237">
        <f t="shared" si="7"/>
        <v>0</v>
      </c>
      <c r="BH597" s="1240"/>
      <c r="BI597" s="1241">
        <f t="shared" si="10"/>
        <v>1</v>
      </c>
      <c r="BJ597" s="1242"/>
      <c r="BK597" s="1237">
        <f t="shared" si="8"/>
        <v>1</v>
      </c>
      <c r="BL597" s="1240"/>
      <c r="BN597" s="1237">
        <f t="shared" si="1"/>
        <v>0</v>
      </c>
      <c r="BO597" s="1238"/>
      <c r="BP597" s="1238"/>
      <c r="BQ597" s="1238"/>
      <c r="BR597" s="1239"/>
      <c r="BS597" s="1237">
        <f t="shared" si="2"/>
        <v>0</v>
      </c>
      <c r="BT597" s="1238"/>
      <c r="BU597" s="1238"/>
      <c r="BV597" s="1238"/>
      <c r="BW597" s="1240"/>
      <c r="BX597" s="1237">
        <f t="shared" si="3"/>
        <v>0</v>
      </c>
      <c r="BY597" s="1238"/>
      <c r="BZ597" s="1238"/>
      <c r="CA597" s="1238"/>
      <c r="CB597" s="1240"/>
      <c r="CC597" s="1237">
        <f t="shared" si="4"/>
        <v>2</v>
      </c>
      <c r="CD597" s="1238"/>
      <c r="CE597" s="1238"/>
      <c r="CF597" s="1238"/>
      <c r="CG597" s="1240"/>
      <c r="CH597" s="1237">
        <f t="shared" si="5"/>
        <v>0</v>
      </c>
      <c r="CI597" s="1238"/>
      <c r="CJ597" s="1238"/>
      <c r="CK597" s="1238"/>
      <c r="CL597" s="1240"/>
      <c r="CM597" s="1237">
        <f t="shared" si="6"/>
        <v>0</v>
      </c>
      <c r="CN597" s="1238"/>
      <c r="CO597" s="1238"/>
      <c r="CP597" s="1238"/>
      <c r="CQ597" s="1240"/>
      <c r="CS597" s="1489">
        <f t="shared" si="11"/>
        <v>0</v>
      </c>
      <c r="CT597" s="1490"/>
      <c r="CU597" s="1490"/>
      <c r="CV597" s="1490"/>
      <c r="CW597" s="1491"/>
      <c r="CX597" s="1489">
        <f t="shared" si="12"/>
        <v>0</v>
      </c>
      <c r="CY597" s="1490"/>
      <c r="CZ597" s="1490"/>
      <c r="DA597" s="1490"/>
      <c r="DB597" s="1491"/>
      <c r="DC597" s="1489">
        <f t="shared" si="13"/>
        <v>0</v>
      </c>
      <c r="DD597" s="1490"/>
      <c r="DE597" s="1490"/>
      <c r="DF597" s="1490"/>
      <c r="DG597" s="1491"/>
      <c r="DH597" s="1489">
        <f t="shared" si="14"/>
        <v>1</v>
      </c>
      <c r="DI597" s="1490"/>
      <c r="DJ597" s="1490"/>
      <c r="DK597" s="1490"/>
      <c r="DL597" s="1491"/>
      <c r="DM597" s="1489">
        <f t="shared" si="15"/>
        <v>0</v>
      </c>
      <c r="DN597" s="1490"/>
      <c r="DO597" s="1490"/>
      <c r="DP597" s="1490"/>
      <c r="DQ597" s="1491"/>
      <c r="DR597" s="1489">
        <f t="shared" si="16"/>
        <v>0</v>
      </c>
      <c r="DS597" s="1490"/>
      <c r="DT597" s="1490"/>
      <c r="DU597" s="1490"/>
      <c r="DV597" s="1491"/>
    </row>
    <row r="598" spans="1:126" s="5" customFormat="1" ht="12.9" customHeight="1">
      <c r="A598" s="4"/>
      <c r="B598" t="s">
        <v>875</v>
      </c>
      <c r="C598"/>
      <c r="D598"/>
      <c r="E598"/>
      <c r="F598"/>
      <c r="G598"/>
      <c r="H598"/>
      <c r="I598"/>
      <c r="J598"/>
      <c r="K598"/>
      <c r="L598"/>
      <c r="M598"/>
      <c r="N598" s="1099" t="s">
        <v>509</v>
      </c>
      <c r="O598" s="1099"/>
      <c r="P598"/>
      <c r="Q598"/>
      <c r="R598"/>
      <c r="S598"/>
      <c r="T598" s="4"/>
      <c r="U598" t="s">
        <v>875</v>
      </c>
      <c r="V598"/>
      <c r="W598"/>
      <c r="X598"/>
      <c r="Y598"/>
      <c r="Z598"/>
      <c r="AA598"/>
      <c r="AB598"/>
      <c r="AC598"/>
      <c r="AD598"/>
      <c r="AE598"/>
      <c r="AF598"/>
      <c r="AG598" s="1099" t="s">
        <v>509</v>
      </c>
      <c r="AH598" s="1099"/>
      <c r="AI598"/>
      <c r="AJ598"/>
      <c r="AK598"/>
      <c r="AL598"/>
      <c r="AZ598" s="41"/>
      <c r="BA598" s="41"/>
      <c r="BB598" s="41"/>
      <c r="BC598" s="41"/>
      <c r="BD598" s="41"/>
      <c r="BE598" s="1241">
        <f t="shared" si="9"/>
        <v>1</v>
      </c>
      <c r="BF598" s="1242"/>
      <c r="BG598" s="1237">
        <f t="shared" si="7"/>
        <v>2</v>
      </c>
      <c r="BH598" s="1240"/>
      <c r="BI598" s="1241">
        <f t="shared" si="10"/>
        <v>0</v>
      </c>
      <c r="BJ598" s="1242"/>
      <c r="BK598" s="1237">
        <f t="shared" si="8"/>
        <v>0</v>
      </c>
      <c r="BL598" s="1240"/>
      <c r="BN598" s="1237">
        <f t="shared" si="1"/>
        <v>0</v>
      </c>
      <c r="BO598" s="1238"/>
      <c r="BP598" s="1238"/>
      <c r="BQ598" s="1238"/>
      <c r="BR598" s="1239"/>
      <c r="BS598" s="1237">
        <f t="shared" si="2"/>
        <v>0</v>
      </c>
      <c r="BT598" s="1238"/>
      <c r="BU598" s="1238"/>
      <c r="BV598" s="1238"/>
      <c r="BW598" s="1240"/>
      <c r="BX598" s="1237">
        <f t="shared" si="3"/>
        <v>0</v>
      </c>
      <c r="BY598" s="1238"/>
      <c r="BZ598" s="1238"/>
      <c r="CA598" s="1238"/>
      <c r="CB598" s="1240"/>
      <c r="CC598" s="1237">
        <f t="shared" si="4"/>
        <v>4</v>
      </c>
      <c r="CD598" s="1238"/>
      <c r="CE598" s="1238"/>
      <c r="CF598" s="1238"/>
      <c r="CG598" s="1240"/>
      <c r="CH598" s="1237">
        <f t="shared" si="5"/>
        <v>0</v>
      </c>
      <c r="CI598" s="1238"/>
      <c r="CJ598" s="1238"/>
      <c r="CK598" s="1238"/>
      <c r="CL598" s="1240"/>
      <c r="CM598" s="1237">
        <f t="shared" si="6"/>
        <v>0</v>
      </c>
      <c r="CN598" s="1238"/>
      <c r="CO598" s="1238"/>
      <c r="CP598" s="1238"/>
      <c r="CQ598" s="1240"/>
      <c r="CS598" s="1489">
        <f t="shared" si="11"/>
        <v>0</v>
      </c>
      <c r="CT598" s="1490"/>
      <c r="CU598" s="1490"/>
      <c r="CV598" s="1490"/>
      <c r="CW598" s="1491"/>
      <c r="CX598" s="1489">
        <f t="shared" si="12"/>
        <v>0</v>
      </c>
      <c r="CY598" s="1490"/>
      <c r="CZ598" s="1490"/>
      <c r="DA598" s="1490"/>
      <c r="DB598" s="1491"/>
      <c r="DC598" s="1489">
        <f t="shared" si="13"/>
        <v>0</v>
      </c>
      <c r="DD598" s="1490"/>
      <c r="DE598" s="1490"/>
      <c r="DF598" s="1490"/>
      <c r="DG598" s="1491"/>
      <c r="DH598" s="1489">
        <f t="shared" si="14"/>
        <v>0</v>
      </c>
      <c r="DI598" s="1490"/>
      <c r="DJ598" s="1490"/>
      <c r="DK598" s="1490"/>
      <c r="DL598" s="1491"/>
      <c r="DM598" s="1489">
        <f t="shared" si="15"/>
        <v>0</v>
      </c>
      <c r="DN598" s="1490"/>
      <c r="DO598" s="1490"/>
      <c r="DP598" s="1490"/>
      <c r="DQ598" s="1491"/>
      <c r="DR598" s="1489">
        <f t="shared" si="16"/>
        <v>0</v>
      </c>
      <c r="DS598" s="1490"/>
      <c r="DT598" s="1490"/>
      <c r="DU598" s="1490"/>
      <c r="DV598" s="1491"/>
    </row>
    <row r="599" spans="1:126" s="5" customFormat="1" ht="12.9"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1">
        <f t="shared" si="9"/>
        <v>1</v>
      </c>
      <c r="BF599" s="1242"/>
      <c r="BG599" s="1237">
        <f t="shared" si="7"/>
        <v>4</v>
      </c>
      <c r="BH599" s="1240"/>
      <c r="BI599" s="1241">
        <f t="shared" si="10"/>
        <v>0</v>
      </c>
      <c r="BJ599" s="1242"/>
      <c r="BK599" s="1237">
        <f t="shared" si="8"/>
        <v>0</v>
      </c>
      <c r="BL599" s="1240"/>
      <c r="BN599" s="1237">
        <f t="shared" si="1"/>
        <v>0</v>
      </c>
      <c r="BO599" s="1238"/>
      <c r="BP599" s="1238"/>
      <c r="BQ599" s="1238"/>
      <c r="BR599" s="1239"/>
      <c r="BS599" s="1237">
        <f t="shared" si="2"/>
        <v>0</v>
      </c>
      <c r="BT599" s="1238"/>
      <c r="BU599" s="1238"/>
      <c r="BV599" s="1238"/>
      <c r="BW599" s="1240"/>
      <c r="BX599" s="1237">
        <f t="shared" si="3"/>
        <v>0</v>
      </c>
      <c r="BY599" s="1238"/>
      <c r="BZ599" s="1238"/>
      <c r="CA599" s="1238"/>
      <c r="CB599" s="1240"/>
      <c r="CC599" s="1237">
        <f t="shared" si="4"/>
        <v>2</v>
      </c>
      <c r="CD599" s="1238"/>
      <c r="CE599" s="1238"/>
      <c r="CF599" s="1238"/>
      <c r="CG599" s="1240"/>
      <c r="CH599" s="1237">
        <f t="shared" si="5"/>
        <v>0</v>
      </c>
      <c r="CI599" s="1238"/>
      <c r="CJ599" s="1238"/>
      <c r="CK599" s="1238"/>
      <c r="CL599" s="1240"/>
      <c r="CM599" s="1237">
        <f t="shared" si="6"/>
        <v>0</v>
      </c>
      <c r="CN599" s="1238"/>
      <c r="CO599" s="1238"/>
      <c r="CP599" s="1238"/>
      <c r="CQ599" s="1240"/>
      <c r="CS599" s="1489">
        <f t="shared" si="11"/>
        <v>0</v>
      </c>
      <c r="CT599" s="1490"/>
      <c r="CU599" s="1490"/>
      <c r="CV599" s="1490"/>
      <c r="CW599" s="1491"/>
      <c r="CX599" s="1489">
        <f t="shared" si="12"/>
        <v>0</v>
      </c>
      <c r="CY599" s="1490"/>
      <c r="CZ599" s="1490"/>
      <c r="DA599" s="1490"/>
      <c r="DB599" s="1491"/>
      <c r="DC599" s="1489">
        <f t="shared" si="13"/>
        <v>0</v>
      </c>
      <c r="DD599" s="1490"/>
      <c r="DE599" s="1490"/>
      <c r="DF599" s="1490"/>
      <c r="DG599" s="1491"/>
      <c r="DH599" s="1489">
        <f t="shared" si="14"/>
        <v>0</v>
      </c>
      <c r="DI599" s="1490"/>
      <c r="DJ599" s="1490"/>
      <c r="DK599" s="1490"/>
      <c r="DL599" s="1491"/>
      <c r="DM599" s="1489">
        <f t="shared" si="15"/>
        <v>0</v>
      </c>
      <c r="DN599" s="1490"/>
      <c r="DO599" s="1490"/>
      <c r="DP599" s="1490"/>
      <c r="DQ599" s="1491"/>
      <c r="DR599" s="1489">
        <f t="shared" si="16"/>
        <v>0</v>
      </c>
      <c r="DS599" s="1490"/>
      <c r="DT599" s="1490"/>
      <c r="DU599" s="1490"/>
      <c r="DV599" s="1491"/>
    </row>
    <row r="600" spans="1:126" ht="12.9" customHeight="1">
      <c r="A600" s="61" t="s">
        <v>36</v>
      </c>
      <c r="B600" t="s">
        <v>89</v>
      </c>
      <c r="G600" s="1291">
        <f>C556</f>
        <v>0</v>
      </c>
      <c r="H600" s="1291"/>
      <c r="I600" s="1291"/>
      <c r="J600" s="1291"/>
      <c r="K600" s="1291"/>
      <c r="L600" s="1291"/>
      <c r="M600" s="1291"/>
      <c r="N600" s="1291"/>
      <c r="O600" s="1291"/>
      <c r="P600" s="1291"/>
      <c r="Q600" s="1291"/>
      <c r="R600" s="1291"/>
      <c r="T600" s="61" t="s">
        <v>37</v>
      </c>
      <c r="U600" t="s">
        <v>89</v>
      </c>
      <c r="Z600" s="1291">
        <f>C557</f>
        <v>0</v>
      </c>
      <c r="AA600" s="1291"/>
      <c r="AB600" s="1291"/>
      <c r="AC600" s="1291"/>
      <c r="AD600" s="1291"/>
      <c r="AE600" s="1291"/>
      <c r="AF600" s="1291"/>
      <c r="AG600" s="1291"/>
      <c r="AH600" s="1291"/>
      <c r="AI600" s="1291"/>
      <c r="AJ600" s="1291"/>
      <c r="AK600" s="1291"/>
      <c r="AZ600" s="41"/>
      <c r="BA600" s="41"/>
      <c r="BB600" s="41"/>
      <c r="BC600" s="41"/>
      <c r="BD600" s="41"/>
      <c r="BE600" s="1241">
        <f t="shared" si="9"/>
        <v>0</v>
      </c>
      <c r="BF600" s="1242"/>
      <c r="BG600" s="1237">
        <f t="shared" si="7"/>
        <v>0</v>
      </c>
      <c r="BH600" s="1240"/>
      <c r="BI600" s="1241">
        <f t="shared" si="10"/>
        <v>0</v>
      </c>
      <c r="BJ600" s="1242"/>
      <c r="BK600" s="1237">
        <f t="shared" si="8"/>
        <v>0</v>
      </c>
      <c r="BL600" s="1240"/>
      <c r="BN600" s="1237">
        <f t="shared" si="1"/>
        <v>0</v>
      </c>
      <c r="BO600" s="1238"/>
      <c r="BP600" s="1238"/>
      <c r="BQ600" s="1238"/>
      <c r="BR600" s="1239"/>
      <c r="BS600" s="1237">
        <f t="shared" si="2"/>
        <v>0</v>
      </c>
      <c r="BT600" s="1238"/>
      <c r="BU600" s="1238"/>
      <c r="BV600" s="1238"/>
      <c r="BW600" s="1240"/>
      <c r="BX600" s="1237">
        <f t="shared" si="3"/>
        <v>0</v>
      </c>
      <c r="BY600" s="1238"/>
      <c r="BZ600" s="1238"/>
      <c r="CA600" s="1238"/>
      <c r="CB600" s="1240"/>
      <c r="CC600" s="1237">
        <f t="shared" si="4"/>
        <v>0</v>
      </c>
      <c r="CD600" s="1238"/>
      <c r="CE600" s="1238"/>
      <c r="CF600" s="1238"/>
      <c r="CG600" s="1240"/>
      <c r="CH600" s="1237">
        <f t="shared" si="5"/>
        <v>0</v>
      </c>
      <c r="CI600" s="1238"/>
      <c r="CJ600" s="1238"/>
      <c r="CK600" s="1238"/>
      <c r="CL600" s="1240"/>
      <c r="CM600" s="1237">
        <f t="shared" si="6"/>
        <v>0</v>
      </c>
      <c r="CN600" s="1238"/>
      <c r="CO600" s="1238"/>
      <c r="CP600" s="1238"/>
      <c r="CQ600" s="1240"/>
      <c r="CS600" s="1489">
        <f t="shared" si="11"/>
        <v>0</v>
      </c>
      <c r="CT600" s="1490"/>
      <c r="CU600" s="1490"/>
      <c r="CV600" s="1490"/>
      <c r="CW600" s="1491"/>
      <c r="CX600" s="1489">
        <f t="shared" si="12"/>
        <v>0</v>
      </c>
      <c r="CY600" s="1490"/>
      <c r="CZ600" s="1490"/>
      <c r="DA600" s="1490"/>
      <c r="DB600" s="1491"/>
      <c r="DC600" s="1489">
        <f t="shared" si="13"/>
        <v>0</v>
      </c>
      <c r="DD600" s="1490"/>
      <c r="DE600" s="1490"/>
      <c r="DF600" s="1490"/>
      <c r="DG600" s="1491"/>
      <c r="DH600" s="1489">
        <f t="shared" si="14"/>
        <v>0</v>
      </c>
      <c r="DI600" s="1490"/>
      <c r="DJ600" s="1490"/>
      <c r="DK600" s="1490"/>
      <c r="DL600" s="1491"/>
      <c r="DM600" s="1489">
        <f t="shared" si="15"/>
        <v>0</v>
      </c>
      <c r="DN600" s="1490"/>
      <c r="DO600" s="1490"/>
      <c r="DP600" s="1490"/>
      <c r="DQ600" s="1491"/>
      <c r="DR600" s="1489">
        <f t="shared" si="16"/>
        <v>0</v>
      </c>
      <c r="DS600" s="1490"/>
      <c r="DT600" s="1490"/>
      <c r="DU600" s="1490"/>
      <c r="DV600" s="1491"/>
    </row>
    <row r="601" spans="1:126" ht="12.9" customHeight="1">
      <c r="B601" t="s">
        <v>395</v>
      </c>
      <c r="G601" s="1084"/>
      <c r="H601" s="1084"/>
      <c r="I601" s="1084"/>
      <c r="J601" s="1084"/>
      <c r="K601" s="1084"/>
      <c r="L601" s="1084"/>
      <c r="M601" s="1084"/>
      <c r="N601" s="1084"/>
      <c r="O601" s="1084"/>
      <c r="P601" s="1084"/>
      <c r="Q601" s="1084"/>
      <c r="R601" s="1084"/>
      <c r="U601" t="s">
        <v>395</v>
      </c>
      <c r="Z601" s="1084"/>
      <c r="AA601" s="1084"/>
      <c r="AB601" s="1084"/>
      <c r="AC601" s="1084"/>
      <c r="AD601" s="1084"/>
      <c r="AE601" s="1084"/>
      <c r="AF601" s="1084"/>
      <c r="AG601" s="1084"/>
      <c r="AH601" s="1084"/>
      <c r="AI601" s="1084"/>
      <c r="AJ601" s="1084"/>
      <c r="AK601" s="1084"/>
      <c r="AZ601" s="41"/>
      <c r="BA601" s="41"/>
      <c r="BB601" s="41"/>
      <c r="BC601" s="41"/>
      <c r="BD601" s="41"/>
      <c r="BE601" s="1241">
        <f t="shared" si="9"/>
        <v>0</v>
      </c>
      <c r="BF601" s="1242"/>
      <c r="BG601" s="1237">
        <f t="shared" si="7"/>
        <v>0</v>
      </c>
      <c r="BH601" s="1240"/>
      <c r="BI601" s="1241">
        <f t="shared" si="10"/>
        <v>0</v>
      </c>
      <c r="BJ601" s="1242"/>
      <c r="BK601" s="1237">
        <f t="shared" si="8"/>
        <v>0</v>
      </c>
      <c r="BL601" s="1240"/>
      <c r="BN601" s="1237">
        <f t="shared" si="1"/>
        <v>0</v>
      </c>
      <c r="BO601" s="1238"/>
      <c r="BP601" s="1238"/>
      <c r="BQ601" s="1238"/>
      <c r="BR601" s="1239"/>
      <c r="BS601" s="1237">
        <f t="shared" si="2"/>
        <v>0</v>
      </c>
      <c r="BT601" s="1238"/>
      <c r="BU601" s="1238"/>
      <c r="BV601" s="1238"/>
      <c r="BW601" s="1240"/>
      <c r="BX601" s="1237">
        <f t="shared" si="3"/>
        <v>0</v>
      </c>
      <c r="BY601" s="1238"/>
      <c r="BZ601" s="1238"/>
      <c r="CA601" s="1238"/>
      <c r="CB601" s="1240"/>
      <c r="CC601" s="1237">
        <f t="shared" si="4"/>
        <v>0</v>
      </c>
      <c r="CD601" s="1238"/>
      <c r="CE601" s="1238"/>
      <c r="CF601" s="1238"/>
      <c r="CG601" s="1240"/>
      <c r="CH601" s="1237">
        <f t="shared" si="5"/>
        <v>0</v>
      </c>
      <c r="CI601" s="1238"/>
      <c r="CJ601" s="1238"/>
      <c r="CK601" s="1238"/>
      <c r="CL601" s="1240"/>
      <c r="CM601" s="1237">
        <f t="shared" si="6"/>
        <v>0</v>
      </c>
      <c r="CN601" s="1238"/>
      <c r="CO601" s="1238"/>
      <c r="CP601" s="1238"/>
      <c r="CQ601" s="1240"/>
      <c r="CS601" s="1489">
        <f t="shared" si="11"/>
        <v>0</v>
      </c>
      <c r="CT601" s="1490"/>
      <c r="CU601" s="1490"/>
      <c r="CV601" s="1490"/>
      <c r="CW601" s="1491"/>
      <c r="CX601" s="1489">
        <f t="shared" si="12"/>
        <v>0</v>
      </c>
      <c r="CY601" s="1490"/>
      <c r="CZ601" s="1490"/>
      <c r="DA601" s="1490"/>
      <c r="DB601" s="1491"/>
      <c r="DC601" s="1489">
        <f t="shared" si="13"/>
        <v>0</v>
      </c>
      <c r="DD601" s="1490"/>
      <c r="DE601" s="1490"/>
      <c r="DF601" s="1490"/>
      <c r="DG601" s="1491"/>
      <c r="DH601" s="1489">
        <f t="shared" si="14"/>
        <v>0</v>
      </c>
      <c r="DI601" s="1490"/>
      <c r="DJ601" s="1490"/>
      <c r="DK601" s="1490"/>
      <c r="DL601" s="1491"/>
      <c r="DM601" s="1489">
        <f t="shared" si="15"/>
        <v>0</v>
      </c>
      <c r="DN601" s="1490"/>
      <c r="DO601" s="1490"/>
      <c r="DP601" s="1490"/>
      <c r="DQ601" s="1491"/>
      <c r="DR601" s="1489">
        <f t="shared" si="16"/>
        <v>0</v>
      </c>
      <c r="DS601" s="1490"/>
      <c r="DT601" s="1490"/>
      <c r="DU601" s="1490"/>
      <c r="DV601" s="1491"/>
    </row>
    <row r="602" spans="1:126" ht="12.9" customHeight="1">
      <c r="B602" t="s">
        <v>457</v>
      </c>
      <c r="G602" s="1084"/>
      <c r="H602" s="1084"/>
      <c r="I602" s="1084"/>
      <c r="J602" s="1084"/>
      <c r="K602" s="1084"/>
      <c r="L602" s="1084"/>
      <c r="M602" s="1084"/>
      <c r="N602" s="1084"/>
      <c r="O602" s="1084"/>
      <c r="P602" s="1084"/>
      <c r="Q602" s="1084"/>
      <c r="R602" s="1084"/>
      <c r="U602" t="s">
        <v>457</v>
      </c>
      <c r="Z602" s="1085"/>
      <c r="AA602" s="1085"/>
      <c r="AB602" s="1085"/>
      <c r="AC602" s="1085"/>
      <c r="AD602" s="1085"/>
      <c r="AE602" s="1085"/>
      <c r="AF602" s="1085"/>
      <c r="AG602" s="1085"/>
      <c r="AH602" s="1085"/>
      <c r="AI602" s="1085"/>
      <c r="AJ602" s="1085"/>
      <c r="AK602" s="1085"/>
      <c r="AL602" s="306"/>
      <c r="BA602" s="41"/>
      <c r="BB602" s="41"/>
      <c r="BC602" s="41"/>
      <c r="BD602" s="41"/>
      <c r="BE602" s="1241">
        <f t="shared" si="9"/>
        <v>0</v>
      </c>
      <c r="BF602" s="1242"/>
      <c r="BG602" s="1237">
        <f t="shared" si="7"/>
        <v>0</v>
      </c>
      <c r="BH602" s="1240"/>
      <c r="BI602" s="1241">
        <f t="shared" si="10"/>
        <v>0</v>
      </c>
      <c r="BJ602" s="1242"/>
      <c r="BK602" s="1237">
        <f t="shared" si="8"/>
        <v>0</v>
      </c>
      <c r="BL602" s="1240"/>
      <c r="BN602" s="1237">
        <f t="shared" si="1"/>
        <v>0</v>
      </c>
      <c r="BO602" s="1238"/>
      <c r="BP602" s="1238"/>
      <c r="BQ602" s="1238"/>
      <c r="BR602" s="1239"/>
      <c r="BS602" s="1237">
        <f t="shared" si="2"/>
        <v>0</v>
      </c>
      <c r="BT602" s="1238"/>
      <c r="BU602" s="1238"/>
      <c r="BV602" s="1238"/>
      <c r="BW602" s="1240"/>
      <c r="BX602" s="1237">
        <f t="shared" si="3"/>
        <v>0</v>
      </c>
      <c r="BY602" s="1238"/>
      <c r="BZ602" s="1238"/>
      <c r="CA602" s="1238"/>
      <c r="CB602" s="1240"/>
      <c r="CC602" s="1237">
        <f t="shared" si="4"/>
        <v>0</v>
      </c>
      <c r="CD602" s="1238"/>
      <c r="CE602" s="1238"/>
      <c r="CF602" s="1238"/>
      <c r="CG602" s="1240"/>
      <c r="CH602" s="1237">
        <f t="shared" si="5"/>
        <v>0</v>
      </c>
      <c r="CI602" s="1238"/>
      <c r="CJ602" s="1238"/>
      <c r="CK602" s="1238"/>
      <c r="CL602" s="1240"/>
      <c r="CM602" s="1237">
        <f t="shared" si="6"/>
        <v>0</v>
      </c>
      <c r="CN602" s="1238"/>
      <c r="CO602" s="1238"/>
      <c r="CP602" s="1238"/>
      <c r="CQ602" s="1240"/>
      <c r="CS602" s="1489">
        <f t="shared" si="11"/>
        <v>0</v>
      </c>
      <c r="CT602" s="1490"/>
      <c r="CU602" s="1490"/>
      <c r="CV602" s="1490"/>
      <c r="CW602" s="1491"/>
      <c r="CX602" s="1489">
        <f t="shared" si="12"/>
        <v>0</v>
      </c>
      <c r="CY602" s="1490"/>
      <c r="CZ602" s="1490"/>
      <c r="DA602" s="1490"/>
      <c r="DB602" s="1491"/>
      <c r="DC602" s="1489">
        <f t="shared" si="13"/>
        <v>0</v>
      </c>
      <c r="DD602" s="1490"/>
      <c r="DE602" s="1490"/>
      <c r="DF602" s="1490"/>
      <c r="DG602" s="1491"/>
      <c r="DH602" s="1489">
        <f t="shared" si="14"/>
        <v>0</v>
      </c>
      <c r="DI602" s="1490"/>
      <c r="DJ602" s="1490"/>
      <c r="DK602" s="1490"/>
      <c r="DL602" s="1491"/>
      <c r="DM602" s="1489">
        <f t="shared" si="15"/>
        <v>0</v>
      </c>
      <c r="DN602" s="1490"/>
      <c r="DO602" s="1490"/>
      <c r="DP602" s="1490"/>
      <c r="DQ602" s="1491"/>
      <c r="DR602" s="1489">
        <f t="shared" si="16"/>
        <v>0</v>
      </c>
      <c r="DS602" s="1490"/>
      <c r="DT602" s="1490"/>
      <c r="DU602" s="1490"/>
      <c r="DV602" s="1491"/>
    </row>
    <row r="603" spans="1:126" ht="12.9" customHeight="1">
      <c r="B603" t="s">
        <v>872</v>
      </c>
      <c r="G603" s="1084"/>
      <c r="H603" s="1084"/>
      <c r="I603" s="1084"/>
      <c r="J603" s="1084"/>
      <c r="K603" s="1084"/>
      <c r="L603" s="1084"/>
      <c r="M603" s="1084"/>
      <c r="N603" s="1084"/>
      <c r="O603" s="1084"/>
      <c r="P603" s="1084"/>
      <c r="Q603" s="1084"/>
      <c r="R603" s="1084"/>
      <c r="U603" t="s">
        <v>872</v>
      </c>
      <c r="Z603" s="1085"/>
      <c r="AA603" s="1085"/>
      <c r="AB603" s="1085"/>
      <c r="AC603" s="1085"/>
      <c r="AD603" s="1085"/>
      <c r="AE603" s="1085"/>
      <c r="AF603" s="1085"/>
      <c r="AG603" s="1085"/>
      <c r="AH603" s="1085"/>
      <c r="AI603" s="1085"/>
      <c r="AJ603" s="1085"/>
      <c r="AK603" s="1085"/>
      <c r="AL603" s="306"/>
      <c r="BA603" s="41"/>
      <c r="BB603" s="41"/>
      <c r="BC603" s="41"/>
      <c r="BD603" s="41"/>
      <c r="BE603" s="1241">
        <f t="shared" si="9"/>
        <v>0</v>
      </c>
      <c r="BF603" s="1242"/>
      <c r="BG603" s="1237">
        <f t="shared" si="7"/>
        <v>0</v>
      </c>
      <c r="BH603" s="1240"/>
      <c r="BI603" s="1241">
        <f t="shared" si="10"/>
        <v>0</v>
      </c>
      <c r="BJ603" s="1242"/>
      <c r="BK603" s="1237">
        <f t="shared" si="8"/>
        <v>0</v>
      </c>
      <c r="BL603" s="1240"/>
      <c r="BN603" s="1237">
        <f t="shared" si="1"/>
        <v>0</v>
      </c>
      <c r="BO603" s="1238"/>
      <c r="BP603" s="1238"/>
      <c r="BQ603" s="1238"/>
      <c r="BR603" s="1239"/>
      <c r="BS603" s="1237">
        <f t="shared" si="2"/>
        <v>0</v>
      </c>
      <c r="BT603" s="1238"/>
      <c r="BU603" s="1238"/>
      <c r="BV603" s="1238"/>
      <c r="BW603" s="1240"/>
      <c r="BX603" s="1237">
        <f t="shared" si="3"/>
        <v>0</v>
      </c>
      <c r="BY603" s="1238"/>
      <c r="BZ603" s="1238"/>
      <c r="CA603" s="1238"/>
      <c r="CB603" s="1240"/>
      <c r="CC603" s="1237">
        <f t="shared" si="4"/>
        <v>0</v>
      </c>
      <c r="CD603" s="1238"/>
      <c r="CE603" s="1238"/>
      <c r="CF603" s="1238"/>
      <c r="CG603" s="1240"/>
      <c r="CH603" s="1237">
        <f t="shared" si="5"/>
        <v>0</v>
      </c>
      <c r="CI603" s="1238"/>
      <c r="CJ603" s="1238"/>
      <c r="CK603" s="1238"/>
      <c r="CL603" s="1240"/>
      <c r="CM603" s="1237">
        <f t="shared" si="6"/>
        <v>0</v>
      </c>
      <c r="CN603" s="1238"/>
      <c r="CO603" s="1238"/>
      <c r="CP603" s="1238"/>
      <c r="CQ603" s="1240"/>
      <c r="CS603" s="1489">
        <f t="shared" si="11"/>
        <v>0</v>
      </c>
      <c r="CT603" s="1490"/>
      <c r="CU603" s="1490"/>
      <c r="CV603" s="1490"/>
      <c r="CW603" s="1491"/>
      <c r="CX603" s="1489">
        <f t="shared" si="12"/>
        <v>0</v>
      </c>
      <c r="CY603" s="1490"/>
      <c r="CZ603" s="1490"/>
      <c r="DA603" s="1490"/>
      <c r="DB603" s="1491"/>
      <c r="DC603" s="1489">
        <f t="shared" si="13"/>
        <v>0</v>
      </c>
      <c r="DD603" s="1490"/>
      <c r="DE603" s="1490"/>
      <c r="DF603" s="1490"/>
      <c r="DG603" s="1491"/>
      <c r="DH603" s="1489">
        <f t="shared" si="14"/>
        <v>0</v>
      </c>
      <c r="DI603" s="1490"/>
      <c r="DJ603" s="1490"/>
      <c r="DK603" s="1490"/>
      <c r="DL603" s="1491"/>
      <c r="DM603" s="1489">
        <f t="shared" si="15"/>
        <v>0</v>
      </c>
      <c r="DN603" s="1490"/>
      <c r="DO603" s="1490"/>
      <c r="DP603" s="1490"/>
      <c r="DQ603" s="1491"/>
      <c r="DR603" s="1489">
        <f t="shared" si="16"/>
        <v>0</v>
      </c>
      <c r="DS603" s="1490"/>
      <c r="DT603" s="1490"/>
      <c r="DU603" s="1490"/>
      <c r="DV603" s="1491"/>
    </row>
    <row r="604" spans="1:126" ht="12.9" customHeight="1">
      <c r="B604" t="s">
        <v>684</v>
      </c>
      <c r="G604" s="1108"/>
      <c r="H604" s="1108"/>
      <c r="I604" s="1108"/>
      <c r="J604" s="1108"/>
      <c r="K604" s="1108"/>
      <c r="L604" s="1108"/>
      <c r="O604" s="42" t="s">
        <v>857</v>
      </c>
      <c r="P604" s="1279"/>
      <c r="Q604" s="1279"/>
      <c r="R604" s="1279"/>
      <c r="U604" t="s">
        <v>684</v>
      </c>
      <c r="Z604" s="1108"/>
      <c r="AA604" s="1108"/>
      <c r="AB604" s="1108"/>
      <c r="AC604" s="1108"/>
      <c r="AD604" s="1108"/>
      <c r="AE604" s="1108"/>
      <c r="AH604" s="42" t="s">
        <v>857</v>
      </c>
      <c r="AI604" s="1279"/>
      <c r="AJ604" s="1279"/>
      <c r="AK604" s="1279"/>
      <c r="AZ604" s="41"/>
      <c r="BA604" s="41"/>
      <c r="BB604" s="41"/>
      <c r="BC604" s="41"/>
      <c r="BD604" s="41"/>
      <c r="BE604" s="1241">
        <f t="shared" si="9"/>
        <v>0</v>
      </c>
      <c r="BF604" s="1242"/>
      <c r="BG604" s="1237">
        <f t="shared" si="7"/>
        <v>0</v>
      </c>
      <c r="BH604" s="1240"/>
      <c r="BI604" s="1241">
        <f t="shared" si="10"/>
        <v>0</v>
      </c>
      <c r="BJ604" s="1242"/>
      <c r="BK604" s="1237">
        <f t="shared" si="8"/>
        <v>0</v>
      </c>
      <c r="BL604" s="1240"/>
      <c r="BN604" s="1237">
        <f t="shared" si="1"/>
        <v>0</v>
      </c>
      <c r="BO604" s="1238"/>
      <c r="BP604" s="1238"/>
      <c r="BQ604" s="1238"/>
      <c r="BR604" s="1239"/>
      <c r="BS604" s="1237">
        <f t="shared" si="2"/>
        <v>0</v>
      </c>
      <c r="BT604" s="1238"/>
      <c r="BU604" s="1238"/>
      <c r="BV604" s="1238"/>
      <c r="BW604" s="1240"/>
      <c r="BX604" s="1237">
        <f t="shared" si="3"/>
        <v>0</v>
      </c>
      <c r="BY604" s="1238"/>
      <c r="BZ604" s="1238"/>
      <c r="CA604" s="1238"/>
      <c r="CB604" s="1240"/>
      <c r="CC604" s="1237">
        <f t="shared" si="4"/>
        <v>0</v>
      </c>
      <c r="CD604" s="1238"/>
      <c r="CE604" s="1238"/>
      <c r="CF604" s="1238"/>
      <c r="CG604" s="1240"/>
      <c r="CH604" s="1237">
        <f t="shared" si="5"/>
        <v>0</v>
      </c>
      <c r="CI604" s="1238"/>
      <c r="CJ604" s="1238"/>
      <c r="CK604" s="1238"/>
      <c r="CL604" s="1240"/>
      <c r="CM604" s="1237">
        <f t="shared" si="6"/>
        <v>0</v>
      </c>
      <c r="CN604" s="1238"/>
      <c r="CO604" s="1238"/>
      <c r="CP604" s="1238"/>
      <c r="CQ604" s="1240"/>
      <c r="CS604" s="1489">
        <f t="shared" si="11"/>
        <v>0</v>
      </c>
      <c r="CT604" s="1490"/>
      <c r="CU604" s="1490"/>
      <c r="CV604" s="1490"/>
      <c r="CW604" s="1491"/>
      <c r="CX604" s="1489">
        <f t="shared" si="12"/>
        <v>0</v>
      </c>
      <c r="CY604" s="1490"/>
      <c r="CZ604" s="1490"/>
      <c r="DA604" s="1490"/>
      <c r="DB604" s="1491"/>
      <c r="DC604" s="1489">
        <f t="shared" si="13"/>
        <v>0</v>
      </c>
      <c r="DD604" s="1490"/>
      <c r="DE604" s="1490"/>
      <c r="DF604" s="1490"/>
      <c r="DG604" s="1491"/>
      <c r="DH604" s="1489">
        <f t="shared" si="14"/>
        <v>0</v>
      </c>
      <c r="DI604" s="1490"/>
      <c r="DJ604" s="1490"/>
      <c r="DK604" s="1490"/>
      <c r="DL604" s="1491"/>
      <c r="DM604" s="1489">
        <f t="shared" si="15"/>
        <v>0</v>
      </c>
      <c r="DN604" s="1490"/>
      <c r="DO604" s="1490"/>
      <c r="DP604" s="1490"/>
      <c r="DQ604" s="1491"/>
      <c r="DR604" s="1489">
        <f t="shared" si="16"/>
        <v>0</v>
      </c>
      <c r="DS604" s="1490"/>
      <c r="DT604" s="1490"/>
      <c r="DU604" s="1490"/>
      <c r="DV604" s="1491"/>
    </row>
    <row r="605" spans="1:126" ht="12.9" customHeight="1">
      <c r="B605" t="s">
        <v>873</v>
      </c>
      <c r="H605" s="1084"/>
      <c r="I605" s="1084"/>
      <c r="J605" s="1084"/>
      <c r="K605" s="1084"/>
      <c r="L605" s="1084"/>
      <c r="M605" s="1084"/>
      <c r="N605" s="1084"/>
      <c r="O605" s="1084"/>
      <c r="P605" s="1084"/>
      <c r="Q605" s="1084"/>
      <c r="R605" s="1084"/>
      <c r="U605" t="s">
        <v>873</v>
      </c>
      <c r="AA605" s="1084"/>
      <c r="AB605" s="1084"/>
      <c r="AC605" s="1084"/>
      <c r="AD605" s="1084"/>
      <c r="AE605" s="1084"/>
      <c r="AF605" s="1084"/>
      <c r="AG605" s="1084"/>
      <c r="AH605" s="1084"/>
      <c r="AI605" s="1084"/>
      <c r="AJ605" s="1084"/>
      <c r="AK605" s="1084"/>
      <c r="AZ605" s="41"/>
      <c r="BA605" s="41"/>
      <c r="BB605" s="41"/>
      <c r="BC605" s="41"/>
      <c r="BD605" s="41"/>
      <c r="BE605" s="1241">
        <f t="shared" si="9"/>
        <v>0</v>
      </c>
      <c r="BF605" s="1242"/>
      <c r="BG605" s="1237">
        <f t="shared" si="7"/>
        <v>0</v>
      </c>
      <c r="BH605" s="1240"/>
      <c r="BI605" s="1241">
        <f t="shared" si="10"/>
        <v>0</v>
      </c>
      <c r="BJ605" s="1242"/>
      <c r="BK605" s="1237">
        <f t="shared" si="8"/>
        <v>0</v>
      </c>
      <c r="BL605" s="1240"/>
      <c r="BN605" s="1237">
        <f t="shared" si="1"/>
        <v>0</v>
      </c>
      <c r="BO605" s="1238"/>
      <c r="BP605" s="1238"/>
      <c r="BQ605" s="1238"/>
      <c r="BR605" s="1239"/>
      <c r="BS605" s="1237">
        <f t="shared" si="2"/>
        <v>0</v>
      </c>
      <c r="BT605" s="1238"/>
      <c r="BU605" s="1238"/>
      <c r="BV605" s="1238"/>
      <c r="BW605" s="1240"/>
      <c r="BX605" s="1237">
        <f t="shared" si="3"/>
        <v>0</v>
      </c>
      <c r="BY605" s="1238"/>
      <c r="BZ605" s="1238"/>
      <c r="CA605" s="1238"/>
      <c r="CB605" s="1240"/>
      <c r="CC605" s="1237">
        <f t="shared" si="4"/>
        <v>0</v>
      </c>
      <c r="CD605" s="1238"/>
      <c r="CE605" s="1238"/>
      <c r="CF605" s="1238"/>
      <c r="CG605" s="1240"/>
      <c r="CH605" s="1237">
        <f t="shared" si="5"/>
        <v>0</v>
      </c>
      <c r="CI605" s="1238"/>
      <c r="CJ605" s="1238"/>
      <c r="CK605" s="1238"/>
      <c r="CL605" s="1240"/>
      <c r="CM605" s="1237">
        <f t="shared" si="6"/>
        <v>0</v>
      </c>
      <c r="CN605" s="1238"/>
      <c r="CO605" s="1238"/>
      <c r="CP605" s="1238"/>
      <c r="CQ605" s="1240"/>
      <c r="CS605" s="1489">
        <f t="shared" si="11"/>
        <v>0</v>
      </c>
      <c r="CT605" s="1490"/>
      <c r="CU605" s="1490"/>
      <c r="CV605" s="1490"/>
      <c r="CW605" s="1491"/>
      <c r="CX605" s="1489">
        <f t="shared" si="12"/>
        <v>0</v>
      </c>
      <c r="CY605" s="1490"/>
      <c r="CZ605" s="1490"/>
      <c r="DA605" s="1490"/>
      <c r="DB605" s="1491"/>
      <c r="DC605" s="1489">
        <f t="shared" si="13"/>
        <v>0</v>
      </c>
      <c r="DD605" s="1490"/>
      <c r="DE605" s="1490"/>
      <c r="DF605" s="1490"/>
      <c r="DG605" s="1491"/>
      <c r="DH605" s="1489">
        <f t="shared" si="14"/>
        <v>0</v>
      </c>
      <c r="DI605" s="1490"/>
      <c r="DJ605" s="1490"/>
      <c r="DK605" s="1490"/>
      <c r="DL605" s="1491"/>
      <c r="DM605" s="1489">
        <f t="shared" si="15"/>
        <v>0</v>
      </c>
      <c r="DN605" s="1490"/>
      <c r="DO605" s="1490"/>
      <c r="DP605" s="1490"/>
      <c r="DQ605" s="1491"/>
      <c r="DR605" s="1489">
        <f t="shared" si="16"/>
        <v>0</v>
      </c>
      <c r="DS605" s="1490"/>
      <c r="DT605" s="1490"/>
      <c r="DU605" s="1490"/>
      <c r="DV605" s="1491"/>
    </row>
    <row r="606" spans="1:126" ht="12.9" customHeight="1">
      <c r="B606" t="s">
        <v>875</v>
      </c>
      <c r="N606" s="1109" t="s">
        <v>509</v>
      </c>
      <c r="O606" s="1109"/>
      <c r="U606" t="s">
        <v>875</v>
      </c>
      <c r="AG606" s="1109" t="s">
        <v>509</v>
      </c>
      <c r="AH606" s="1109"/>
      <c r="AZ606" s="41"/>
      <c r="BA606" s="41"/>
      <c r="BB606" s="41"/>
      <c r="BC606" s="41"/>
      <c r="BD606" s="41"/>
      <c r="BE606" s="1241">
        <f t="shared" si="9"/>
        <v>0</v>
      </c>
      <c r="BF606" s="1242"/>
      <c r="BG606" s="1237">
        <f t="shared" si="7"/>
        <v>0</v>
      </c>
      <c r="BH606" s="1240"/>
      <c r="BI606" s="1241">
        <f t="shared" si="10"/>
        <v>0</v>
      </c>
      <c r="BJ606" s="1242"/>
      <c r="BK606" s="1237">
        <f t="shared" si="8"/>
        <v>0</v>
      </c>
      <c r="BL606" s="1240"/>
      <c r="BN606" s="1237">
        <f t="shared" si="1"/>
        <v>0</v>
      </c>
      <c r="BO606" s="1238"/>
      <c r="BP606" s="1238"/>
      <c r="BQ606" s="1238"/>
      <c r="BR606" s="1239"/>
      <c r="BS606" s="1237">
        <f t="shared" si="2"/>
        <v>0</v>
      </c>
      <c r="BT606" s="1238"/>
      <c r="BU606" s="1238"/>
      <c r="BV606" s="1238"/>
      <c r="BW606" s="1240"/>
      <c r="BX606" s="1237">
        <f t="shared" si="3"/>
        <v>0</v>
      </c>
      <c r="BY606" s="1238"/>
      <c r="BZ606" s="1238"/>
      <c r="CA606" s="1238"/>
      <c r="CB606" s="1240"/>
      <c r="CC606" s="1237">
        <f t="shared" si="4"/>
        <v>0</v>
      </c>
      <c r="CD606" s="1238"/>
      <c r="CE606" s="1238"/>
      <c r="CF606" s="1238"/>
      <c r="CG606" s="1240"/>
      <c r="CH606" s="1237">
        <f t="shared" si="5"/>
        <v>0</v>
      </c>
      <c r="CI606" s="1238"/>
      <c r="CJ606" s="1238"/>
      <c r="CK606" s="1238"/>
      <c r="CL606" s="1240"/>
      <c r="CM606" s="1237">
        <f t="shared" si="6"/>
        <v>0</v>
      </c>
      <c r="CN606" s="1238"/>
      <c r="CO606" s="1238"/>
      <c r="CP606" s="1238"/>
      <c r="CQ606" s="1240"/>
      <c r="CS606" s="1489">
        <f t="shared" si="11"/>
        <v>0</v>
      </c>
      <c r="CT606" s="1490"/>
      <c r="CU606" s="1490"/>
      <c r="CV606" s="1490"/>
      <c r="CW606" s="1491"/>
      <c r="CX606" s="1489">
        <f t="shared" si="12"/>
        <v>0</v>
      </c>
      <c r="CY606" s="1490"/>
      <c r="CZ606" s="1490"/>
      <c r="DA606" s="1490"/>
      <c r="DB606" s="1491"/>
      <c r="DC606" s="1489">
        <f t="shared" si="13"/>
        <v>0</v>
      </c>
      <c r="DD606" s="1490"/>
      <c r="DE606" s="1490"/>
      <c r="DF606" s="1490"/>
      <c r="DG606" s="1491"/>
      <c r="DH606" s="1489">
        <f t="shared" si="14"/>
        <v>0</v>
      </c>
      <c r="DI606" s="1490"/>
      <c r="DJ606" s="1490"/>
      <c r="DK606" s="1490"/>
      <c r="DL606" s="1491"/>
      <c r="DM606" s="1489">
        <f t="shared" si="15"/>
        <v>0</v>
      </c>
      <c r="DN606" s="1490"/>
      <c r="DO606" s="1490"/>
      <c r="DP606" s="1490"/>
      <c r="DQ606" s="1491"/>
      <c r="DR606" s="1489">
        <f t="shared" si="16"/>
        <v>0</v>
      </c>
      <c r="DS606" s="1490"/>
      <c r="DT606" s="1490"/>
      <c r="DU606" s="1490"/>
      <c r="DV606" s="1491"/>
    </row>
    <row r="607" spans="1:126" ht="12.9" customHeight="1">
      <c r="AZ607" s="41"/>
      <c r="BA607" s="41"/>
      <c r="BB607" s="41"/>
      <c r="BC607" s="41"/>
      <c r="BD607" s="41"/>
      <c r="BE607" s="1241">
        <f t="shared" si="9"/>
        <v>0</v>
      </c>
      <c r="BF607" s="1242"/>
      <c r="BG607" s="1237">
        <f t="shared" si="7"/>
        <v>0</v>
      </c>
      <c r="BH607" s="1240"/>
      <c r="BI607" s="1241">
        <f t="shared" si="10"/>
        <v>0</v>
      </c>
      <c r="BJ607" s="1242"/>
      <c r="BK607" s="1237">
        <f t="shared" si="8"/>
        <v>0</v>
      </c>
      <c r="BL607" s="1240"/>
      <c r="BN607" s="1237">
        <f t="shared" si="1"/>
        <v>0</v>
      </c>
      <c r="BO607" s="1238"/>
      <c r="BP607" s="1238"/>
      <c r="BQ607" s="1238"/>
      <c r="BR607" s="1239"/>
      <c r="BS607" s="1237">
        <f t="shared" si="2"/>
        <v>0</v>
      </c>
      <c r="BT607" s="1238"/>
      <c r="BU607" s="1238"/>
      <c r="BV607" s="1238"/>
      <c r="BW607" s="1240"/>
      <c r="BX607" s="1237">
        <f t="shared" si="3"/>
        <v>0</v>
      </c>
      <c r="BY607" s="1238"/>
      <c r="BZ607" s="1238"/>
      <c r="CA607" s="1238"/>
      <c r="CB607" s="1240"/>
      <c r="CC607" s="1237">
        <f t="shared" si="4"/>
        <v>0</v>
      </c>
      <c r="CD607" s="1238"/>
      <c r="CE607" s="1238"/>
      <c r="CF607" s="1238"/>
      <c r="CG607" s="1240"/>
      <c r="CH607" s="1237">
        <f t="shared" si="5"/>
        <v>0</v>
      </c>
      <c r="CI607" s="1238"/>
      <c r="CJ607" s="1238"/>
      <c r="CK607" s="1238"/>
      <c r="CL607" s="1240"/>
      <c r="CM607" s="1237">
        <f t="shared" si="6"/>
        <v>0</v>
      </c>
      <c r="CN607" s="1238"/>
      <c r="CO607" s="1238"/>
      <c r="CP607" s="1238"/>
      <c r="CQ607" s="1240"/>
      <c r="CS607" s="1489">
        <f t="shared" si="11"/>
        <v>0</v>
      </c>
      <c r="CT607" s="1490"/>
      <c r="CU607" s="1490"/>
      <c r="CV607" s="1490"/>
      <c r="CW607" s="1491"/>
      <c r="CX607" s="1489">
        <f t="shared" si="12"/>
        <v>0</v>
      </c>
      <c r="CY607" s="1490"/>
      <c r="CZ607" s="1490"/>
      <c r="DA607" s="1490"/>
      <c r="DB607" s="1491"/>
      <c r="DC607" s="1489">
        <f t="shared" si="13"/>
        <v>0</v>
      </c>
      <c r="DD607" s="1490"/>
      <c r="DE607" s="1490"/>
      <c r="DF607" s="1490"/>
      <c r="DG607" s="1491"/>
      <c r="DH607" s="1489">
        <f t="shared" si="14"/>
        <v>0</v>
      </c>
      <c r="DI607" s="1490"/>
      <c r="DJ607" s="1490"/>
      <c r="DK607" s="1490"/>
      <c r="DL607" s="1491"/>
      <c r="DM607" s="1489">
        <f t="shared" si="15"/>
        <v>0</v>
      </c>
      <c r="DN607" s="1490"/>
      <c r="DO607" s="1490"/>
      <c r="DP607" s="1490"/>
      <c r="DQ607" s="1491"/>
      <c r="DR607" s="1489">
        <f t="shared" si="16"/>
        <v>0</v>
      </c>
      <c r="DS607" s="1490"/>
      <c r="DT607" s="1490"/>
      <c r="DU607" s="1490"/>
      <c r="DV607" s="1491"/>
    </row>
    <row r="608" spans="1:126" ht="12.9" customHeight="1">
      <c r="A608" s="965" t="s">
        <v>133</v>
      </c>
      <c r="B608" s="965"/>
      <c r="C608" s="965"/>
      <c r="D608" s="965"/>
      <c r="E608" s="965"/>
      <c r="F608" s="965"/>
      <c r="G608" s="965"/>
      <c r="H608" s="965"/>
      <c r="I608" s="965"/>
      <c r="J608" s="965"/>
      <c r="K608" s="965"/>
      <c r="L608" s="965"/>
      <c r="M608" s="965"/>
      <c r="N608" s="965"/>
      <c r="O608" s="965"/>
      <c r="P608" s="965"/>
      <c r="Q608" s="965"/>
      <c r="R608" s="965"/>
      <c r="S608" s="965"/>
      <c r="T608" s="965"/>
      <c r="U608" s="965"/>
      <c r="V608" s="965"/>
      <c r="W608" s="965"/>
      <c r="X608" s="965"/>
      <c r="Y608" s="965"/>
      <c r="Z608" s="965"/>
      <c r="AA608" s="965"/>
      <c r="AB608" s="965"/>
      <c r="AC608" s="965"/>
      <c r="AD608" s="965"/>
      <c r="AE608" s="965"/>
      <c r="AF608" s="965"/>
      <c r="AG608" s="965"/>
      <c r="AH608" s="965"/>
      <c r="AI608" s="965"/>
      <c r="AJ608" s="965"/>
      <c r="AK608" s="965"/>
      <c r="AL608" s="965"/>
      <c r="AM608" s="965"/>
      <c r="AN608" s="965"/>
      <c r="AO608" s="965"/>
      <c r="AP608" s="965"/>
      <c r="AQ608" s="965"/>
      <c r="AR608" s="965"/>
      <c r="AS608" s="965"/>
      <c r="AZ608" s="41"/>
      <c r="BA608" s="41"/>
      <c r="BB608" s="41"/>
      <c r="BC608" s="41"/>
      <c r="BD608" s="41"/>
      <c r="BE608" s="1241">
        <f t="shared" si="9"/>
        <v>0</v>
      </c>
      <c r="BF608" s="1242"/>
      <c r="BG608" s="1237">
        <f t="shared" si="7"/>
        <v>0</v>
      </c>
      <c r="BH608" s="1240"/>
      <c r="BI608" s="1241">
        <f t="shared" si="10"/>
        <v>0</v>
      </c>
      <c r="BJ608" s="1242"/>
      <c r="BK608" s="1237">
        <f t="shared" si="8"/>
        <v>0</v>
      </c>
      <c r="BL608" s="1240"/>
      <c r="BN608" s="1237">
        <f t="shared" si="1"/>
        <v>0</v>
      </c>
      <c r="BO608" s="1238"/>
      <c r="BP608" s="1238"/>
      <c r="BQ608" s="1238"/>
      <c r="BR608" s="1239"/>
      <c r="BS608" s="1237">
        <f t="shared" si="2"/>
        <v>0</v>
      </c>
      <c r="BT608" s="1238"/>
      <c r="BU608" s="1238"/>
      <c r="BV608" s="1238"/>
      <c r="BW608" s="1240"/>
      <c r="BX608" s="1237">
        <f t="shared" si="3"/>
        <v>0</v>
      </c>
      <c r="BY608" s="1238"/>
      <c r="BZ608" s="1238"/>
      <c r="CA608" s="1238"/>
      <c r="CB608" s="1240"/>
      <c r="CC608" s="1237">
        <f t="shared" si="4"/>
        <v>0</v>
      </c>
      <c r="CD608" s="1238"/>
      <c r="CE608" s="1238"/>
      <c r="CF608" s="1238"/>
      <c r="CG608" s="1240"/>
      <c r="CH608" s="1237">
        <f t="shared" si="5"/>
        <v>0</v>
      </c>
      <c r="CI608" s="1238"/>
      <c r="CJ608" s="1238"/>
      <c r="CK608" s="1238"/>
      <c r="CL608" s="1240"/>
      <c r="CM608" s="1237">
        <f t="shared" si="6"/>
        <v>0</v>
      </c>
      <c r="CN608" s="1238"/>
      <c r="CO608" s="1238"/>
      <c r="CP608" s="1238"/>
      <c r="CQ608" s="1240"/>
      <c r="CS608" s="1489">
        <f t="shared" si="11"/>
        <v>0</v>
      </c>
      <c r="CT608" s="1490"/>
      <c r="CU608" s="1490"/>
      <c r="CV608" s="1490"/>
      <c r="CW608" s="1491"/>
      <c r="CX608" s="1489">
        <f t="shared" si="12"/>
        <v>0</v>
      </c>
      <c r="CY608" s="1490"/>
      <c r="CZ608" s="1490"/>
      <c r="DA608" s="1490"/>
      <c r="DB608" s="1491"/>
      <c r="DC608" s="1489">
        <f t="shared" si="13"/>
        <v>0</v>
      </c>
      <c r="DD608" s="1490"/>
      <c r="DE608" s="1490"/>
      <c r="DF608" s="1490"/>
      <c r="DG608" s="1491"/>
      <c r="DH608" s="1489">
        <f t="shared" si="14"/>
        <v>0</v>
      </c>
      <c r="DI608" s="1490"/>
      <c r="DJ608" s="1490"/>
      <c r="DK608" s="1490"/>
      <c r="DL608" s="1491"/>
      <c r="DM608" s="1489">
        <f t="shared" si="15"/>
        <v>0</v>
      </c>
      <c r="DN608" s="1490"/>
      <c r="DO608" s="1490"/>
      <c r="DP608" s="1490"/>
      <c r="DQ608" s="1491"/>
      <c r="DR608" s="1489">
        <f t="shared" si="16"/>
        <v>0</v>
      </c>
      <c r="DS608" s="1490"/>
      <c r="DT608" s="1490"/>
      <c r="DU608" s="1490"/>
      <c r="DV608" s="1491"/>
    </row>
    <row r="609" spans="1:126" ht="12.9" customHeight="1">
      <c r="A609" s="965"/>
      <c r="B609" s="965"/>
      <c r="C609" s="965"/>
      <c r="D609" s="965"/>
      <c r="E609" s="965"/>
      <c r="F609" s="965"/>
      <c r="G609" s="965"/>
      <c r="H609" s="965"/>
      <c r="I609" s="965"/>
      <c r="J609" s="965"/>
      <c r="K609" s="965"/>
      <c r="L609" s="965"/>
      <c r="M609" s="965"/>
      <c r="N609" s="965"/>
      <c r="O609" s="965"/>
      <c r="P609" s="965"/>
      <c r="Q609" s="965"/>
      <c r="R609" s="965"/>
      <c r="S609" s="965"/>
      <c r="T609" s="965"/>
      <c r="U609" s="965"/>
      <c r="V609" s="965"/>
      <c r="W609" s="965"/>
      <c r="X609" s="965"/>
      <c r="Y609" s="965"/>
      <c r="Z609" s="965"/>
      <c r="AA609" s="965"/>
      <c r="AB609" s="965"/>
      <c r="AC609" s="965"/>
      <c r="AD609" s="965"/>
      <c r="AE609" s="965"/>
      <c r="AF609" s="965"/>
      <c r="AG609" s="965"/>
      <c r="AH609" s="965"/>
      <c r="AI609" s="965"/>
      <c r="AJ609" s="965"/>
      <c r="AK609" s="965"/>
      <c r="AL609" s="965"/>
      <c r="AM609" s="965"/>
      <c r="AN609" s="965"/>
      <c r="AO609" s="965"/>
      <c r="AP609" s="965"/>
      <c r="AQ609" s="965"/>
      <c r="AR609" s="965"/>
      <c r="AS609" s="965"/>
      <c r="AZ609" s="41"/>
      <c r="BA609" s="41"/>
      <c r="BB609" s="41"/>
      <c r="BC609" s="41"/>
      <c r="BD609" s="41"/>
      <c r="BE609" s="1241">
        <f t="shared" si="9"/>
        <v>0</v>
      </c>
      <c r="BF609" s="1242"/>
      <c r="BG609" s="1237">
        <f t="shared" si="7"/>
        <v>0</v>
      </c>
      <c r="BH609" s="1240"/>
      <c r="BI609" s="1241">
        <f t="shared" si="10"/>
        <v>0</v>
      </c>
      <c r="BJ609" s="1242"/>
      <c r="BK609" s="1237">
        <f t="shared" si="8"/>
        <v>0</v>
      </c>
      <c r="BL609" s="1240"/>
      <c r="BN609" s="1237">
        <f t="shared" si="1"/>
        <v>0</v>
      </c>
      <c r="BO609" s="1238"/>
      <c r="BP609" s="1238"/>
      <c r="BQ609" s="1238"/>
      <c r="BR609" s="1239"/>
      <c r="BS609" s="1237">
        <f t="shared" si="2"/>
        <v>0</v>
      </c>
      <c r="BT609" s="1238"/>
      <c r="BU609" s="1238"/>
      <c r="BV609" s="1238"/>
      <c r="BW609" s="1240"/>
      <c r="BX609" s="1237">
        <f t="shared" si="3"/>
        <v>0</v>
      </c>
      <c r="BY609" s="1238"/>
      <c r="BZ609" s="1238"/>
      <c r="CA609" s="1238"/>
      <c r="CB609" s="1240"/>
      <c r="CC609" s="1237">
        <f t="shared" si="4"/>
        <v>0</v>
      </c>
      <c r="CD609" s="1238"/>
      <c r="CE609" s="1238"/>
      <c r="CF609" s="1238"/>
      <c r="CG609" s="1240"/>
      <c r="CH609" s="1237">
        <f t="shared" si="5"/>
        <v>0</v>
      </c>
      <c r="CI609" s="1238"/>
      <c r="CJ609" s="1238"/>
      <c r="CK609" s="1238"/>
      <c r="CL609" s="1240"/>
      <c r="CM609" s="1237">
        <f t="shared" si="6"/>
        <v>0</v>
      </c>
      <c r="CN609" s="1238"/>
      <c r="CO609" s="1238"/>
      <c r="CP609" s="1238"/>
      <c r="CQ609" s="1240"/>
      <c r="CS609" s="1489">
        <f t="shared" si="11"/>
        <v>0</v>
      </c>
      <c r="CT609" s="1490"/>
      <c r="CU609" s="1490"/>
      <c r="CV609" s="1490"/>
      <c r="CW609" s="1491"/>
      <c r="CX609" s="1489">
        <f t="shared" si="12"/>
        <v>0</v>
      </c>
      <c r="CY609" s="1490"/>
      <c r="CZ609" s="1490"/>
      <c r="DA609" s="1490"/>
      <c r="DB609" s="1491"/>
      <c r="DC609" s="1489">
        <f t="shared" si="13"/>
        <v>0</v>
      </c>
      <c r="DD609" s="1490"/>
      <c r="DE609" s="1490"/>
      <c r="DF609" s="1490"/>
      <c r="DG609" s="1491"/>
      <c r="DH609" s="1489">
        <f t="shared" si="14"/>
        <v>0</v>
      </c>
      <c r="DI609" s="1490"/>
      <c r="DJ609" s="1490"/>
      <c r="DK609" s="1490"/>
      <c r="DL609" s="1491"/>
      <c r="DM609" s="1489">
        <f t="shared" si="15"/>
        <v>0</v>
      </c>
      <c r="DN609" s="1490"/>
      <c r="DO609" s="1490"/>
      <c r="DP609" s="1490"/>
      <c r="DQ609" s="1491"/>
      <c r="DR609" s="1489">
        <f t="shared" si="16"/>
        <v>0</v>
      </c>
      <c r="DS609" s="1490"/>
      <c r="DT609" s="1490"/>
      <c r="DU609" s="1490"/>
      <c r="DV609" s="1491"/>
    </row>
    <row r="610" spans="1:126" ht="12.9" customHeight="1">
      <c r="AZ610" s="41"/>
      <c r="BA610" s="41"/>
      <c r="BB610" s="41"/>
      <c r="BC610" s="41"/>
      <c r="BD610" s="41"/>
      <c r="BE610" s="1241">
        <f t="shared" si="9"/>
        <v>0</v>
      </c>
      <c r="BF610" s="1242"/>
      <c r="BG610" s="1237">
        <f t="shared" si="7"/>
        <v>0</v>
      </c>
      <c r="BH610" s="1240"/>
      <c r="BI610" s="1241">
        <f t="shared" si="10"/>
        <v>0</v>
      </c>
      <c r="BJ610" s="1242"/>
      <c r="BK610" s="1237">
        <f t="shared" si="8"/>
        <v>0</v>
      </c>
      <c r="BL610" s="1240"/>
      <c r="BN610" s="1237">
        <f t="shared" si="1"/>
        <v>0</v>
      </c>
      <c r="BO610" s="1238"/>
      <c r="BP610" s="1238"/>
      <c r="BQ610" s="1238"/>
      <c r="BR610" s="1239"/>
      <c r="BS610" s="1237">
        <f t="shared" si="2"/>
        <v>0</v>
      </c>
      <c r="BT610" s="1238"/>
      <c r="BU610" s="1238"/>
      <c r="BV610" s="1238"/>
      <c r="BW610" s="1240"/>
      <c r="BX610" s="1237">
        <f t="shared" si="3"/>
        <v>0</v>
      </c>
      <c r="BY610" s="1238"/>
      <c r="BZ610" s="1238"/>
      <c r="CA610" s="1238"/>
      <c r="CB610" s="1240"/>
      <c r="CC610" s="1237">
        <f t="shared" si="4"/>
        <v>0</v>
      </c>
      <c r="CD610" s="1238"/>
      <c r="CE610" s="1238"/>
      <c r="CF610" s="1238"/>
      <c r="CG610" s="1240"/>
      <c r="CH610" s="1237">
        <f t="shared" si="5"/>
        <v>0</v>
      </c>
      <c r="CI610" s="1238"/>
      <c r="CJ610" s="1238"/>
      <c r="CK610" s="1238"/>
      <c r="CL610" s="1240"/>
      <c r="CM610" s="1237">
        <f t="shared" si="6"/>
        <v>0</v>
      </c>
      <c r="CN610" s="1238"/>
      <c r="CO610" s="1238"/>
      <c r="CP610" s="1238"/>
      <c r="CQ610" s="1240"/>
      <c r="CS610" s="1489">
        <f t="shared" si="11"/>
        <v>0</v>
      </c>
      <c r="CT610" s="1490"/>
      <c r="CU610" s="1490"/>
      <c r="CV610" s="1490"/>
      <c r="CW610" s="1491"/>
      <c r="CX610" s="1489">
        <f t="shared" si="12"/>
        <v>0</v>
      </c>
      <c r="CY610" s="1490"/>
      <c r="CZ610" s="1490"/>
      <c r="DA610" s="1490"/>
      <c r="DB610" s="1491"/>
      <c r="DC610" s="1489">
        <f t="shared" si="13"/>
        <v>0</v>
      </c>
      <c r="DD610" s="1490"/>
      <c r="DE610" s="1490"/>
      <c r="DF610" s="1490"/>
      <c r="DG610" s="1491"/>
      <c r="DH610" s="1489">
        <f t="shared" si="14"/>
        <v>0</v>
      </c>
      <c r="DI610" s="1490"/>
      <c r="DJ610" s="1490"/>
      <c r="DK610" s="1490"/>
      <c r="DL610" s="1491"/>
      <c r="DM610" s="1489">
        <f t="shared" si="15"/>
        <v>0</v>
      </c>
      <c r="DN610" s="1490"/>
      <c r="DO610" s="1490"/>
      <c r="DP610" s="1490"/>
      <c r="DQ610" s="1491"/>
      <c r="DR610" s="1489">
        <f t="shared" si="16"/>
        <v>0</v>
      </c>
      <c r="DS610" s="1490"/>
      <c r="DT610" s="1490"/>
      <c r="DU610" s="1490"/>
      <c r="DV610" s="1491"/>
    </row>
    <row r="611" spans="1:126" ht="12.9" customHeight="1">
      <c r="A611" s="3" t="s">
        <v>687</v>
      </c>
      <c r="B611" s="3"/>
      <c r="C611" s="3" t="s">
        <v>876</v>
      </c>
      <c r="AZ611" s="41"/>
      <c r="BA611" s="41"/>
      <c r="BB611" s="41"/>
      <c r="BC611" s="41"/>
      <c r="BD611" s="41"/>
      <c r="BE611" s="1241">
        <f t="shared" si="9"/>
        <v>0</v>
      </c>
      <c r="BF611" s="1242"/>
      <c r="BG611" s="1237">
        <f t="shared" si="7"/>
        <v>0</v>
      </c>
      <c r="BH611" s="1240"/>
      <c r="BI611" s="1241">
        <f t="shared" si="10"/>
        <v>0</v>
      </c>
      <c r="BJ611" s="1242"/>
      <c r="BK611" s="1237">
        <f t="shared" si="8"/>
        <v>0</v>
      </c>
      <c r="BL611" s="1240"/>
      <c r="BN611" s="1237">
        <f t="shared" si="1"/>
        <v>0</v>
      </c>
      <c r="BO611" s="1238"/>
      <c r="BP611" s="1238"/>
      <c r="BQ611" s="1238"/>
      <c r="BR611" s="1239"/>
      <c r="BS611" s="1237">
        <f t="shared" si="2"/>
        <v>0</v>
      </c>
      <c r="BT611" s="1238"/>
      <c r="BU611" s="1238"/>
      <c r="BV611" s="1238"/>
      <c r="BW611" s="1240"/>
      <c r="BX611" s="1237">
        <f t="shared" si="3"/>
        <v>0</v>
      </c>
      <c r="BY611" s="1238"/>
      <c r="BZ611" s="1238"/>
      <c r="CA611" s="1238"/>
      <c r="CB611" s="1240"/>
      <c r="CC611" s="1237">
        <f t="shared" si="4"/>
        <v>0</v>
      </c>
      <c r="CD611" s="1238"/>
      <c r="CE611" s="1238"/>
      <c r="CF611" s="1238"/>
      <c r="CG611" s="1240"/>
      <c r="CH611" s="1237">
        <f t="shared" si="5"/>
        <v>0</v>
      </c>
      <c r="CI611" s="1238"/>
      <c r="CJ611" s="1238"/>
      <c r="CK611" s="1238"/>
      <c r="CL611" s="1240"/>
      <c r="CM611" s="1237">
        <f t="shared" si="6"/>
        <v>0</v>
      </c>
      <c r="CN611" s="1238"/>
      <c r="CO611" s="1238"/>
      <c r="CP611" s="1238"/>
      <c r="CQ611" s="1240"/>
      <c r="CS611" s="1489">
        <f t="shared" si="11"/>
        <v>0</v>
      </c>
      <c r="CT611" s="1490"/>
      <c r="CU611" s="1490"/>
      <c r="CV611" s="1490"/>
      <c r="CW611" s="1491"/>
      <c r="CX611" s="1489">
        <f t="shared" si="12"/>
        <v>0</v>
      </c>
      <c r="CY611" s="1490"/>
      <c r="CZ611" s="1490"/>
      <c r="DA611" s="1490"/>
      <c r="DB611" s="1491"/>
      <c r="DC611" s="1489">
        <f t="shared" si="13"/>
        <v>0</v>
      </c>
      <c r="DD611" s="1490"/>
      <c r="DE611" s="1490"/>
      <c r="DF611" s="1490"/>
      <c r="DG611" s="1491"/>
      <c r="DH611" s="1489">
        <f t="shared" si="14"/>
        <v>0</v>
      </c>
      <c r="DI611" s="1490"/>
      <c r="DJ611" s="1490"/>
      <c r="DK611" s="1490"/>
      <c r="DL611" s="1491"/>
      <c r="DM611" s="1489">
        <f t="shared" si="15"/>
        <v>0</v>
      </c>
      <c r="DN611" s="1490"/>
      <c r="DO611" s="1490"/>
      <c r="DP611" s="1490"/>
      <c r="DQ611" s="1491"/>
      <c r="DR611" s="1489">
        <f t="shared" si="16"/>
        <v>0</v>
      </c>
      <c r="DS611" s="1490"/>
      <c r="DT611" s="1490"/>
      <c r="DU611" s="1490"/>
      <c r="DV611" s="1491"/>
    </row>
    <row r="612" spans="1:126" ht="12.9" customHeight="1">
      <c r="A612" s="3"/>
      <c r="B612" s="3"/>
      <c r="C612" s="3"/>
      <c r="AZ612" s="41"/>
      <c r="BA612" s="41"/>
      <c r="BB612" s="41"/>
      <c r="BC612" s="41"/>
      <c r="BD612" s="41"/>
      <c r="BE612" s="1241">
        <f t="shared" si="9"/>
        <v>0</v>
      </c>
      <c r="BF612" s="1242"/>
      <c r="BG612" s="1237">
        <f t="shared" si="7"/>
        <v>0</v>
      </c>
      <c r="BH612" s="1240"/>
      <c r="BI612" s="1241">
        <f t="shared" si="10"/>
        <v>0</v>
      </c>
      <c r="BJ612" s="1242"/>
      <c r="BK612" s="1237">
        <f t="shared" si="8"/>
        <v>0</v>
      </c>
      <c r="BL612" s="1240"/>
      <c r="BN612" s="1237">
        <f t="shared" si="1"/>
        <v>0</v>
      </c>
      <c r="BO612" s="1238"/>
      <c r="BP612" s="1238"/>
      <c r="BQ612" s="1238"/>
      <c r="BR612" s="1239"/>
      <c r="BS612" s="1237">
        <f t="shared" si="2"/>
        <v>0</v>
      </c>
      <c r="BT612" s="1238"/>
      <c r="BU612" s="1238"/>
      <c r="BV612" s="1238"/>
      <c r="BW612" s="1240"/>
      <c r="BX612" s="1237">
        <f t="shared" si="3"/>
        <v>0</v>
      </c>
      <c r="BY612" s="1238"/>
      <c r="BZ612" s="1238"/>
      <c r="CA612" s="1238"/>
      <c r="CB612" s="1240"/>
      <c r="CC612" s="1237">
        <f t="shared" si="4"/>
        <v>0</v>
      </c>
      <c r="CD612" s="1238"/>
      <c r="CE612" s="1238"/>
      <c r="CF612" s="1238"/>
      <c r="CG612" s="1240"/>
      <c r="CH612" s="1237">
        <f t="shared" si="5"/>
        <v>0</v>
      </c>
      <c r="CI612" s="1238"/>
      <c r="CJ612" s="1238"/>
      <c r="CK612" s="1238"/>
      <c r="CL612" s="1240"/>
      <c r="CM612" s="1237">
        <f t="shared" si="6"/>
        <v>0</v>
      </c>
      <c r="CN612" s="1238"/>
      <c r="CO612" s="1238"/>
      <c r="CP612" s="1238"/>
      <c r="CQ612" s="1240"/>
      <c r="CS612" s="1489">
        <f t="shared" si="11"/>
        <v>0</v>
      </c>
      <c r="CT612" s="1490"/>
      <c r="CU612" s="1490"/>
      <c r="CV612" s="1490"/>
      <c r="CW612" s="1491"/>
      <c r="CX612" s="1489">
        <f t="shared" si="12"/>
        <v>0</v>
      </c>
      <c r="CY612" s="1490"/>
      <c r="CZ612" s="1490"/>
      <c r="DA612" s="1490"/>
      <c r="DB612" s="1491"/>
      <c r="DC612" s="1489">
        <f t="shared" si="13"/>
        <v>0</v>
      </c>
      <c r="DD612" s="1490"/>
      <c r="DE612" s="1490"/>
      <c r="DF612" s="1490"/>
      <c r="DG612" s="1491"/>
      <c r="DH612" s="1489">
        <f t="shared" si="14"/>
        <v>0</v>
      </c>
      <c r="DI612" s="1490"/>
      <c r="DJ612" s="1490"/>
      <c r="DK612" s="1490"/>
      <c r="DL612" s="1491"/>
      <c r="DM612" s="1489">
        <f t="shared" si="15"/>
        <v>0</v>
      </c>
      <c r="DN612" s="1490"/>
      <c r="DO612" s="1490"/>
      <c r="DP612" s="1490"/>
      <c r="DQ612" s="1491"/>
      <c r="DR612" s="1489">
        <f t="shared" si="16"/>
        <v>0</v>
      </c>
      <c r="DS612" s="1490"/>
      <c r="DT612" s="1490"/>
      <c r="DU612" s="1490"/>
      <c r="DV612" s="1491"/>
    </row>
    <row r="613" spans="1:126" ht="12.9" customHeight="1">
      <c r="C613" s="3" t="s">
        <v>2242</v>
      </c>
      <c r="AZ613" s="41"/>
      <c r="BA613" s="41"/>
      <c r="BB613" s="41"/>
      <c r="BC613" s="41"/>
      <c r="BD613" s="41"/>
      <c r="BE613" s="1241">
        <f t="shared" si="9"/>
        <v>0</v>
      </c>
      <c r="BF613" s="1242"/>
      <c r="BG613" s="1237">
        <f t="shared" si="7"/>
        <v>0</v>
      </c>
      <c r="BH613" s="1240"/>
      <c r="BI613" s="1241">
        <f t="shared" si="10"/>
        <v>0</v>
      </c>
      <c r="BJ613" s="1242"/>
      <c r="BK613" s="1237">
        <f t="shared" si="8"/>
        <v>0</v>
      </c>
      <c r="BL613" s="1240"/>
      <c r="BN613" s="1241">
        <f>SUM(BN588:BR612)</f>
        <v>0</v>
      </c>
      <c r="BO613" s="1308"/>
      <c r="BP613" s="1308"/>
      <c r="BQ613" s="1308"/>
      <c r="BR613" s="1242"/>
      <c r="BS613" s="1241">
        <f>SUM(BS588:BW612)</f>
        <v>12</v>
      </c>
      <c r="BT613" s="1308"/>
      <c r="BU613" s="1308"/>
      <c r="BV613" s="1308"/>
      <c r="BW613" s="1242"/>
      <c r="BX613" s="1241">
        <f>SUM(BX588:CB612)</f>
        <v>7</v>
      </c>
      <c r="BY613" s="1308"/>
      <c r="BZ613" s="1308"/>
      <c r="CA613" s="1308"/>
      <c r="CB613" s="1242"/>
      <c r="CC613" s="1241">
        <f>SUM(CC588:CG612)</f>
        <v>9</v>
      </c>
      <c r="CD613" s="1308"/>
      <c r="CE613" s="1308"/>
      <c r="CF613" s="1308"/>
      <c r="CG613" s="1242"/>
      <c r="CH613" s="1241">
        <f>SUM(CH588:CL612)</f>
        <v>0</v>
      </c>
      <c r="CI613" s="1308"/>
      <c r="CJ613" s="1308"/>
      <c r="CK613" s="1308"/>
      <c r="CL613" s="1242"/>
      <c r="CM613" s="1241">
        <f>SUM(CM588:CQ612)</f>
        <v>0</v>
      </c>
      <c r="CN613" s="1308"/>
      <c r="CO613" s="1308"/>
      <c r="CP613" s="1308"/>
      <c r="CQ613" s="1242"/>
      <c r="CS613" s="1489">
        <f t="shared" si="11"/>
        <v>0</v>
      </c>
      <c r="CT613" s="1490"/>
      <c r="CU613" s="1490"/>
      <c r="CV613" s="1490"/>
      <c r="CW613" s="1491"/>
      <c r="CX613" s="1489">
        <f t="shared" si="12"/>
        <v>0</v>
      </c>
      <c r="CY613" s="1490"/>
      <c r="CZ613" s="1490"/>
      <c r="DA613" s="1490"/>
      <c r="DB613" s="1491"/>
      <c r="DC613" s="1489">
        <f t="shared" si="13"/>
        <v>0</v>
      </c>
      <c r="DD613" s="1490"/>
      <c r="DE613" s="1490"/>
      <c r="DF613" s="1490"/>
      <c r="DG613" s="1491"/>
      <c r="DH613" s="1489">
        <f t="shared" si="14"/>
        <v>0</v>
      </c>
      <c r="DI613" s="1490"/>
      <c r="DJ613" s="1490"/>
      <c r="DK613" s="1490"/>
      <c r="DL613" s="1491"/>
      <c r="DM613" s="1489">
        <f t="shared" si="15"/>
        <v>0</v>
      </c>
      <c r="DN613" s="1490"/>
      <c r="DO613" s="1490"/>
      <c r="DP613" s="1490"/>
      <c r="DQ613" s="1491"/>
      <c r="DR613" s="1489">
        <f t="shared" si="16"/>
        <v>0</v>
      </c>
      <c r="DS613" s="1490"/>
      <c r="DT613" s="1490"/>
      <c r="DU613" s="1490"/>
      <c r="DV613" s="1491"/>
    </row>
    <row r="614" spans="1:126" ht="12.9" customHeight="1" thickBot="1">
      <c r="B614" s="846"/>
      <c r="C614" s="3"/>
      <c r="AZ614" s="41"/>
      <c r="BA614" s="41"/>
      <c r="BB614" s="41"/>
      <c r="BC614" s="41"/>
      <c r="BD614" s="41"/>
      <c r="BE614" s="41"/>
      <c r="BF614" s="41"/>
      <c r="BG614" s="1241">
        <f>SUM(BG589:BH613)</f>
        <v>17</v>
      </c>
      <c r="BH614" s="1242"/>
      <c r="BI614" s="41"/>
      <c r="BJ614" s="41"/>
      <c r="BK614" s="1241">
        <f>SUM(BK589:BL613)</f>
        <v>3</v>
      </c>
      <c r="BL614" s="1242"/>
      <c r="BN614" s="41" t="s">
        <v>1794</v>
      </c>
      <c r="BO614" s="41"/>
      <c r="BP614" s="41"/>
      <c r="BQ614" s="41"/>
      <c r="BR614" s="472">
        <f>BN613*1</f>
        <v>0</v>
      </c>
      <c r="BS614" s="41"/>
      <c r="BT614" s="41"/>
      <c r="BU614" s="41"/>
      <c r="BV614" s="41"/>
      <c r="BW614" s="472">
        <f>BS613*1</f>
        <v>12</v>
      </c>
      <c r="BX614" s="41"/>
      <c r="BY614" s="41"/>
      <c r="BZ614" s="41"/>
      <c r="CA614" s="41"/>
      <c r="CB614" s="472">
        <f>BX613*2</f>
        <v>14</v>
      </c>
      <c r="CC614" s="41"/>
      <c r="CD614" s="41"/>
      <c r="CE614" s="41"/>
      <c r="CF614" s="41"/>
      <c r="CG614" s="472">
        <f>CC613*3</f>
        <v>27</v>
      </c>
      <c r="CH614" s="41"/>
      <c r="CI614" s="41"/>
      <c r="CJ614" s="41"/>
      <c r="CK614" s="41"/>
      <c r="CL614" s="472">
        <f>CH613*4</f>
        <v>0</v>
      </c>
      <c r="CM614" s="41"/>
      <c r="CN614" s="41"/>
      <c r="CO614" s="41"/>
      <c r="CP614" s="41"/>
      <c r="CQ614" s="471">
        <f>CM613*5</f>
        <v>0</v>
      </c>
      <c r="CS614" s="1241">
        <f>SUM(CS589:CW613)</f>
        <v>0</v>
      </c>
      <c r="CT614" s="1308"/>
      <c r="CU614" s="1308"/>
      <c r="CV614" s="1308"/>
      <c r="CW614" s="1242"/>
      <c r="CX614" s="1241">
        <f>SUM(CX589:DB613)</f>
        <v>1</v>
      </c>
      <c r="CY614" s="1308"/>
      <c r="CZ614" s="1308"/>
      <c r="DA614" s="1308"/>
      <c r="DB614" s="1242"/>
      <c r="DC614" s="1241">
        <f>SUM(DC589:DG613)</f>
        <v>1</v>
      </c>
      <c r="DD614" s="1308"/>
      <c r="DE614" s="1308"/>
      <c r="DF614" s="1308"/>
      <c r="DG614" s="1242"/>
      <c r="DH614" s="1241">
        <f>SUM(DH589:DL613)</f>
        <v>1</v>
      </c>
      <c r="DI614" s="1308"/>
      <c r="DJ614" s="1308"/>
      <c r="DK614" s="1308"/>
      <c r="DL614" s="1242"/>
      <c r="DM614" s="1241">
        <f>SUM(DM589:DQ613)</f>
        <v>0</v>
      </c>
      <c r="DN614" s="1308"/>
      <c r="DO614" s="1308"/>
      <c r="DP614" s="1308"/>
      <c r="DQ614" s="1242"/>
      <c r="DR614" s="1241">
        <f>SUM(DR589:DV613)</f>
        <v>0</v>
      </c>
      <c r="DS614" s="1308"/>
      <c r="DT614" s="1308"/>
      <c r="DU614" s="1308"/>
      <c r="DV614" s="1242"/>
    </row>
    <row r="615" spans="1:126" ht="12.9" customHeight="1" thickBot="1">
      <c r="B615" s="1093" t="s">
        <v>2311</v>
      </c>
      <c r="C615" s="1094"/>
      <c r="D615" s="1094"/>
      <c r="E615" s="1094"/>
      <c r="F615" s="1094"/>
      <c r="G615" s="1094"/>
      <c r="H615" s="1094"/>
      <c r="I615" s="1094"/>
      <c r="J615" s="1094"/>
      <c r="K615" s="1094"/>
      <c r="L615" s="1094"/>
      <c r="M615" s="1119" t="s">
        <v>2285</v>
      </c>
      <c r="N615" s="1119"/>
      <c r="O615" s="1119"/>
      <c r="P615" s="1119"/>
      <c r="Q615" s="1070" t="s">
        <v>2315</v>
      </c>
      <c r="R615" s="1071"/>
      <c r="S615" s="1072"/>
      <c r="T615" s="1070" t="s">
        <v>2314</v>
      </c>
      <c r="U615" s="1071"/>
      <c r="V615" s="1072"/>
      <c r="W615" s="1100" t="s">
        <v>774</v>
      </c>
      <c r="X615" s="1100"/>
      <c r="Y615" s="1101"/>
      <c r="Z615" s="1119" t="s">
        <v>2312</v>
      </c>
      <c r="AA615" s="1119"/>
      <c r="AB615" s="1119"/>
      <c r="AC615" s="1061" t="s">
        <v>2084</v>
      </c>
      <c r="AD615" s="1062"/>
      <c r="AE615" s="1063"/>
      <c r="AF615" s="1070" t="s">
        <v>2243</v>
      </c>
      <c r="AG615" s="1071"/>
      <c r="AH615" s="1071"/>
      <c r="AI615" s="1071"/>
      <c r="AJ615" s="1072"/>
      <c r="AK615" s="1120" t="s">
        <v>2244</v>
      </c>
      <c r="AL615" s="1121"/>
      <c r="AM615" s="1121"/>
      <c r="AN615" s="1122"/>
      <c r="AO615" s="1119" t="s">
        <v>775</v>
      </c>
      <c r="AP615" s="1119"/>
      <c r="AQ615" s="1119"/>
      <c r="AR615" s="1119"/>
      <c r="AS615" s="1119"/>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53</v>
      </c>
      <c r="CR615" s="41"/>
      <c r="CS615" s="41"/>
    </row>
    <row r="616" spans="1:126" ht="12.9" customHeight="1">
      <c r="B616" s="1095"/>
      <c r="C616" s="1096"/>
      <c r="D616" s="1096"/>
      <c r="E616" s="1096"/>
      <c r="F616" s="1096"/>
      <c r="G616" s="1096"/>
      <c r="H616" s="1096"/>
      <c r="I616" s="1096"/>
      <c r="J616" s="1096"/>
      <c r="K616" s="1096"/>
      <c r="L616" s="1096"/>
      <c r="M616" s="1119"/>
      <c r="N616" s="1119"/>
      <c r="O616" s="1119"/>
      <c r="P616" s="1119"/>
      <c r="Q616" s="1073"/>
      <c r="R616" s="1074"/>
      <c r="S616" s="1075"/>
      <c r="T616" s="1073"/>
      <c r="U616" s="1074"/>
      <c r="V616" s="1075"/>
      <c r="W616" s="1102"/>
      <c r="X616" s="1102"/>
      <c r="Y616" s="1103"/>
      <c r="Z616" s="1119"/>
      <c r="AA616" s="1119"/>
      <c r="AB616" s="1119"/>
      <c r="AC616" s="1064"/>
      <c r="AD616" s="1065"/>
      <c r="AE616" s="1066"/>
      <c r="AF616" s="1073"/>
      <c r="AG616" s="1074"/>
      <c r="AH616" s="1074"/>
      <c r="AI616" s="1074"/>
      <c r="AJ616" s="1075"/>
      <c r="AK616" s="1123"/>
      <c r="AL616" s="1124"/>
      <c r="AM616" s="1124"/>
      <c r="AN616" s="1125"/>
      <c r="AO616" s="1119"/>
      <c r="AP616" s="1119"/>
      <c r="AQ616" s="1119"/>
      <c r="AR616" s="1119"/>
      <c r="AS616" s="1119"/>
      <c r="AT616" s="41"/>
      <c r="AU616" s="41"/>
      <c r="AV616" s="41"/>
      <c r="AW616" s="41"/>
      <c r="AX616" s="41"/>
      <c r="AY616" s="41"/>
      <c r="AZ616" s="41"/>
      <c r="BN616" s="1237">
        <f>IF(J738="SRO/Studio",O738,0)</f>
        <v>0</v>
      </c>
      <c r="BO616" s="1238"/>
      <c r="BP616" s="1238"/>
      <c r="BQ616" s="1238"/>
      <c r="BR616" s="1240"/>
      <c r="BS616" s="1237">
        <f>IF(J738="1 Bedroom",O738,0)</f>
        <v>0</v>
      </c>
      <c r="BT616" s="1238"/>
      <c r="BU616" s="1238"/>
      <c r="BV616" s="1238"/>
      <c r="BW616" s="1240"/>
      <c r="BX616" s="1237">
        <f>IF(J738="2 Bedrooms",O738,0)</f>
        <v>1</v>
      </c>
      <c r="BY616" s="1238"/>
      <c r="BZ616" s="1238"/>
      <c r="CA616" s="1238"/>
      <c r="CB616" s="1240"/>
      <c r="CC616" s="1237">
        <f>IF(J738="3 Bedrooms",O738,0)</f>
        <v>0</v>
      </c>
      <c r="CD616" s="1238"/>
      <c r="CE616" s="1238"/>
      <c r="CF616" s="1238"/>
      <c r="CG616" s="1240"/>
      <c r="CH616" s="1237">
        <f>IF(J738="4 Bedrooms",O738,0)</f>
        <v>0</v>
      </c>
      <c r="CI616" s="1238"/>
      <c r="CJ616" s="1238"/>
      <c r="CK616" s="1238"/>
      <c r="CL616" s="1240"/>
      <c r="CM616" s="1492">
        <f>IF(J738="5 Bedrooms",O738,0)</f>
        <v>0</v>
      </c>
      <c r="CN616" s="1493"/>
      <c r="CO616" s="1493"/>
      <c r="CP616" s="1493"/>
      <c r="CQ616" s="1239"/>
      <c r="CR616" s="41"/>
      <c r="CS616" s="41"/>
    </row>
    <row r="617" spans="1:126" ht="12.9" customHeight="1">
      <c r="B617" s="1097"/>
      <c r="C617" s="1098"/>
      <c r="D617" s="1098"/>
      <c r="E617" s="1098"/>
      <c r="F617" s="1098"/>
      <c r="G617" s="1098"/>
      <c r="H617" s="1098"/>
      <c r="I617" s="1098"/>
      <c r="J617" s="1098"/>
      <c r="K617" s="1098"/>
      <c r="L617" s="1098"/>
      <c r="M617" s="1119"/>
      <c r="N617" s="1119"/>
      <c r="O617" s="1119"/>
      <c r="P617" s="1119"/>
      <c r="Q617" s="1076"/>
      <c r="R617" s="1077"/>
      <c r="S617" s="1078"/>
      <c r="T617" s="1076"/>
      <c r="U617" s="1077"/>
      <c r="V617" s="1078"/>
      <c r="W617" s="1104"/>
      <c r="X617" s="1104"/>
      <c r="Y617" s="1105"/>
      <c r="Z617" s="1119"/>
      <c r="AA617" s="1119"/>
      <c r="AB617" s="1119"/>
      <c r="AC617" s="1067"/>
      <c r="AD617" s="1068"/>
      <c r="AE617" s="1069"/>
      <c r="AF617" s="1076"/>
      <c r="AG617" s="1077"/>
      <c r="AH617" s="1077"/>
      <c r="AI617" s="1077"/>
      <c r="AJ617" s="1078"/>
      <c r="AK617" s="1126"/>
      <c r="AL617" s="1127"/>
      <c r="AM617" s="1127"/>
      <c r="AN617" s="1128"/>
      <c r="AO617" s="1119"/>
      <c r="AP617" s="1119"/>
      <c r="AQ617" s="1119"/>
      <c r="AR617" s="1119"/>
      <c r="AS617" s="1119"/>
      <c r="AT617" s="43"/>
      <c r="AU617" s="43"/>
      <c r="AV617" s="43"/>
      <c r="AW617" s="43"/>
      <c r="AX617" s="43"/>
      <c r="AY617" s="43"/>
      <c r="AZ617" s="43"/>
      <c r="BN617" s="1237">
        <f>IF(J739="SRO/Studio",O739,0)</f>
        <v>0</v>
      </c>
      <c r="BO617" s="1238"/>
      <c r="BP617" s="1238"/>
      <c r="BQ617" s="1238"/>
      <c r="BR617" s="1240"/>
      <c r="BS617" s="1237">
        <f>IF(J739="1 Bedroom",O739,0)</f>
        <v>0</v>
      </c>
      <c r="BT617" s="1238"/>
      <c r="BU617" s="1238"/>
      <c r="BV617" s="1238"/>
      <c r="BW617" s="1240"/>
      <c r="BX617" s="1237">
        <f>IF(J739="2 Bedrooms",O739,0)</f>
        <v>0</v>
      </c>
      <c r="BY617" s="1238"/>
      <c r="BZ617" s="1238"/>
      <c r="CA617" s="1238"/>
      <c r="CB617" s="1240"/>
      <c r="CC617" s="1237">
        <f>IF(J739="3 Bedrooms",O739,0)</f>
        <v>0</v>
      </c>
      <c r="CD617" s="1238"/>
      <c r="CE617" s="1238"/>
      <c r="CF617" s="1238"/>
      <c r="CG617" s="1240"/>
      <c r="CH617" s="1237">
        <f>IF(J739="4 Bedrooms",O739,0)</f>
        <v>0</v>
      </c>
      <c r="CI617" s="1238"/>
      <c r="CJ617" s="1238"/>
      <c r="CK617" s="1238"/>
      <c r="CL617" s="1240"/>
      <c r="CM617" s="1492">
        <f>IF(J739="5 Bedrooms",O739,0)</f>
        <v>0</v>
      </c>
      <c r="CN617" s="1493"/>
      <c r="CO617" s="1493"/>
      <c r="CP617" s="1493"/>
      <c r="CQ617" s="1239"/>
      <c r="CR617" s="41"/>
      <c r="CS617" s="41"/>
    </row>
    <row r="618" spans="1:126" ht="12.9" customHeight="1">
      <c r="B618" s="57" t="s">
        <v>942</v>
      </c>
      <c r="C618" s="1083" t="s">
        <v>2448</v>
      </c>
      <c r="D618" s="1083"/>
      <c r="E618" s="1083"/>
      <c r="F618" s="1083"/>
      <c r="G618" s="1083"/>
      <c r="H618" s="1083"/>
      <c r="I618" s="1083"/>
      <c r="J618" s="1083"/>
      <c r="K618" s="1083"/>
      <c r="L618" s="1083"/>
      <c r="M618" s="1106" t="s">
        <v>2295</v>
      </c>
      <c r="N618" s="1106"/>
      <c r="O618" s="1106"/>
      <c r="P618" s="1106"/>
      <c r="Q618" s="1055">
        <v>204</v>
      </c>
      <c r="R618" s="1056"/>
      <c r="S618" s="1057"/>
      <c r="T618" s="1052">
        <v>42</v>
      </c>
      <c r="U618" s="1053"/>
      <c r="V618" s="1054"/>
      <c r="W618" s="1079">
        <v>0.06</v>
      </c>
      <c r="X618" s="1080"/>
      <c r="Y618" s="1081"/>
      <c r="Z618" s="1374" t="s">
        <v>2313</v>
      </c>
      <c r="AA618" s="1375"/>
      <c r="AB618" s="1376"/>
      <c r="AC618" s="1049">
        <v>1</v>
      </c>
      <c r="AD618" s="1050"/>
      <c r="AE618" s="1051"/>
      <c r="AF618" s="1058">
        <v>120299</v>
      </c>
      <c r="AG618" s="1059"/>
      <c r="AH618" s="1059"/>
      <c r="AI618" s="1059"/>
      <c r="AJ618" s="1060"/>
      <c r="AK618" s="1115"/>
      <c r="AL618" s="1116"/>
      <c r="AM618" s="1116"/>
      <c r="AN618" s="1117"/>
      <c r="AO618" s="1191">
        <v>1758167</v>
      </c>
      <c r="AP618" s="1191"/>
      <c r="AQ618" s="1191"/>
      <c r="AR618" s="1191"/>
      <c r="AS618" s="1191"/>
      <c r="AT618" s="953" t="str">
        <f t="shared" ref="AT618:AT629" si="17">IF(AND(NOT(C617=""),C618="",NOT(C619="")),"!","")</f>
        <v/>
      </c>
      <c r="AU618" s="43"/>
      <c r="AV618" s="43"/>
      <c r="AW618" s="43"/>
      <c r="AX618" s="43"/>
      <c r="AY618" s="43"/>
      <c r="BA618" s="41" t="s">
        <v>2071</v>
      </c>
      <c r="BC618" s="43"/>
      <c r="BD618" s="43"/>
      <c r="BN618" s="1237">
        <f>IF(J740="SRO/Studio",O740,0)</f>
        <v>0</v>
      </c>
      <c r="BO618" s="1238"/>
      <c r="BP618" s="1238"/>
      <c r="BQ618" s="1238"/>
      <c r="BR618" s="1240"/>
      <c r="BS618" s="1237">
        <f>IF(J740="1 Bedroom",O740,0)</f>
        <v>0</v>
      </c>
      <c r="BT618" s="1238"/>
      <c r="BU618" s="1238"/>
      <c r="BV618" s="1238"/>
      <c r="BW618" s="1240"/>
      <c r="BX618" s="1237">
        <f>IF(J740="2 Bedrooms",O740,0)</f>
        <v>0</v>
      </c>
      <c r="BY618" s="1238"/>
      <c r="BZ618" s="1238"/>
      <c r="CA618" s="1238"/>
      <c r="CB618" s="1240"/>
      <c r="CC618" s="1237">
        <f>IF(J740="3 Bedrooms",O740,0)</f>
        <v>0</v>
      </c>
      <c r="CD618" s="1238"/>
      <c r="CE618" s="1238"/>
      <c r="CF618" s="1238"/>
      <c r="CG618" s="1240"/>
      <c r="CH618" s="1237">
        <f>IF(J740="4 Bedrooms",O740,0)</f>
        <v>0</v>
      </c>
      <c r="CI618" s="1238"/>
      <c r="CJ618" s="1238"/>
      <c r="CK618" s="1238"/>
      <c r="CL618" s="1240"/>
      <c r="CM618" s="1492">
        <f>IF(J740="5 Bedrooms",O740,0)</f>
        <v>0</v>
      </c>
      <c r="CN618" s="1493"/>
      <c r="CO618" s="1493"/>
      <c r="CP618" s="1493"/>
      <c r="CQ618" s="1239"/>
      <c r="CR618" s="41"/>
      <c r="CS618" s="41"/>
    </row>
    <row r="619" spans="1:126" ht="12.9" customHeight="1">
      <c r="B619" s="58" t="s">
        <v>943</v>
      </c>
      <c r="C619" s="1083" t="s">
        <v>2363</v>
      </c>
      <c r="D619" s="1083"/>
      <c r="E619" s="1083"/>
      <c r="F619" s="1083"/>
      <c r="G619" s="1083"/>
      <c r="H619" s="1083"/>
      <c r="I619" s="1083"/>
      <c r="J619" s="1083"/>
      <c r="K619" s="1083"/>
      <c r="L619" s="1083"/>
      <c r="M619" s="1106" t="s">
        <v>2288</v>
      </c>
      <c r="N619" s="1106"/>
      <c r="O619" s="1106"/>
      <c r="P619" s="1106"/>
      <c r="Q619" s="1055"/>
      <c r="R619" s="1056"/>
      <c r="S619" s="1057"/>
      <c r="T619" s="1052"/>
      <c r="U619" s="1053"/>
      <c r="V619" s="1054"/>
      <c r="W619" s="1079"/>
      <c r="X619" s="1080"/>
      <c r="Y619" s="1081"/>
      <c r="Z619" s="1374" t="s">
        <v>2071</v>
      </c>
      <c r="AA619" s="1375"/>
      <c r="AB619" s="1376"/>
      <c r="AC619" s="1049"/>
      <c r="AD619" s="1050"/>
      <c r="AE619" s="1051"/>
      <c r="AF619" s="1058"/>
      <c r="AG619" s="1059"/>
      <c r="AH619" s="1059"/>
      <c r="AI619" s="1059"/>
      <c r="AJ619" s="1060"/>
      <c r="AK619" s="1115"/>
      <c r="AL619" s="1116"/>
      <c r="AM619" s="1116"/>
      <c r="AN619" s="1117"/>
      <c r="AO619" s="1191">
        <v>471064</v>
      </c>
      <c r="AP619" s="1191"/>
      <c r="AQ619" s="1191"/>
      <c r="AR619" s="1191"/>
      <c r="AS619" s="1191"/>
      <c r="AT619" s="953" t="str">
        <f t="shared" si="17"/>
        <v/>
      </c>
      <c r="AU619" s="43"/>
      <c r="AV619" s="43"/>
      <c r="AW619" s="43"/>
      <c r="AX619" s="43"/>
      <c r="AY619" s="43"/>
      <c r="BA619" s="41" t="s">
        <v>825</v>
      </c>
      <c r="BC619" s="43"/>
      <c r="BD619" s="43"/>
      <c r="BN619" s="1237">
        <f>IF(J741="SRO/Studio",O741,0)</f>
        <v>0</v>
      </c>
      <c r="BO619" s="1238"/>
      <c r="BP619" s="1238"/>
      <c r="BQ619" s="1238"/>
      <c r="BR619" s="1240"/>
      <c r="BS619" s="1237">
        <f>IF(J741="1 Bedroom",O741,0)</f>
        <v>0</v>
      </c>
      <c r="BT619" s="1238"/>
      <c r="BU619" s="1238"/>
      <c r="BV619" s="1238"/>
      <c r="BW619" s="1240"/>
      <c r="BX619" s="1237">
        <f>IF(J741="2 Bedrooms",O741,0)</f>
        <v>0</v>
      </c>
      <c r="BY619" s="1238"/>
      <c r="BZ619" s="1238"/>
      <c r="CA619" s="1238"/>
      <c r="CB619" s="1240"/>
      <c r="CC619" s="1237">
        <f>IF(J741="3 Bedrooms",O741,0)</f>
        <v>0</v>
      </c>
      <c r="CD619" s="1238"/>
      <c r="CE619" s="1238"/>
      <c r="CF619" s="1238"/>
      <c r="CG619" s="1240"/>
      <c r="CH619" s="1237">
        <f>IF(J741="4 Bedrooms",O741,0)</f>
        <v>0</v>
      </c>
      <c r="CI619" s="1238"/>
      <c r="CJ619" s="1238"/>
      <c r="CK619" s="1238"/>
      <c r="CL619" s="1240"/>
      <c r="CM619" s="1492">
        <f>IF(J741="5 Bedrooms",O741,0)</f>
        <v>0</v>
      </c>
      <c r="CN619" s="1493"/>
      <c r="CO619" s="1493"/>
      <c r="CP619" s="1493"/>
      <c r="CQ619" s="1239"/>
      <c r="CR619" s="41"/>
      <c r="CS619" s="41"/>
    </row>
    <row r="620" spans="1:126" ht="12.9" customHeight="1">
      <c r="B620" s="58" t="s">
        <v>949</v>
      </c>
      <c r="C620" s="1083"/>
      <c r="D620" s="1083"/>
      <c r="E620" s="1083"/>
      <c r="F620" s="1083"/>
      <c r="G620" s="1083"/>
      <c r="H620" s="1083"/>
      <c r="I620" s="1083"/>
      <c r="J620" s="1083"/>
      <c r="K620" s="1083"/>
      <c r="L620" s="1083"/>
      <c r="M620" s="1106" t="s">
        <v>2071</v>
      </c>
      <c r="N620" s="1106"/>
      <c r="O620" s="1106"/>
      <c r="P620" s="1106"/>
      <c r="Q620" s="1055"/>
      <c r="R620" s="1056"/>
      <c r="S620" s="1057"/>
      <c r="T620" s="1052"/>
      <c r="U620" s="1053"/>
      <c r="V620" s="1054"/>
      <c r="W620" s="1079"/>
      <c r="X620" s="1080"/>
      <c r="Y620" s="1081"/>
      <c r="Z620" s="1374" t="s">
        <v>2071</v>
      </c>
      <c r="AA620" s="1375"/>
      <c r="AB620" s="1376"/>
      <c r="AC620" s="1049"/>
      <c r="AD620" s="1050"/>
      <c r="AE620" s="1051"/>
      <c r="AF620" s="1058"/>
      <c r="AG620" s="1059"/>
      <c r="AH620" s="1059"/>
      <c r="AI620" s="1059"/>
      <c r="AJ620" s="1060"/>
      <c r="AK620" s="1115"/>
      <c r="AL620" s="1116"/>
      <c r="AM620" s="1116"/>
      <c r="AN620" s="1117"/>
      <c r="AO620" s="1191"/>
      <c r="AP620" s="1191"/>
      <c r="AQ620" s="1191"/>
      <c r="AR620" s="1191"/>
      <c r="AS620" s="1191"/>
      <c r="AT620" s="953" t="str">
        <f t="shared" si="17"/>
        <v/>
      </c>
      <c r="AU620" s="43"/>
      <c r="AV620" s="43"/>
      <c r="AW620" s="43"/>
      <c r="AX620" s="43"/>
      <c r="AY620" s="43"/>
      <c r="AZ620" s="43"/>
      <c r="BA620" s="41" t="s">
        <v>824</v>
      </c>
      <c r="BB620" s="43"/>
      <c r="BC620" s="43"/>
      <c r="BD620" s="43"/>
      <c r="BN620" s="1494">
        <f>SUM(BN616:BR619)</f>
        <v>0</v>
      </c>
      <c r="BO620" s="1495"/>
      <c r="BP620" s="1495"/>
      <c r="BQ620" s="1495"/>
      <c r="BR620" s="1496"/>
      <c r="BS620" s="1494">
        <f>SUM(BS616:BW619)</f>
        <v>0</v>
      </c>
      <c r="BT620" s="1495"/>
      <c r="BU620" s="1495"/>
      <c r="BV620" s="1495"/>
      <c r="BW620" s="1496"/>
      <c r="BX620" s="1494">
        <f>SUM(BX616:CB619)</f>
        <v>1</v>
      </c>
      <c r="BY620" s="1495"/>
      <c r="BZ620" s="1495"/>
      <c r="CA620" s="1495"/>
      <c r="CB620" s="1496"/>
      <c r="CC620" s="1494">
        <f>SUM(CC616:CG619)</f>
        <v>0</v>
      </c>
      <c r="CD620" s="1495"/>
      <c r="CE620" s="1495"/>
      <c r="CF620" s="1495"/>
      <c r="CG620" s="1496"/>
      <c r="CH620" s="1494">
        <f>SUM(CH616:CL619)</f>
        <v>0</v>
      </c>
      <c r="CI620" s="1495"/>
      <c r="CJ620" s="1495"/>
      <c r="CK620" s="1495"/>
      <c r="CL620" s="1496"/>
      <c r="CM620" s="1494">
        <f>SUM(CM616:CQ619)</f>
        <v>0</v>
      </c>
      <c r="CN620" s="1495"/>
      <c r="CO620" s="1495"/>
      <c r="CP620" s="1495"/>
      <c r="CQ620" s="1496"/>
      <c r="CS620" s="472">
        <f>BN620+BS620+BX620+CC620+CH620+CM620</f>
        <v>1</v>
      </c>
      <c r="CT620" s="63" t="s">
        <v>2075</v>
      </c>
      <c r="CU620" s="41"/>
    </row>
    <row r="621" spans="1:126" ht="12.9" customHeight="1">
      <c r="B621" s="58" t="s">
        <v>458</v>
      </c>
      <c r="C621" s="1083"/>
      <c r="D621" s="1083"/>
      <c r="E621" s="1083"/>
      <c r="F621" s="1083"/>
      <c r="G621" s="1083"/>
      <c r="H621" s="1083"/>
      <c r="I621" s="1083"/>
      <c r="J621" s="1083"/>
      <c r="K621" s="1083"/>
      <c r="L621" s="1083"/>
      <c r="M621" s="1106" t="s">
        <v>2071</v>
      </c>
      <c r="N621" s="1106"/>
      <c r="O621" s="1106"/>
      <c r="P621" s="1106"/>
      <c r="Q621" s="1055"/>
      <c r="R621" s="1056"/>
      <c r="S621" s="1057"/>
      <c r="T621" s="1052"/>
      <c r="U621" s="1053"/>
      <c r="V621" s="1054"/>
      <c r="W621" s="1079"/>
      <c r="X621" s="1080"/>
      <c r="Y621" s="1081"/>
      <c r="Z621" s="1374" t="s">
        <v>2071</v>
      </c>
      <c r="AA621" s="1375"/>
      <c r="AB621" s="1376"/>
      <c r="AC621" s="1049"/>
      <c r="AD621" s="1050"/>
      <c r="AE621" s="1051"/>
      <c r="AF621" s="1058"/>
      <c r="AG621" s="1059"/>
      <c r="AH621" s="1059"/>
      <c r="AI621" s="1059"/>
      <c r="AJ621" s="1060"/>
      <c r="AK621" s="1115"/>
      <c r="AL621" s="1116"/>
      <c r="AM621" s="1116"/>
      <c r="AN621" s="1117"/>
      <c r="AO621" s="1191"/>
      <c r="AP621" s="1191"/>
      <c r="AQ621" s="1191"/>
      <c r="AR621" s="1191"/>
      <c r="AS621" s="1191"/>
      <c r="AT621" s="953" t="str">
        <f t="shared" si="17"/>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 customHeight="1">
      <c r="B622" s="58" t="s">
        <v>181</v>
      </c>
      <c r="C622" s="1083"/>
      <c r="D622" s="1083"/>
      <c r="E622" s="1083"/>
      <c r="F622" s="1083"/>
      <c r="G622" s="1083"/>
      <c r="H622" s="1083"/>
      <c r="I622" s="1083"/>
      <c r="J622" s="1083"/>
      <c r="K622" s="1083"/>
      <c r="L622" s="1083"/>
      <c r="M622" s="1106" t="s">
        <v>2071</v>
      </c>
      <c r="N622" s="1106"/>
      <c r="O622" s="1106"/>
      <c r="P622" s="1106"/>
      <c r="Q622" s="1055"/>
      <c r="R622" s="1056"/>
      <c r="S622" s="1057"/>
      <c r="T622" s="1052"/>
      <c r="U622" s="1053"/>
      <c r="V622" s="1054"/>
      <c r="W622" s="1079"/>
      <c r="X622" s="1080"/>
      <c r="Y622" s="1081"/>
      <c r="Z622" s="1374" t="s">
        <v>2071</v>
      </c>
      <c r="AA622" s="1375"/>
      <c r="AB622" s="1376"/>
      <c r="AC622" s="1049"/>
      <c r="AD622" s="1050"/>
      <c r="AE622" s="1051"/>
      <c r="AF622" s="1058"/>
      <c r="AG622" s="1059"/>
      <c r="AH622" s="1059"/>
      <c r="AI622" s="1059"/>
      <c r="AJ622" s="1060"/>
      <c r="AK622" s="1115"/>
      <c r="AL622" s="1116"/>
      <c r="AM622" s="1116"/>
      <c r="AN622" s="1117"/>
      <c r="AO622" s="1191"/>
      <c r="AP622" s="1191"/>
      <c r="AQ622" s="1191"/>
      <c r="AR622" s="1191"/>
      <c r="AS622" s="1191"/>
      <c r="AT622" s="953" t="str">
        <f t="shared" si="17"/>
        <v/>
      </c>
      <c r="AU622" s="43"/>
      <c r="AV622" s="43"/>
      <c r="AW622" s="43"/>
      <c r="AX622" s="43"/>
      <c r="AY622" s="43"/>
      <c r="AZ622" s="43"/>
      <c r="BA622" s="41" t="s">
        <v>526</v>
      </c>
      <c r="BN622" s="1237">
        <f t="shared" ref="BN622:BN631" si="18">IF(J752="SRO/Studio",O752,0)</f>
        <v>0</v>
      </c>
      <c r="BO622" s="1238"/>
      <c r="BP622" s="1238"/>
      <c r="BQ622" s="1238"/>
      <c r="BR622" s="1240"/>
      <c r="BS622" s="1237">
        <f t="shared" ref="BS622:BS631" si="19">IF(J752="1 Bedroom",O752,0)</f>
        <v>0</v>
      </c>
      <c r="BT622" s="1238"/>
      <c r="BU622" s="1238"/>
      <c r="BV622" s="1238"/>
      <c r="BW622" s="1240"/>
      <c r="BX622" s="1237">
        <f t="shared" ref="BX622:BX631" si="20">IF(J752="2 Bedrooms",O752,0)</f>
        <v>0</v>
      </c>
      <c r="BY622" s="1238"/>
      <c r="BZ622" s="1238"/>
      <c r="CA622" s="1238"/>
      <c r="CB622" s="1240"/>
      <c r="CC622" s="1237">
        <f t="shared" ref="CC622:CC631" si="21">IF(J752="3 Bedrooms",O752,0)</f>
        <v>0</v>
      </c>
      <c r="CD622" s="1238"/>
      <c r="CE622" s="1238"/>
      <c r="CF622" s="1238"/>
      <c r="CG622" s="1240"/>
      <c r="CH622" s="1237">
        <f t="shared" ref="CH622:CH631" si="22">IF(J752="4 Bedrooms",O752,0)</f>
        <v>0</v>
      </c>
      <c r="CI622" s="1238"/>
      <c r="CJ622" s="1238"/>
      <c r="CK622" s="1238"/>
      <c r="CL622" s="1240"/>
      <c r="CM622" s="1237">
        <f t="shared" ref="CM622:CM631" si="23">IF(J752="5 Bedrooms",O752,0)</f>
        <v>0</v>
      </c>
      <c r="CN622" s="1238"/>
      <c r="CO622" s="1238"/>
      <c r="CP622" s="1238"/>
      <c r="CQ622" s="1240"/>
      <c r="CR622" s="41"/>
      <c r="CS622" s="41"/>
    </row>
    <row r="623" spans="1:126" ht="12.9" customHeight="1">
      <c r="B623" s="58" t="s">
        <v>461</v>
      </c>
      <c r="C623" s="1083"/>
      <c r="D623" s="1083"/>
      <c r="E623" s="1083"/>
      <c r="F623" s="1083"/>
      <c r="G623" s="1083"/>
      <c r="H623" s="1083"/>
      <c r="I623" s="1083"/>
      <c r="J623" s="1083"/>
      <c r="K623" s="1083"/>
      <c r="L623" s="1083"/>
      <c r="M623" s="1106" t="s">
        <v>2071</v>
      </c>
      <c r="N623" s="1106"/>
      <c r="O623" s="1106"/>
      <c r="P623" s="1106"/>
      <c r="Q623" s="1055"/>
      <c r="R623" s="1056"/>
      <c r="S623" s="1057"/>
      <c r="T623" s="1052"/>
      <c r="U623" s="1053"/>
      <c r="V623" s="1054"/>
      <c r="W623" s="1079"/>
      <c r="X623" s="1080"/>
      <c r="Y623" s="1081"/>
      <c r="Z623" s="1374" t="s">
        <v>2071</v>
      </c>
      <c r="AA623" s="1375"/>
      <c r="AB623" s="1376"/>
      <c r="AC623" s="1049"/>
      <c r="AD623" s="1050"/>
      <c r="AE623" s="1051"/>
      <c r="AF623" s="1058"/>
      <c r="AG623" s="1059"/>
      <c r="AH623" s="1059"/>
      <c r="AI623" s="1059"/>
      <c r="AJ623" s="1060"/>
      <c r="AK623" s="1115"/>
      <c r="AL623" s="1116"/>
      <c r="AM623" s="1116"/>
      <c r="AN623" s="1117"/>
      <c r="AO623" s="1191"/>
      <c r="AP623" s="1191"/>
      <c r="AQ623" s="1191"/>
      <c r="AR623" s="1191"/>
      <c r="AS623" s="1191"/>
      <c r="AT623" s="953" t="str">
        <f t="shared" si="17"/>
        <v/>
      </c>
      <c r="AU623" s="43"/>
      <c r="AV623" s="43"/>
      <c r="AW623" s="43"/>
      <c r="AX623" s="43"/>
      <c r="AY623" s="43"/>
      <c r="AZ623" s="43"/>
      <c r="BN623" s="1237">
        <f t="shared" si="18"/>
        <v>0</v>
      </c>
      <c r="BO623" s="1238"/>
      <c r="BP623" s="1238"/>
      <c r="BQ623" s="1238"/>
      <c r="BR623" s="1240"/>
      <c r="BS623" s="1237">
        <f t="shared" si="19"/>
        <v>0</v>
      </c>
      <c r="BT623" s="1238"/>
      <c r="BU623" s="1238"/>
      <c r="BV623" s="1238"/>
      <c r="BW623" s="1240"/>
      <c r="BX623" s="1237">
        <f t="shared" si="20"/>
        <v>0</v>
      </c>
      <c r="BY623" s="1238"/>
      <c r="BZ623" s="1238"/>
      <c r="CA623" s="1238"/>
      <c r="CB623" s="1240"/>
      <c r="CC623" s="1237">
        <f t="shared" si="21"/>
        <v>0</v>
      </c>
      <c r="CD623" s="1238"/>
      <c r="CE623" s="1238"/>
      <c r="CF623" s="1238"/>
      <c r="CG623" s="1240"/>
      <c r="CH623" s="1237">
        <f t="shared" si="22"/>
        <v>0</v>
      </c>
      <c r="CI623" s="1238"/>
      <c r="CJ623" s="1238"/>
      <c r="CK623" s="1238"/>
      <c r="CL623" s="1240"/>
      <c r="CM623" s="1237">
        <f t="shared" si="23"/>
        <v>0</v>
      </c>
      <c r="CN623" s="1238"/>
      <c r="CO623" s="1238"/>
      <c r="CP623" s="1238"/>
      <c r="CQ623" s="1240"/>
      <c r="CR623" s="41"/>
      <c r="CS623" s="41"/>
    </row>
    <row r="624" spans="1:126" ht="12.9" customHeight="1">
      <c r="B624" s="58" t="s">
        <v>776</v>
      </c>
      <c r="C624" s="1083"/>
      <c r="D624" s="1083"/>
      <c r="E624" s="1083"/>
      <c r="F624" s="1083"/>
      <c r="G624" s="1083"/>
      <c r="H624" s="1083"/>
      <c r="I624" s="1083"/>
      <c r="J624" s="1083"/>
      <c r="K624" s="1083"/>
      <c r="L624" s="1083"/>
      <c r="M624" s="1106" t="s">
        <v>2071</v>
      </c>
      <c r="N624" s="1106"/>
      <c r="O624" s="1106"/>
      <c r="P624" s="1106"/>
      <c r="Q624" s="1055"/>
      <c r="R624" s="1056"/>
      <c r="S624" s="1057"/>
      <c r="T624" s="1052"/>
      <c r="U624" s="1053"/>
      <c r="V624" s="1054"/>
      <c r="W624" s="1079"/>
      <c r="X624" s="1080"/>
      <c r="Y624" s="1081"/>
      <c r="Z624" s="1374" t="s">
        <v>2071</v>
      </c>
      <c r="AA624" s="1375"/>
      <c r="AB624" s="1376"/>
      <c r="AC624" s="1049"/>
      <c r="AD624" s="1050"/>
      <c r="AE624" s="1051"/>
      <c r="AF624" s="1058"/>
      <c r="AG624" s="1059"/>
      <c r="AH624" s="1059"/>
      <c r="AI624" s="1059"/>
      <c r="AJ624" s="1060"/>
      <c r="AK624" s="1115"/>
      <c r="AL624" s="1116"/>
      <c r="AM624" s="1116"/>
      <c r="AN624" s="1117"/>
      <c r="AO624" s="1191"/>
      <c r="AP624" s="1191"/>
      <c r="AQ624" s="1191"/>
      <c r="AR624" s="1191"/>
      <c r="AS624" s="1191"/>
      <c r="AT624" s="953" t="str">
        <f t="shared" si="17"/>
        <v/>
      </c>
      <c r="AU624" s="43"/>
      <c r="AV624" s="43"/>
      <c r="AW624" s="43"/>
      <c r="AX624" s="43"/>
      <c r="AY624" s="43"/>
      <c r="AZ624" s="43"/>
      <c r="BN624" s="1237">
        <f t="shared" si="18"/>
        <v>0</v>
      </c>
      <c r="BO624" s="1238"/>
      <c r="BP624" s="1238"/>
      <c r="BQ624" s="1238"/>
      <c r="BR624" s="1240"/>
      <c r="BS624" s="1237">
        <f t="shared" si="19"/>
        <v>0</v>
      </c>
      <c r="BT624" s="1238"/>
      <c r="BU624" s="1238"/>
      <c r="BV624" s="1238"/>
      <c r="BW624" s="1240"/>
      <c r="BX624" s="1237">
        <f t="shared" si="20"/>
        <v>0</v>
      </c>
      <c r="BY624" s="1238"/>
      <c r="BZ624" s="1238"/>
      <c r="CA624" s="1238"/>
      <c r="CB624" s="1240"/>
      <c r="CC624" s="1237">
        <f t="shared" si="21"/>
        <v>0</v>
      </c>
      <c r="CD624" s="1238"/>
      <c r="CE624" s="1238"/>
      <c r="CF624" s="1238"/>
      <c r="CG624" s="1240"/>
      <c r="CH624" s="1237">
        <f t="shared" si="22"/>
        <v>0</v>
      </c>
      <c r="CI624" s="1238"/>
      <c r="CJ624" s="1238"/>
      <c r="CK624" s="1238"/>
      <c r="CL624" s="1240"/>
      <c r="CM624" s="1237">
        <f t="shared" si="23"/>
        <v>0</v>
      </c>
      <c r="CN624" s="1238"/>
      <c r="CO624" s="1238"/>
      <c r="CP624" s="1238"/>
      <c r="CQ624" s="1240"/>
      <c r="CR624" s="41"/>
      <c r="CS624" s="41"/>
    </row>
    <row r="625" spans="1:97" ht="12.9" customHeight="1">
      <c r="B625" s="58" t="s">
        <v>777</v>
      </c>
      <c r="C625" s="1083"/>
      <c r="D625" s="1083"/>
      <c r="E625" s="1083"/>
      <c r="F625" s="1083"/>
      <c r="G625" s="1083"/>
      <c r="H625" s="1083"/>
      <c r="I625" s="1083"/>
      <c r="J625" s="1083"/>
      <c r="K625" s="1083"/>
      <c r="L625" s="1083"/>
      <c r="M625" s="1106" t="s">
        <v>2071</v>
      </c>
      <c r="N625" s="1106"/>
      <c r="O625" s="1106"/>
      <c r="P625" s="1106"/>
      <c r="Q625" s="1055"/>
      <c r="R625" s="1056"/>
      <c r="S625" s="1057"/>
      <c r="T625" s="1052"/>
      <c r="U625" s="1053"/>
      <c r="V625" s="1054"/>
      <c r="W625" s="1079"/>
      <c r="X625" s="1080"/>
      <c r="Y625" s="1081"/>
      <c r="Z625" s="1374" t="s">
        <v>2071</v>
      </c>
      <c r="AA625" s="1375"/>
      <c r="AB625" s="1376"/>
      <c r="AC625" s="1049"/>
      <c r="AD625" s="1050"/>
      <c r="AE625" s="1051"/>
      <c r="AF625" s="1058"/>
      <c r="AG625" s="1059"/>
      <c r="AH625" s="1059"/>
      <c r="AI625" s="1059"/>
      <c r="AJ625" s="1060"/>
      <c r="AK625" s="1115"/>
      <c r="AL625" s="1116"/>
      <c r="AM625" s="1116"/>
      <c r="AN625" s="1117"/>
      <c r="AO625" s="1191"/>
      <c r="AP625" s="1191"/>
      <c r="AQ625" s="1191"/>
      <c r="AR625" s="1191"/>
      <c r="AS625" s="1191"/>
      <c r="AT625" s="953" t="str">
        <f t="shared" si="17"/>
        <v/>
      </c>
      <c r="AU625" s="43"/>
      <c r="AV625" s="43"/>
      <c r="AW625" s="43"/>
      <c r="AX625" s="43"/>
      <c r="AY625" s="43"/>
      <c r="AZ625" s="43"/>
      <c r="BN625" s="1237">
        <f t="shared" si="18"/>
        <v>0</v>
      </c>
      <c r="BO625" s="1238"/>
      <c r="BP625" s="1238"/>
      <c r="BQ625" s="1238"/>
      <c r="BR625" s="1240"/>
      <c r="BS625" s="1237">
        <f t="shared" si="19"/>
        <v>0</v>
      </c>
      <c r="BT625" s="1238"/>
      <c r="BU625" s="1238"/>
      <c r="BV625" s="1238"/>
      <c r="BW625" s="1240"/>
      <c r="BX625" s="1237">
        <f t="shared" si="20"/>
        <v>0</v>
      </c>
      <c r="BY625" s="1238"/>
      <c r="BZ625" s="1238"/>
      <c r="CA625" s="1238"/>
      <c r="CB625" s="1240"/>
      <c r="CC625" s="1237">
        <f t="shared" si="21"/>
        <v>0</v>
      </c>
      <c r="CD625" s="1238"/>
      <c r="CE625" s="1238"/>
      <c r="CF625" s="1238"/>
      <c r="CG625" s="1240"/>
      <c r="CH625" s="1237">
        <f t="shared" si="22"/>
        <v>0</v>
      </c>
      <c r="CI625" s="1238"/>
      <c r="CJ625" s="1238"/>
      <c r="CK625" s="1238"/>
      <c r="CL625" s="1240"/>
      <c r="CM625" s="1237">
        <f t="shared" si="23"/>
        <v>0</v>
      </c>
      <c r="CN625" s="1238"/>
      <c r="CO625" s="1238"/>
      <c r="CP625" s="1238"/>
      <c r="CQ625" s="1240"/>
      <c r="CR625" s="41"/>
      <c r="CS625" s="41"/>
    </row>
    <row r="626" spans="1:97" ht="12.9" customHeight="1">
      <c r="B626" s="58" t="s">
        <v>575</v>
      </c>
      <c r="C626" s="1083"/>
      <c r="D626" s="1083"/>
      <c r="E626" s="1083"/>
      <c r="F626" s="1083"/>
      <c r="G626" s="1083"/>
      <c r="H626" s="1083"/>
      <c r="I626" s="1083"/>
      <c r="J626" s="1083"/>
      <c r="K626" s="1083"/>
      <c r="L626" s="1083"/>
      <c r="M626" s="1106" t="s">
        <v>2071</v>
      </c>
      <c r="N626" s="1106"/>
      <c r="O626" s="1106"/>
      <c r="P626" s="1106"/>
      <c r="Q626" s="1055"/>
      <c r="R626" s="1056"/>
      <c r="S626" s="1057"/>
      <c r="T626" s="1052"/>
      <c r="U626" s="1053"/>
      <c r="V626" s="1054"/>
      <c r="W626" s="1079"/>
      <c r="X626" s="1080"/>
      <c r="Y626" s="1081"/>
      <c r="Z626" s="1374" t="s">
        <v>2071</v>
      </c>
      <c r="AA626" s="1375"/>
      <c r="AB626" s="1376"/>
      <c r="AC626" s="1049"/>
      <c r="AD626" s="1050"/>
      <c r="AE626" s="1051"/>
      <c r="AF626" s="1058"/>
      <c r="AG626" s="1059"/>
      <c r="AH626" s="1059"/>
      <c r="AI626" s="1059"/>
      <c r="AJ626" s="1060"/>
      <c r="AK626" s="1115"/>
      <c r="AL626" s="1116"/>
      <c r="AM626" s="1116"/>
      <c r="AN626" s="1117"/>
      <c r="AO626" s="1191"/>
      <c r="AP626" s="1191"/>
      <c r="AQ626" s="1191"/>
      <c r="AR626" s="1191"/>
      <c r="AS626" s="1191"/>
      <c r="AT626" s="953" t="str">
        <f t="shared" si="17"/>
        <v/>
      </c>
      <c r="AU626" s="41"/>
      <c r="AV626" s="41"/>
      <c r="AW626" s="41"/>
      <c r="AX626" s="41"/>
      <c r="AY626" s="41"/>
      <c r="AZ626" s="41"/>
      <c r="BN626" s="1237">
        <f t="shared" si="18"/>
        <v>0</v>
      </c>
      <c r="BO626" s="1238"/>
      <c r="BP626" s="1238"/>
      <c r="BQ626" s="1238"/>
      <c r="BR626" s="1240"/>
      <c r="BS626" s="1237">
        <f t="shared" si="19"/>
        <v>0</v>
      </c>
      <c r="BT626" s="1238"/>
      <c r="BU626" s="1238"/>
      <c r="BV626" s="1238"/>
      <c r="BW626" s="1240"/>
      <c r="BX626" s="1237">
        <f t="shared" si="20"/>
        <v>0</v>
      </c>
      <c r="BY626" s="1238"/>
      <c r="BZ626" s="1238"/>
      <c r="CA626" s="1238"/>
      <c r="CB626" s="1240"/>
      <c r="CC626" s="1237">
        <f t="shared" si="21"/>
        <v>0</v>
      </c>
      <c r="CD626" s="1238"/>
      <c r="CE626" s="1238"/>
      <c r="CF626" s="1238"/>
      <c r="CG626" s="1240"/>
      <c r="CH626" s="1237">
        <f t="shared" si="22"/>
        <v>0</v>
      </c>
      <c r="CI626" s="1238"/>
      <c r="CJ626" s="1238"/>
      <c r="CK626" s="1238"/>
      <c r="CL626" s="1240"/>
      <c r="CM626" s="1237">
        <f t="shared" si="23"/>
        <v>0</v>
      </c>
      <c r="CN626" s="1238"/>
      <c r="CO626" s="1238"/>
      <c r="CP626" s="1238"/>
      <c r="CQ626" s="1240"/>
      <c r="CR626" s="41"/>
      <c r="CS626" s="41"/>
    </row>
    <row r="627" spans="1:97" ht="12.9" customHeight="1">
      <c r="B627" s="58" t="s">
        <v>184</v>
      </c>
      <c r="C627" s="1083"/>
      <c r="D627" s="1083"/>
      <c r="E627" s="1083"/>
      <c r="F627" s="1083"/>
      <c r="G627" s="1083"/>
      <c r="H627" s="1083"/>
      <c r="I627" s="1083"/>
      <c r="J627" s="1083"/>
      <c r="K627" s="1083"/>
      <c r="L627" s="1083"/>
      <c r="M627" s="1106" t="s">
        <v>2071</v>
      </c>
      <c r="N627" s="1106"/>
      <c r="O627" s="1106"/>
      <c r="P627" s="1106"/>
      <c r="Q627" s="1055"/>
      <c r="R627" s="1056"/>
      <c r="S627" s="1057"/>
      <c r="T627" s="1052"/>
      <c r="U627" s="1053"/>
      <c r="V627" s="1054"/>
      <c r="W627" s="1079"/>
      <c r="X627" s="1080"/>
      <c r="Y627" s="1081"/>
      <c r="Z627" s="1374" t="s">
        <v>2071</v>
      </c>
      <c r="AA627" s="1375"/>
      <c r="AB627" s="1376"/>
      <c r="AC627" s="1049"/>
      <c r="AD627" s="1050"/>
      <c r="AE627" s="1051"/>
      <c r="AF627" s="1058"/>
      <c r="AG627" s="1059"/>
      <c r="AH627" s="1059"/>
      <c r="AI627" s="1059"/>
      <c r="AJ627" s="1060"/>
      <c r="AK627" s="1115"/>
      <c r="AL627" s="1116"/>
      <c r="AM627" s="1116"/>
      <c r="AN627" s="1117"/>
      <c r="AO627" s="1191"/>
      <c r="AP627" s="1191"/>
      <c r="AQ627" s="1191"/>
      <c r="AR627" s="1191"/>
      <c r="AS627" s="1191"/>
      <c r="AT627" s="953" t="str">
        <f t="shared" si="17"/>
        <v/>
      </c>
      <c r="AU627" s="41"/>
      <c r="AV627" s="41"/>
      <c r="AW627" s="41"/>
      <c r="AX627" s="41"/>
      <c r="AY627" s="41"/>
      <c r="AZ627" s="41"/>
      <c r="BN627" s="1237">
        <f t="shared" si="18"/>
        <v>0</v>
      </c>
      <c r="BO627" s="1238"/>
      <c r="BP627" s="1238"/>
      <c r="BQ627" s="1238"/>
      <c r="BR627" s="1240"/>
      <c r="BS627" s="1237">
        <f t="shared" si="19"/>
        <v>0</v>
      </c>
      <c r="BT627" s="1238"/>
      <c r="BU627" s="1238"/>
      <c r="BV627" s="1238"/>
      <c r="BW627" s="1240"/>
      <c r="BX627" s="1237">
        <f t="shared" si="20"/>
        <v>0</v>
      </c>
      <c r="BY627" s="1238"/>
      <c r="BZ627" s="1238"/>
      <c r="CA627" s="1238"/>
      <c r="CB627" s="1240"/>
      <c r="CC627" s="1237">
        <f t="shared" si="21"/>
        <v>0</v>
      </c>
      <c r="CD627" s="1238"/>
      <c r="CE627" s="1238"/>
      <c r="CF627" s="1238"/>
      <c r="CG627" s="1240"/>
      <c r="CH627" s="1237">
        <f t="shared" si="22"/>
        <v>0</v>
      </c>
      <c r="CI627" s="1238"/>
      <c r="CJ627" s="1238"/>
      <c r="CK627" s="1238"/>
      <c r="CL627" s="1240"/>
      <c r="CM627" s="1237">
        <f t="shared" si="23"/>
        <v>0</v>
      </c>
      <c r="CN627" s="1238"/>
      <c r="CO627" s="1238"/>
      <c r="CP627" s="1238"/>
      <c r="CQ627" s="1240"/>
      <c r="CR627" s="41"/>
      <c r="CS627" s="41"/>
    </row>
    <row r="628" spans="1:97" ht="12.9" customHeight="1">
      <c r="B628" s="58" t="s">
        <v>36</v>
      </c>
      <c r="C628" s="1083"/>
      <c r="D628" s="1083"/>
      <c r="E628" s="1083"/>
      <c r="F628" s="1083"/>
      <c r="G628" s="1083"/>
      <c r="H628" s="1083"/>
      <c r="I628" s="1083"/>
      <c r="J628" s="1083"/>
      <c r="K628" s="1083"/>
      <c r="L628" s="1083"/>
      <c r="M628" s="1106" t="s">
        <v>2071</v>
      </c>
      <c r="N628" s="1106"/>
      <c r="O628" s="1106"/>
      <c r="P628" s="1106"/>
      <c r="Q628" s="1055"/>
      <c r="R628" s="1056"/>
      <c r="S628" s="1057"/>
      <c r="T628" s="1052"/>
      <c r="U628" s="1053"/>
      <c r="V628" s="1054"/>
      <c r="W628" s="1079"/>
      <c r="X628" s="1080"/>
      <c r="Y628" s="1081"/>
      <c r="Z628" s="1374" t="s">
        <v>2071</v>
      </c>
      <c r="AA628" s="1375"/>
      <c r="AB628" s="1376"/>
      <c r="AC628" s="1049"/>
      <c r="AD628" s="1050"/>
      <c r="AE628" s="1051"/>
      <c r="AF628" s="1058"/>
      <c r="AG628" s="1059"/>
      <c r="AH628" s="1059"/>
      <c r="AI628" s="1059"/>
      <c r="AJ628" s="1060"/>
      <c r="AK628" s="1115"/>
      <c r="AL628" s="1116"/>
      <c r="AM628" s="1116"/>
      <c r="AN628" s="1117"/>
      <c r="AO628" s="1191"/>
      <c r="AP628" s="1191"/>
      <c r="AQ628" s="1191"/>
      <c r="AR628" s="1191"/>
      <c r="AS628" s="1191"/>
      <c r="AT628" s="953" t="str">
        <f t="shared" si="17"/>
        <v/>
      </c>
      <c r="AU628" s="41"/>
      <c r="AV628" s="41"/>
      <c r="AW628" s="41"/>
      <c r="AX628" s="41"/>
      <c r="AY628" s="41"/>
      <c r="AZ628" s="41"/>
      <c r="BN628" s="1237">
        <f t="shared" si="18"/>
        <v>0</v>
      </c>
      <c r="BO628" s="1238"/>
      <c r="BP628" s="1238"/>
      <c r="BQ628" s="1238"/>
      <c r="BR628" s="1240"/>
      <c r="BS628" s="1237">
        <f t="shared" si="19"/>
        <v>0</v>
      </c>
      <c r="BT628" s="1238"/>
      <c r="BU628" s="1238"/>
      <c r="BV628" s="1238"/>
      <c r="BW628" s="1240"/>
      <c r="BX628" s="1237">
        <f t="shared" si="20"/>
        <v>0</v>
      </c>
      <c r="BY628" s="1238"/>
      <c r="BZ628" s="1238"/>
      <c r="CA628" s="1238"/>
      <c r="CB628" s="1240"/>
      <c r="CC628" s="1237">
        <f t="shared" si="21"/>
        <v>0</v>
      </c>
      <c r="CD628" s="1238"/>
      <c r="CE628" s="1238"/>
      <c r="CF628" s="1238"/>
      <c r="CG628" s="1240"/>
      <c r="CH628" s="1237">
        <f t="shared" si="22"/>
        <v>0</v>
      </c>
      <c r="CI628" s="1238"/>
      <c r="CJ628" s="1238"/>
      <c r="CK628" s="1238"/>
      <c r="CL628" s="1240"/>
      <c r="CM628" s="1237">
        <f t="shared" si="23"/>
        <v>0</v>
      </c>
      <c r="CN628" s="1238"/>
      <c r="CO628" s="1238"/>
      <c r="CP628" s="1238"/>
      <c r="CQ628" s="1240"/>
      <c r="CR628" s="41"/>
      <c r="CS628" s="41"/>
    </row>
    <row r="629" spans="1:97" ht="12.9" customHeight="1">
      <c r="B629" s="58" t="s">
        <v>37</v>
      </c>
      <c r="C629" s="1083"/>
      <c r="D629" s="1083"/>
      <c r="E629" s="1083"/>
      <c r="F629" s="1083"/>
      <c r="G629" s="1083"/>
      <c r="H629" s="1083"/>
      <c r="I629" s="1083"/>
      <c r="J629" s="1083"/>
      <c r="K629" s="1083"/>
      <c r="L629" s="1083"/>
      <c r="M629" s="1106" t="s">
        <v>2071</v>
      </c>
      <c r="N629" s="1106"/>
      <c r="O629" s="1106"/>
      <c r="P629" s="1106"/>
      <c r="Q629" s="1055"/>
      <c r="R629" s="1056"/>
      <c r="S629" s="1057"/>
      <c r="T629" s="1052"/>
      <c r="U629" s="1053"/>
      <c r="V629" s="1054"/>
      <c r="W629" s="1079"/>
      <c r="X629" s="1080"/>
      <c r="Y629" s="1081"/>
      <c r="Z629" s="1374" t="s">
        <v>2071</v>
      </c>
      <c r="AA629" s="1375"/>
      <c r="AB629" s="1376"/>
      <c r="AC629" s="1049"/>
      <c r="AD629" s="1050"/>
      <c r="AE629" s="1051"/>
      <c r="AF629" s="1058"/>
      <c r="AG629" s="1059"/>
      <c r="AH629" s="1059"/>
      <c r="AI629" s="1059"/>
      <c r="AJ629" s="1060"/>
      <c r="AK629" s="1115"/>
      <c r="AL629" s="1116"/>
      <c r="AM629" s="1116"/>
      <c r="AN629" s="1117"/>
      <c r="AO629" s="1191"/>
      <c r="AP629" s="1191"/>
      <c r="AQ629" s="1191"/>
      <c r="AR629" s="1191"/>
      <c r="AS629" s="1191"/>
      <c r="AT629" s="953" t="str">
        <f t="shared" si="17"/>
        <v/>
      </c>
      <c r="AU629" s="43"/>
      <c r="AV629" s="43"/>
      <c r="AW629" s="43"/>
      <c r="AX629" s="43"/>
      <c r="AY629" s="43"/>
      <c r="AZ629" s="43"/>
      <c r="BN629" s="1237">
        <f t="shared" si="18"/>
        <v>0</v>
      </c>
      <c r="BO629" s="1238"/>
      <c r="BP629" s="1238"/>
      <c r="BQ629" s="1238"/>
      <c r="BR629" s="1240"/>
      <c r="BS629" s="1237">
        <f t="shared" si="19"/>
        <v>0</v>
      </c>
      <c r="BT629" s="1238"/>
      <c r="BU629" s="1238"/>
      <c r="BV629" s="1238"/>
      <c r="BW629" s="1240"/>
      <c r="BX629" s="1237">
        <f t="shared" si="20"/>
        <v>0</v>
      </c>
      <c r="BY629" s="1238"/>
      <c r="BZ629" s="1238"/>
      <c r="CA629" s="1238"/>
      <c r="CB629" s="1240"/>
      <c r="CC629" s="1237">
        <f t="shared" si="21"/>
        <v>0</v>
      </c>
      <c r="CD629" s="1238"/>
      <c r="CE629" s="1238"/>
      <c r="CF629" s="1238"/>
      <c r="CG629" s="1240"/>
      <c r="CH629" s="1237">
        <f t="shared" si="22"/>
        <v>0</v>
      </c>
      <c r="CI629" s="1238"/>
      <c r="CJ629" s="1238"/>
      <c r="CK629" s="1238"/>
      <c r="CL629" s="1240"/>
      <c r="CM629" s="1237">
        <f t="shared" si="23"/>
        <v>0</v>
      </c>
      <c r="CN629" s="1238"/>
      <c r="CO629" s="1238"/>
      <c r="CP629" s="1238"/>
      <c r="CQ629" s="1240"/>
      <c r="CR629" s="41"/>
      <c r="CS629" s="41"/>
    </row>
    <row r="630" spans="1:97" ht="12.9" customHeight="1">
      <c r="B630" s="1089" t="s">
        <v>381</v>
      </c>
      <c r="C630" s="1090"/>
      <c r="D630" s="1090"/>
      <c r="E630" s="1090"/>
      <c r="F630" s="1090"/>
      <c r="G630" s="1090"/>
      <c r="H630" s="1090"/>
      <c r="I630" s="1090"/>
      <c r="J630" s="1090"/>
      <c r="K630" s="1090"/>
      <c r="L630" s="1090"/>
      <c r="M630" s="1090"/>
      <c r="N630" s="1090"/>
      <c r="O630" s="1090"/>
      <c r="P630" s="1090"/>
      <c r="Q630" s="1090"/>
      <c r="R630" s="1090"/>
      <c r="S630" s="1090"/>
      <c r="T630" s="1090"/>
      <c r="U630" s="1090"/>
      <c r="V630" s="1090"/>
      <c r="W630" s="1090"/>
      <c r="X630" s="1090"/>
      <c r="Y630" s="1090"/>
      <c r="Z630" s="1090"/>
      <c r="AA630" s="1090"/>
      <c r="AB630" s="1090"/>
      <c r="AC630" s="1090"/>
      <c r="AD630" s="1090"/>
      <c r="AE630" s="1090"/>
      <c r="AF630" s="1090"/>
      <c r="AG630" s="1090"/>
      <c r="AH630" s="1090"/>
      <c r="AI630" s="1090"/>
      <c r="AJ630" s="1090"/>
      <c r="AK630" s="1090"/>
      <c r="AL630" s="1090"/>
      <c r="AM630" s="1090"/>
      <c r="AN630" s="1092"/>
      <c r="AO630" s="1147">
        <f>SUM(AO618:AS629)</f>
        <v>2229231</v>
      </c>
      <c r="AP630" s="1148"/>
      <c r="AQ630" s="1148"/>
      <c r="AR630" s="1148"/>
      <c r="AS630" s="1149"/>
      <c r="AT630" s="43"/>
      <c r="AU630" s="43"/>
      <c r="AV630" s="43"/>
      <c r="AW630" s="43"/>
      <c r="AX630" s="43"/>
      <c r="AY630" s="43"/>
      <c r="AZ630" s="43"/>
      <c r="BN630" s="1237">
        <f t="shared" si="18"/>
        <v>0</v>
      </c>
      <c r="BO630" s="1238"/>
      <c r="BP630" s="1238"/>
      <c r="BQ630" s="1238"/>
      <c r="BR630" s="1240"/>
      <c r="BS630" s="1237">
        <f t="shared" si="19"/>
        <v>0</v>
      </c>
      <c r="BT630" s="1238"/>
      <c r="BU630" s="1238"/>
      <c r="BV630" s="1238"/>
      <c r="BW630" s="1240"/>
      <c r="BX630" s="1237">
        <f t="shared" si="20"/>
        <v>0</v>
      </c>
      <c r="BY630" s="1238"/>
      <c r="BZ630" s="1238"/>
      <c r="CA630" s="1238"/>
      <c r="CB630" s="1240"/>
      <c r="CC630" s="1237">
        <f t="shared" si="21"/>
        <v>0</v>
      </c>
      <c r="CD630" s="1238"/>
      <c r="CE630" s="1238"/>
      <c r="CF630" s="1238"/>
      <c r="CG630" s="1240"/>
      <c r="CH630" s="1237">
        <f t="shared" si="22"/>
        <v>0</v>
      </c>
      <c r="CI630" s="1238"/>
      <c r="CJ630" s="1238"/>
      <c r="CK630" s="1238"/>
      <c r="CL630" s="1240"/>
      <c r="CM630" s="1237">
        <f t="shared" si="23"/>
        <v>0</v>
      </c>
      <c r="CN630" s="1238"/>
      <c r="CO630" s="1238"/>
      <c r="CP630" s="1238"/>
      <c r="CQ630" s="1240"/>
      <c r="CR630" s="41"/>
      <c r="CS630" s="41"/>
    </row>
    <row r="631" spans="1:97" ht="12.9" customHeight="1">
      <c r="B631" s="1089" t="s">
        <v>382</v>
      </c>
      <c r="C631" s="1090"/>
      <c r="D631" s="1090"/>
      <c r="E631" s="1090"/>
      <c r="F631" s="1090"/>
      <c r="G631" s="1090"/>
      <c r="H631" s="1090"/>
      <c r="I631" s="1090"/>
      <c r="J631" s="1090"/>
      <c r="K631" s="1090"/>
      <c r="L631" s="1090"/>
      <c r="M631" s="1090"/>
      <c r="N631" s="1090"/>
      <c r="O631" s="1090"/>
      <c r="P631" s="1090"/>
      <c r="Q631" s="1090"/>
      <c r="R631" s="1090"/>
      <c r="S631" s="1090"/>
      <c r="T631" s="1090"/>
      <c r="U631" s="1090"/>
      <c r="V631" s="1090"/>
      <c r="W631" s="1090"/>
      <c r="X631" s="1090"/>
      <c r="Y631" s="1090"/>
      <c r="Z631" s="1090"/>
      <c r="AA631" s="1090"/>
      <c r="AB631" s="1090"/>
      <c r="AC631" s="1090"/>
      <c r="AD631" s="1090"/>
      <c r="AE631" s="1090"/>
      <c r="AF631" s="1090"/>
      <c r="AG631" s="1090"/>
      <c r="AH631" s="1090"/>
      <c r="AI631" s="1090"/>
      <c r="AJ631" s="1090"/>
      <c r="AK631" s="1090"/>
      <c r="AL631" s="1090"/>
      <c r="AM631" s="1090"/>
      <c r="AN631" s="1092"/>
      <c r="AO631" s="1141">
        <v>11994612</v>
      </c>
      <c r="AP631" s="1142"/>
      <c r="AQ631" s="1142"/>
      <c r="AR631" s="1142"/>
      <c r="AS631" s="1143"/>
      <c r="AT631" s="43"/>
      <c r="AU631" s="43"/>
      <c r="AV631" s="43"/>
      <c r="AW631" s="43"/>
      <c r="AX631" s="43"/>
      <c r="AY631" s="43"/>
      <c r="AZ631" s="43"/>
      <c r="BN631" s="1237">
        <f t="shared" si="18"/>
        <v>0</v>
      </c>
      <c r="BO631" s="1238"/>
      <c r="BP631" s="1238"/>
      <c r="BQ631" s="1238"/>
      <c r="BR631" s="1240"/>
      <c r="BS631" s="1237">
        <f t="shared" si="19"/>
        <v>0</v>
      </c>
      <c r="BT631" s="1238"/>
      <c r="BU631" s="1238"/>
      <c r="BV631" s="1238"/>
      <c r="BW631" s="1240"/>
      <c r="BX631" s="1237">
        <f t="shared" si="20"/>
        <v>0</v>
      </c>
      <c r="BY631" s="1238"/>
      <c r="BZ631" s="1238"/>
      <c r="CA631" s="1238"/>
      <c r="CB631" s="1240"/>
      <c r="CC631" s="1237">
        <f t="shared" si="21"/>
        <v>0</v>
      </c>
      <c r="CD631" s="1238"/>
      <c r="CE631" s="1238"/>
      <c r="CF631" s="1238"/>
      <c r="CG631" s="1240"/>
      <c r="CH631" s="1237">
        <f t="shared" si="22"/>
        <v>0</v>
      </c>
      <c r="CI631" s="1238"/>
      <c r="CJ631" s="1238"/>
      <c r="CK631" s="1238"/>
      <c r="CL631" s="1240"/>
      <c r="CM631" s="1237">
        <f t="shared" si="23"/>
        <v>0</v>
      </c>
      <c r="CN631" s="1238"/>
      <c r="CO631" s="1238"/>
      <c r="CP631" s="1238"/>
      <c r="CQ631" s="1240"/>
      <c r="CR631" s="41"/>
      <c r="CS631" s="41"/>
    </row>
    <row r="632" spans="1:97" ht="12.9" customHeight="1">
      <c r="B632" s="1372" t="s">
        <v>982</v>
      </c>
      <c r="C632" s="1091"/>
      <c r="D632" s="1091"/>
      <c r="E632" s="1091"/>
      <c r="F632" s="1091"/>
      <c r="G632" s="1091"/>
      <c r="H632" s="1091"/>
      <c r="I632" s="1091"/>
      <c r="J632" s="1091"/>
      <c r="K632" s="1091"/>
      <c r="L632" s="1091"/>
      <c r="M632" s="1091"/>
      <c r="N632" s="1091"/>
      <c r="O632" s="1091"/>
      <c r="P632" s="1091"/>
      <c r="Q632" s="1091"/>
      <c r="R632" s="1091"/>
      <c r="S632" s="1091"/>
      <c r="T632" s="1091"/>
      <c r="U632" s="1091"/>
      <c r="V632" s="1091"/>
      <c r="W632" s="1091"/>
      <c r="X632" s="1091"/>
      <c r="Y632" s="1091"/>
      <c r="Z632" s="1091"/>
      <c r="AA632" s="1091"/>
      <c r="AB632" s="1091"/>
      <c r="AC632" s="1091"/>
      <c r="AD632" s="1091"/>
      <c r="AE632" s="1091"/>
      <c r="AF632" s="1091"/>
      <c r="AG632" s="1091"/>
      <c r="AH632" s="1091"/>
      <c r="AI632" s="1091"/>
      <c r="AJ632" s="1091"/>
      <c r="AK632" s="1091"/>
      <c r="AL632" s="1091"/>
      <c r="AM632" s="1091"/>
      <c r="AN632" s="1373"/>
      <c r="AO632" s="1147">
        <f>AO630+AO631</f>
        <v>14223843</v>
      </c>
      <c r="AP632" s="1148"/>
      <c r="AQ632" s="1148"/>
      <c r="AR632" s="1148"/>
      <c r="AS632" s="1149"/>
      <c r="AT632" s="43"/>
      <c r="AU632" s="43"/>
      <c r="AV632" s="43"/>
      <c r="AW632" s="43"/>
      <c r="AX632" s="43"/>
      <c r="AY632" s="43"/>
      <c r="AZ632" s="43"/>
      <c r="BN632" s="1494">
        <f>SUM(BN622:BR631)</f>
        <v>0</v>
      </c>
      <c r="BO632" s="1495"/>
      <c r="BP632" s="1495"/>
      <c r="BQ632" s="1495"/>
      <c r="BR632" s="1496"/>
      <c r="BS632" s="1494">
        <f>SUM(BS622:BW631)</f>
        <v>0</v>
      </c>
      <c r="BT632" s="1495"/>
      <c r="BU632" s="1495"/>
      <c r="BV632" s="1495"/>
      <c r="BW632" s="1496"/>
      <c r="BX632" s="1494">
        <f>SUM(BX622:CB631)</f>
        <v>0</v>
      </c>
      <c r="BY632" s="1495"/>
      <c r="BZ632" s="1495"/>
      <c r="CA632" s="1495"/>
      <c r="CB632" s="1496"/>
      <c r="CC632" s="1494">
        <f>SUM(CC622:CG631)</f>
        <v>0</v>
      </c>
      <c r="CD632" s="1495"/>
      <c r="CE632" s="1495"/>
      <c r="CF632" s="1495"/>
      <c r="CG632" s="1496"/>
      <c r="CH632" s="1494">
        <f>SUM(CH622:CL631)</f>
        <v>0</v>
      </c>
      <c r="CI632" s="1495"/>
      <c r="CJ632" s="1495"/>
      <c r="CK632" s="1495"/>
      <c r="CL632" s="1496"/>
      <c r="CM632" s="1494">
        <f>SUM(CM622:CQ631)</f>
        <v>0</v>
      </c>
      <c r="CN632" s="1495"/>
      <c r="CO632" s="1495"/>
      <c r="CP632" s="1495"/>
      <c r="CQ632" s="1496"/>
      <c r="CR632" s="41"/>
      <c r="CS632" s="41"/>
    </row>
    <row r="633" spans="1:97" ht="12.9"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 customHeight="1" thickBot="1">
      <c r="A634" s="61" t="s">
        <v>942</v>
      </c>
      <c r="B634" t="s">
        <v>89</v>
      </c>
      <c r="G634" s="1291" t="str">
        <f>C618</f>
        <v xml:space="preserve">Lument </v>
      </c>
      <c r="H634" s="1291"/>
      <c r="I634" s="1291"/>
      <c r="J634" s="1291"/>
      <c r="K634" s="1291"/>
      <c r="L634" s="1291"/>
      <c r="M634" s="1291"/>
      <c r="N634" s="1291"/>
      <c r="O634" s="1291"/>
      <c r="P634" s="1291"/>
      <c r="Q634" s="1291"/>
      <c r="R634" s="1291"/>
      <c r="S634" s="12"/>
      <c r="T634" s="61" t="s">
        <v>943</v>
      </c>
      <c r="U634" t="s">
        <v>89</v>
      </c>
      <c r="Z634" s="1291" t="str">
        <f>C619</f>
        <v>Pacific Housing, Inc.</v>
      </c>
      <c r="AA634" s="1291"/>
      <c r="AB634" s="1291"/>
      <c r="AC634" s="1291"/>
      <c r="AD634" s="1291"/>
      <c r="AE634" s="1291"/>
      <c r="AF634" s="1291"/>
      <c r="AG634" s="1291"/>
      <c r="AH634" s="1291"/>
      <c r="AI634" s="1291"/>
      <c r="AJ634" s="1291"/>
      <c r="AK634" s="1291"/>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2.9" customHeight="1" thickBot="1">
      <c r="A635" s="4"/>
      <c r="B635" t="s">
        <v>395</v>
      </c>
      <c r="G635" s="1084" t="s">
        <v>2456</v>
      </c>
      <c r="H635" s="1084"/>
      <c r="I635" s="1084"/>
      <c r="J635" s="1084"/>
      <c r="K635" s="1084"/>
      <c r="L635" s="1084"/>
      <c r="M635" s="1084"/>
      <c r="N635" s="1084"/>
      <c r="O635" s="1084"/>
      <c r="P635" s="1084"/>
      <c r="Q635" s="1084"/>
      <c r="R635" s="1084"/>
      <c r="S635" s="12"/>
      <c r="T635" s="4"/>
      <c r="U635" t="s">
        <v>395</v>
      </c>
      <c r="Z635" s="1084" t="s">
        <v>2376</v>
      </c>
      <c r="AA635" s="1084"/>
      <c r="AB635" s="1084"/>
      <c r="AC635" s="1084"/>
      <c r="AD635" s="1084"/>
      <c r="AE635" s="1084"/>
      <c r="AF635" s="1084"/>
      <c r="AG635" s="1084"/>
      <c r="AH635" s="1084"/>
      <c r="AI635" s="1084"/>
      <c r="AJ635" s="1084"/>
      <c r="AK635" s="1084"/>
      <c r="AM635" s="43"/>
      <c r="AN635" s="43"/>
      <c r="AO635" s="43"/>
      <c r="AP635" s="43"/>
      <c r="AQ635" s="43"/>
      <c r="AR635" s="43"/>
      <c r="AS635" s="43"/>
      <c r="AT635" s="43"/>
      <c r="AU635" s="43"/>
      <c r="AV635" s="43"/>
      <c r="AW635" s="43"/>
      <c r="AX635" s="43"/>
      <c r="AY635" s="43"/>
      <c r="AZ635" s="43"/>
      <c r="CR635" s="41"/>
      <c r="CS635" s="41"/>
    </row>
    <row r="636" spans="1:97" ht="12.9" customHeight="1" thickBot="1">
      <c r="A636" s="4"/>
      <c r="B636" t="s">
        <v>457</v>
      </c>
      <c r="G636" s="1084" t="s">
        <v>2457</v>
      </c>
      <c r="H636" s="1084"/>
      <c r="I636" s="1084"/>
      <c r="J636" s="1084"/>
      <c r="K636" s="1084"/>
      <c r="L636" s="1084"/>
      <c r="M636" s="1084"/>
      <c r="N636" s="1084"/>
      <c r="O636" s="1084"/>
      <c r="P636" s="1084"/>
      <c r="Q636" s="1084"/>
      <c r="R636" s="1084"/>
      <c r="T636" s="4"/>
      <c r="U636" t="s">
        <v>457</v>
      </c>
      <c r="Z636" s="1085" t="s">
        <v>2395</v>
      </c>
      <c r="AA636" s="1085"/>
      <c r="AB636" s="1085"/>
      <c r="AC636" s="1085"/>
      <c r="AD636" s="1085"/>
      <c r="AE636" s="1085"/>
      <c r="AF636" s="1085"/>
      <c r="AG636" s="1085"/>
      <c r="AH636" s="1085"/>
      <c r="AI636" s="1085"/>
      <c r="AJ636" s="1085"/>
      <c r="AK636" s="1085"/>
      <c r="AM636" s="43"/>
      <c r="AN636" s="43"/>
      <c r="AO636" s="43"/>
      <c r="AP636" s="43"/>
      <c r="AQ636" s="43"/>
      <c r="AR636" s="43"/>
      <c r="AS636" s="43"/>
      <c r="AT636" s="43"/>
      <c r="AU636" s="43"/>
      <c r="AV636" s="43"/>
      <c r="AW636" s="43"/>
      <c r="AX636" s="43"/>
      <c r="AY636" s="43"/>
      <c r="AZ636" s="43"/>
      <c r="CP636" s="62" t="s">
        <v>1798</v>
      </c>
      <c r="CQ636" s="473">
        <f>CQ634+CQ615</f>
        <v>53</v>
      </c>
      <c r="CR636" s="41"/>
      <c r="CS636" s="41"/>
    </row>
    <row r="637" spans="1:97" ht="12.9" customHeight="1">
      <c r="A637" s="4"/>
      <c r="B637" t="s">
        <v>872</v>
      </c>
      <c r="G637" s="1084" t="s">
        <v>2461</v>
      </c>
      <c r="H637" s="1084"/>
      <c r="I637" s="1084"/>
      <c r="J637" s="1084"/>
      <c r="K637" s="1084"/>
      <c r="L637" s="1084"/>
      <c r="M637" s="1084"/>
      <c r="N637" s="1084"/>
      <c r="O637" s="1084"/>
      <c r="P637" s="1084"/>
      <c r="Q637" s="1084"/>
      <c r="R637" s="1084"/>
      <c r="S637" s="12"/>
      <c r="T637" s="4"/>
      <c r="U637" t="s">
        <v>872</v>
      </c>
      <c r="Z637" s="1085" t="s">
        <v>2391</v>
      </c>
      <c r="AA637" s="1085"/>
      <c r="AB637" s="1085"/>
      <c r="AC637" s="1085"/>
      <c r="AD637" s="1085"/>
      <c r="AE637" s="1085"/>
      <c r="AF637" s="1085"/>
      <c r="AG637" s="1085"/>
      <c r="AH637" s="1085"/>
      <c r="AI637" s="1085"/>
      <c r="AJ637" s="1085"/>
      <c r="AK637" s="1085"/>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 customHeight="1">
      <c r="A638" s="4"/>
      <c r="B638" t="s">
        <v>684</v>
      </c>
      <c r="G638" s="1284" t="s">
        <v>2459</v>
      </c>
      <c r="H638" s="1108"/>
      <c r="I638" s="1108"/>
      <c r="J638" s="1108"/>
      <c r="K638" s="1108"/>
      <c r="L638" s="1108"/>
      <c r="O638" s="42" t="s">
        <v>857</v>
      </c>
      <c r="P638" s="1279"/>
      <c r="Q638" s="1279"/>
      <c r="R638" s="1279"/>
      <c r="S638" s="14"/>
      <c r="T638" s="4"/>
      <c r="U638" t="s">
        <v>684</v>
      </c>
      <c r="Z638" s="1108" t="s">
        <v>2377</v>
      </c>
      <c r="AA638" s="1108"/>
      <c r="AB638" s="1108"/>
      <c r="AC638" s="1108"/>
      <c r="AD638" s="1108"/>
      <c r="AE638" s="1108"/>
      <c r="AH638" s="42" t="s">
        <v>857</v>
      </c>
      <c r="AI638" s="1279"/>
      <c r="AJ638" s="1279"/>
      <c r="AK638" s="1279"/>
      <c r="AM638" s="43"/>
      <c r="AN638" s="43"/>
      <c r="AO638" s="43"/>
      <c r="AP638" s="43"/>
      <c r="AQ638" s="43"/>
      <c r="AR638" s="43"/>
      <c r="AS638" s="43"/>
      <c r="AT638" s="43"/>
      <c r="AU638" s="43"/>
      <c r="AV638" s="43"/>
      <c r="AW638" s="43"/>
      <c r="AX638" s="43"/>
      <c r="AY638" s="43"/>
      <c r="AZ638" s="43"/>
      <c r="BN638" s="1494">
        <f>BN613+BN620+BN632</f>
        <v>0</v>
      </c>
      <c r="BO638" s="1495"/>
      <c r="BP638" s="1495"/>
      <c r="BQ638" s="1495"/>
      <c r="BR638" s="1496"/>
      <c r="BS638" s="1494">
        <f>BS613+BS620+BS632</f>
        <v>12</v>
      </c>
      <c r="BT638" s="1495"/>
      <c r="BU638" s="1495"/>
      <c r="BV638" s="1495"/>
      <c r="BW638" s="1496"/>
      <c r="BX638" s="1494">
        <f>BX613+BX620+BX632</f>
        <v>8</v>
      </c>
      <c r="BY638" s="1495"/>
      <c r="BZ638" s="1495"/>
      <c r="CA638" s="1495"/>
      <c r="CB638" s="1496"/>
      <c r="CC638" s="1494">
        <f>CC613+CC620+CC632</f>
        <v>9</v>
      </c>
      <c r="CD638" s="1495"/>
      <c r="CE638" s="1495"/>
      <c r="CF638" s="1495"/>
      <c r="CG638" s="1496"/>
      <c r="CH638" s="1494">
        <f>CH613+CH620+CH632</f>
        <v>0</v>
      </c>
      <c r="CI638" s="1495"/>
      <c r="CJ638" s="1495"/>
      <c r="CK638" s="1495"/>
      <c r="CL638" s="1496"/>
      <c r="CM638" s="1241">
        <f>CM632+CM620+CM613</f>
        <v>0</v>
      </c>
      <c r="CN638" s="1308"/>
      <c r="CO638" s="1308"/>
      <c r="CP638" s="1308"/>
      <c r="CQ638" s="1242"/>
      <c r="CR638" s="41"/>
      <c r="CS638" s="41"/>
    </row>
    <row r="639" spans="1:97" ht="12.9" customHeight="1">
      <c r="A639" s="4"/>
      <c r="B639" t="s">
        <v>873</v>
      </c>
      <c r="H639" s="1084" t="s">
        <v>2462</v>
      </c>
      <c r="I639" s="1084"/>
      <c r="J639" s="1084"/>
      <c r="K639" s="1084"/>
      <c r="L639" s="1084"/>
      <c r="M639" s="1084"/>
      <c r="N639" s="1084"/>
      <c r="O639" s="1084"/>
      <c r="P639" s="1084"/>
      <c r="Q639" s="1084"/>
      <c r="R639" s="1084"/>
      <c r="S639" s="12"/>
      <c r="T639" s="4"/>
      <c r="U639" t="s">
        <v>873</v>
      </c>
      <c r="AA639" s="1084" t="s">
        <v>2385</v>
      </c>
      <c r="AB639" s="1084"/>
      <c r="AC639" s="1084"/>
      <c r="AD639" s="1084"/>
      <c r="AE639" s="1084"/>
      <c r="AF639" s="1084"/>
      <c r="AG639" s="1084"/>
      <c r="AH639" s="1084"/>
      <c r="AI639" s="1084"/>
      <c r="AJ639" s="1084"/>
      <c r="AK639" s="108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 customHeight="1">
      <c r="A640" s="5"/>
      <c r="B640" t="s">
        <v>875</v>
      </c>
      <c r="N640" s="1109" t="s">
        <v>115</v>
      </c>
      <c r="O640" s="1109"/>
      <c r="T640" s="4"/>
      <c r="U640" t="s">
        <v>875</v>
      </c>
      <c r="AG640" s="1109" t="s">
        <v>115</v>
      </c>
      <c r="AH640" s="1109"/>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 customHeight="1">
      <c r="A642" s="61" t="s">
        <v>949</v>
      </c>
      <c r="B642" t="s">
        <v>89</v>
      </c>
      <c r="G642" s="1291">
        <f>C620</f>
        <v>0</v>
      </c>
      <c r="H642" s="1291"/>
      <c r="I642" s="1291"/>
      <c r="J642" s="1291"/>
      <c r="K642" s="1291"/>
      <c r="L642" s="1291"/>
      <c r="M642" s="1291"/>
      <c r="N642" s="1291"/>
      <c r="O642" s="1291"/>
      <c r="P642" s="1291"/>
      <c r="Q642" s="1291"/>
      <c r="R642" s="1291"/>
      <c r="T642" s="61" t="s">
        <v>458</v>
      </c>
      <c r="U642" t="s">
        <v>89</v>
      </c>
      <c r="Z642" s="1291">
        <f>C621</f>
        <v>0</v>
      </c>
      <c r="AA642" s="1291"/>
      <c r="AB642" s="1291"/>
      <c r="AC642" s="1291"/>
      <c r="AD642" s="1291"/>
      <c r="AE642" s="1291"/>
      <c r="AF642" s="1291"/>
      <c r="AG642" s="1291"/>
      <c r="AH642" s="1291"/>
      <c r="AI642" s="1291"/>
      <c r="AJ642" s="1291"/>
      <c r="AK642" s="12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 customHeight="1">
      <c r="A643" s="4"/>
      <c r="B643" t="s">
        <v>395</v>
      </c>
      <c r="G643" s="1084"/>
      <c r="H643" s="1084"/>
      <c r="I643" s="1084"/>
      <c r="J643" s="1084"/>
      <c r="K643" s="1084"/>
      <c r="L643" s="1084"/>
      <c r="M643" s="1084"/>
      <c r="N643" s="1084"/>
      <c r="O643" s="1084"/>
      <c r="P643" s="1084"/>
      <c r="Q643" s="1084"/>
      <c r="R643" s="1084"/>
      <c r="T643" s="4"/>
      <c r="U643" t="s">
        <v>395</v>
      </c>
      <c r="Z643" s="1084"/>
      <c r="AA643" s="1084"/>
      <c r="AB643" s="1084"/>
      <c r="AC643" s="1084"/>
      <c r="AD643" s="1084"/>
      <c r="AE643" s="1084"/>
      <c r="AF643" s="1084"/>
      <c r="AG643" s="1084"/>
      <c r="AH643" s="1084"/>
      <c r="AI643" s="1084"/>
      <c r="AJ643" s="1084"/>
      <c r="AK643" s="108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 customHeight="1">
      <c r="A644" s="4"/>
      <c r="B644" t="s">
        <v>457</v>
      </c>
      <c r="G644" s="1085"/>
      <c r="H644" s="1085"/>
      <c r="I644" s="1085"/>
      <c r="J644" s="1085"/>
      <c r="K644" s="1085"/>
      <c r="L644" s="1085"/>
      <c r="M644" s="1085"/>
      <c r="N644" s="1085"/>
      <c r="O644" s="1085"/>
      <c r="P644" s="1085"/>
      <c r="Q644" s="1085"/>
      <c r="R644" s="1085"/>
      <c r="T644" s="4"/>
      <c r="U644" t="s">
        <v>457</v>
      </c>
      <c r="Z644" s="1085"/>
      <c r="AA644" s="1085"/>
      <c r="AB644" s="1085"/>
      <c r="AC644" s="1085"/>
      <c r="AD644" s="1085"/>
      <c r="AE644" s="1085"/>
      <c r="AF644" s="1085"/>
      <c r="AG644" s="1085"/>
      <c r="AH644" s="1085"/>
      <c r="AI644" s="1085"/>
      <c r="AJ644" s="1085"/>
      <c r="AK644" s="1085"/>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 customHeight="1">
      <c r="A645" s="4"/>
      <c r="B645" t="s">
        <v>872</v>
      </c>
      <c r="G645" s="1085"/>
      <c r="H645" s="1085"/>
      <c r="I645" s="1085"/>
      <c r="J645" s="1085"/>
      <c r="K645" s="1085"/>
      <c r="L645" s="1085"/>
      <c r="M645" s="1085"/>
      <c r="N645" s="1085"/>
      <c r="O645" s="1085"/>
      <c r="P645" s="1085"/>
      <c r="Q645" s="1085"/>
      <c r="R645" s="1085"/>
      <c r="T645" s="4"/>
      <c r="U645" t="s">
        <v>872</v>
      </c>
      <c r="Z645" s="1085"/>
      <c r="AA645" s="1085"/>
      <c r="AB645" s="1085"/>
      <c r="AC645" s="1085"/>
      <c r="AD645" s="1085"/>
      <c r="AE645" s="1085"/>
      <c r="AF645" s="1085"/>
      <c r="AG645" s="1085"/>
      <c r="AH645" s="1085"/>
      <c r="AI645" s="1085"/>
      <c r="AJ645" s="1085"/>
      <c r="AK645" s="1085"/>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 customHeight="1">
      <c r="A646" s="4"/>
      <c r="B646" t="s">
        <v>684</v>
      </c>
      <c r="G646" s="1108"/>
      <c r="H646" s="1108"/>
      <c r="I646" s="1108"/>
      <c r="J646" s="1108"/>
      <c r="K646" s="1108"/>
      <c r="L646" s="1108"/>
      <c r="O646" s="42" t="s">
        <v>857</v>
      </c>
      <c r="P646" s="1279"/>
      <c r="Q646" s="1279"/>
      <c r="R646" s="1279"/>
      <c r="T646" s="4"/>
      <c r="U646" t="s">
        <v>684</v>
      </c>
      <c r="Z646" s="1108"/>
      <c r="AA646" s="1108"/>
      <c r="AB646" s="1108"/>
      <c r="AC646" s="1108"/>
      <c r="AD646" s="1108"/>
      <c r="AE646" s="1108"/>
      <c r="AH646" s="42" t="s">
        <v>857</v>
      </c>
      <c r="AI646" s="1279"/>
      <c r="AJ646" s="1279"/>
      <c r="AK646" s="1279"/>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 customHeight="1">
      <c r="A647" s="4"/>
      <c r="B647" t="s">
        <v>873</v>
      </c>
      <c r="H647" s="1084"/>
      <c r="I647" s="1084"/>
      <c r="J647" s="1084"/>
      <c r="K647" s="1084"/>
      <c r="L647" s="1084"/>
      <c r="M647" s="1084"/>
      <c r="N647" s="1084"/>
      <c r="O647" s="1084"/>
      <c r="P647" s="1084"/>
      <c r="Q647" s="1084"/>
      <c r="R647" s="1084"/>
      <c r="T647" s="4"/>
      <c r="U647" t="s">
        <v>873</v>
      </c>
      <c r="AA647" s="1084"/>
      <c r="AB647" s="1084"/>
      <c r="AC647" s="1084"/>
      <c r="AD647" s="1084"/>
      <c r="AE647" s="1084"/>
      <c r="AF647" s="1084"/>
      <c r="AG647" s="1084"/>
      <c r="AH647" s="1084"/>
      <c r="AI647" s="1084"/>
      <c r="AJ647" s="1084"/>
      <c r="AK647" s="108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 customHeight="1">
      <c r="B648" t="s">
        <v>875</v>
      </c>
      <c r="N648" s="1109" t="s">
        <v>509</v>
      </c>
      <c r="O648" s="1109"/>
      <c r="T648" s="4"/>
      <c r="U648" t="s">
        <v>875</v>
      </c>
      <c r="AG648" s="1109" t="s">
        <v>509</v>
      </c>
      <c r="AH648" s="1109"/>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 customHeight="1">
      <c r="A650" s="61" t="s">
        <v>181</v>
      </c>
      <c r="B650" t="s">
        <v>89</v>
      </c>
      <c r="G650" s="1291">
        <f>C622</f>
        <v>0</v>
      </c>
      <c r="H650" s="1291"/>
      <c r="I650" s="1291"/>
      <c r="J650" s="1291"/>
      <c r="K650" s="1291"/>
      <c r="L650" s="1291"/>
      <c r="M650" s="1291"/>
      <c r="N650" s="1291"/>
      <c r="O650" s="1291"/>
      <c r="P650" s="1291"/>
      <c r="Q650" s="1291"/>
      <c r="R650" s="1291"/>
      <c r="T650" s="61" t="s">
        <v>461</v>
      </c>
      <c r="U650" t="s">
        <v>89</v>
      </c>
      <c r="Z650" s="1291">
        <f>C623</f>
        <v>0</v>
      </c>
      <c r="AA650" s="1291"/>
      <c r="AB650" s="1291"/>
      <c r="AC650" s="1291"/>
      <c r="AD650" s="1291"/>
      <c r="AE650" s="1291"/>
      <c r="AF650" s="1291"/>
      <c r="AG650" s="1291"/>
      <c r="AH650" s="1291"/>
      <c r="AI650" s="1291"/>
      <c r="AJ650" s="1291"/>
      <c r="AK650" s="12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A651" s="4"/>
      <c r="B651" t="s">
        <v>395</v>
      </c>
      <c r="G651" s="1084"/>
      <c r="H651" s="1084"/>
      <c r="I651" s="1084"/>
      <c r="J651" s="1084"/>
      <c r="K651" s="1084"/>
      <c r="L651" s="1084"/>
      <c r="M651" s="1084"/>
      <c r="N651" s="1084"/>
      <c r="O651" s="1084"/>
      <c r="P651" s="1084"/>
      <c r="Q651" s="1084"/>
      <c r="R651" s="1084"/>
      <c r="T651" s="4"/>
      <c r="U651" t="s">
        <v>395</v>
      </c>
      <c r="Z651" s="1084"/>
      <c r="AA651" s="1084"/>
      <c r="AB651" s="1084"/>
      <c r="AC651" s="1084"/>
      <c r="AD651" s="1084"/>
      <c r="AE651" s="1084"/>
      <c r="AF651" s="1084"/>
      <c r="AG651" s="1084"/>
      <c r="AH651" s="1084"/>
      <c r="AI651" s="1084"/>
      <c r="AJ651" s="1084"/>
      <c r="AK651" s="108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 customHeight="1">
      <c r="A652" s="4"/>
      <c r="B652" t="s">
        <v>457</v>
      </c>
      <c r="G652" s="1084"/>
      <c r="H652" s="1084"/>
      <c r="I652" s="1084"/>
      <c r="J652" s="1084"/>
      <c r="K652" s="1084"/>
      <c r="L652" s="1084"/>
      <c r="M652" s="1084"/>
      <c r="N652" s="1084"/>
      <c r="O652" s="1084"/>
      <c r="P652" s="1084"/>
      <c r="Q652" s="1084"/>
      <c r="R652" s="1084"/>
      <c r="T652" s="4"/>
      <c r="U652" t="s">
        <v>457</v>
      </c>
      <c r="Z652" s="1085"/>
      <c r="AA652" s="1085"/>
      <c r="AB652" s="1085"/>
      <c r="AC652" s="1085"/>
      <c r="AD652" s="1085"/>
      <c r="AE652" s="1085"/>
      <c r="AF652" s="1085"/>
      <c r="AG652" s="1085"/>
      <c r="AH652" s="1085"/>
      <c r="AI652" s="1085"/>
      <c r="AJ652" s="1085"/>
      <c r="AK652" s="1085"/>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 customHeight="1">
      <c r="A653" s="4"/>
      <c r="B653" t="s">
        <v>872</v>
      </c>
      <c r="G653" s="1084"/>
      <c r="H653" s="1084"/>
      <c r="I653" s="1084"/>
      <c r="J653" s="1084"/>
      <c r="K653" s="1084"/>
      <c r="L653" s="1084"/>
      <c r="M653" s="1084"/>
      <c r="N653" s="1084"/>
      <c r="O653" s="1084"/>
      <c r="P653" s="1084"/>
      <c r="Q653" s="1084"/>
      <c r="R653" s="1084"/>
      <c r="T653" s="4"/>
      <c r="U653" t="s">
        <v>872</v>
      </c>
      <c r="Z653" s="1085"/>
      <c r="AA653" s="1085"/>
      <c r="AB653" s="1085"/>
      <c r="AC653" s="1085"/>
      <c r="AD653" s="1085"/>
      <c r="AE653" s="1085"/>
      <c r="AF653" s="1085"/>
      <c r="AG653" s="1085"/>
      <c r="AH653" s="1085"/>
      <c r="AI653" s="1085"/>
      <c r="AJ653" s="1085"/>
      <c r="AK653" s="1085"/>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684</v>
      </c>
      <c r="G654" s="1108"/>
      <c r="H654" s="1108"/>
      <c r="I654" s="1108"/>
      <c r="J654" s="1108"/>
      <c r="K654" s="1108"/>
      <c r="L654" s="1108"/>
      <c r="O654" s="42" t="s">
        <v>857</v>
      </c>
      <c r="P654" s="1279"/>
      <c r="Q654" s="1279"/>
      <c r="R654" s="1279"/>
      <c r="T654" s="4"/>
      <c r="U654" t="s">
        <v>684</v>
      </c>
      <c r="Z654" s="1108"/>
      <c r="AA654" s="1108"/>
      <c r="AB654" s="1108"/>
      <c r="AC654" s="1108"/>
      <c r="AD654" s="1108"/>
      <c r="AE654" s="1108"/>
      <c r="AH654" s="42" t="s">
        <v>857</v>
      </c>
      <c r="AI654" s="1279"/>
      <c r="AJ654" s="1279"/>
      <c r="AK654" s="1279"/>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873</v>
      </c>
      <c r="H655" s="1084"/>
      <c r="I655" s="1084"/>
      <c r="J655" s="1084"/>
      <c r="K655" s="1084"/>
      <c r="L655" s="1084"/>
      <c r="M655" s="1084"/>
      <c r="N655" s="1084"/>
      <c r="O655" s="1084"/>
      <c r="P655" s="1084"/>
      <c r="Q655" s="1084"/>
      <c r="R655" s="1084"/>
      <c r="T655" s="4"/>
      <c r="U655" t="s">
        <v>873</v>
      </c>
      <c r="AA655" s="1084"/>
      <c r="AB655" s="1084"/>
      <c r="AC655" s="1084"/>
      <c r="AD655" s="1084"/>
      <c r="AE655" s="1084"/>
      <c r="AF655" s="1084"/>
      <c r="AG655" s="1084"/>
      <c r="AH655" s="1084"/>
      <c r="AI655" s="1084"/>
      <c r="AJ655" s="1084"/>
      <c r="AK655" s="108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B656" t="s">
        <v>875</v>
      </c>
      <c r="N656" s="1109" t="s">
        <v>509</v>
      </c>
      <c r="O656" s="1109"/>
      <c r="T656" s="4"/>
      <c r="U656" t="s">
        <v>875</v>
      </c>
      <c r="AG656" s="1109" t="s">
        <v>509</v>
      </c>
      <c r="AH656" s="110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61" t="s">
        <v>776</v>
      </c>
      <c r="B658" t="s">
        <v>89</v>
      </c>
      <c r="G658" s="1291">
        <f>C624</f>
        <v>0</v>
      </c>
      <c r="H658" s="1291"/>
      <c r="I658" s="1291"/>
      <c r="J658" s="1291"/>
      <c r="K658" s="1291"/>
      <c r="L658" s="1291"/>
      <c r="M658" s="1291"/>
      <c r="N658" s="1291"/>
      <c r="O658" s="1291"/>
      <c r="P658" s="1291"/>
      <c r="Q658" s="1291"/>
      <c r="R658" s="1291"/>
      <c r="T658" s="61" t="s">
        <v>777</v>
      </c>
      <c r="U658" t="s">
        <v>89</v>
      </c>
      <c r="Z658" s="1291">
        <f>C625</f>
        <v>0</v>
      </c>
      <c r="AA658" s="1291"/>
      <c r="AB658" s="1291"/>
      <c r="AC658" s="1291"/>
      <c r="AD658" s="1291"/>
      <c r="AE658" s="1291"/>
      <c r="AF658" s="1291"/>
      <c r="AG658" s="1291"/>
      <c r="AH658" s="1291"/>
      <c r="AI658" s="1291"/>
      <c r="AJ658" s="1291"/>
      <c r="AK658" s="12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A659" s="4"/>
      <c r="B659" t="s">
        <v>395</v>
      </c>
      <c r="G659" s="1084"/>
      <c r="H659" s="1084"/>
      <c r="I659" s="1084"/>
      <c r="J659" s="1084"/>
      <c r="K659" s="1084"/>
      <c r="L659" s="1084"/>
      <c r="M659" s="1084"/>
      <c r="N659" s="1084"/>
      <c r="O659" s="1084"/>
      <c r="P659" s="1084"/>
      <c r="Q659" s="1084"/>
      <c r="R659" s="1084"/>
      <c r="T659" s="4"/>
      <c r="U659" t="s">
        <v>395</v>
      </c>
      <c r="Z659" s="1084"/>
      <c r="AA659" s="1084"/>
      <c r="AB659" s="1084"/>
      <c r="AC659" s="1084"/>
      <c r="AD659" s="1084"/>
      <c r="AE659" s="1084"/>
      <c r="AF659" s="1084"/>
      <c r="AG659" s="1084"/>
      <c r="AH659" s="1084"/>
      <c r="AI659" s="1084"/>
      <c r="AJ659" s="1084"/>
      <c r="AK659" s="108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B660" t="s">
        <v>457</v>
      </c>
      <c r="G660" s="1084"/>
      <c r="H660" s="1084"/>
      <c r="I660" s="1084"/>
      <c r="J660" s="1084"/>
      <c r="K660" s="1084"/>
      <c r="L660" s="1084"/>
      <c r="M660" s="1084"/>
      <c r="N660" s="1084"/>
      <c r="O660" s="1084"/>
      <c r="P660" s="1084"/>
      <c r="Q660" s="1084"/>
      <c r="R660" s="1084"/>
      <c r="T660" s="4"/>
      <c r="U660" t="s">
        <v>457</v>
      </c>
      <c r="Z660" s="1085"/>
      <c r="AA660" s="1085"/>
      <c r="AB660" s="1085"/>
      <c r="AC660" s="1085"/>
      <c r="AD660" s="1085"/>
      <c r="AE660" s="1085"/>
      <c r="AF660" s="1085"/>
      <c r="AG660" s="1085"/>
      <c r="AH660" s="1085"/>
      <c r="AI660" s="1085"/>
      <c r="AJ660" s="1085"/>
      <c r="AK660" s="108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4"/>
      <c r="B661" t="s">
        <v>872</v>
      </c>
      <c r="G661" s="1084"/>
      <c r="H661" s="1084"/>
      <c r="I661" s="1084"/>
      <c r="J661" s="1084"/>
      <c r="K661" s="1084"/>
      <c r="L661" s="1084"/>
      <c r="M661" s="1084"/>
      <c r="N661" s="1084"/>
      <c r="O661" s="1084"/>
      <c r="P661" s="1084"/>
      <c r="Q661" s="1084"/>
      <c r="R661" s="1084"/>
      <c r="T661" s="4"/>
      <c r="U661" t="s">
        <v>872</v>
      </c>
      <c r="Z661" s="1085"/>
      <c r="AA661" s="1085"/>
      <c r="AB661" s="1085"/>
      <c r="AC661" s="1085"/>
      <c r="AD661" s="1085"/>
      <c r="AE661" s="1085"/>
      <c r="AF661" s="1085"/>
      <c r="AG661" s="1085"/>
      <c r="AH661" s="1085"/>
      <c r="AI661" s="1085"/>
      <c r="AJ661" s="1085"/>
      <c r="AK661" s="10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684</v>
      </c>
      <c r="G662" s="1108"/>
      <c r="H662" s="1108"/>
      <c r="I662" s="1108"/>
      <c r="J662" s="1108"/>
      <c r="K662" s="1108"/>
      <c r="L662" s="1108"/>
      <c r="O662" s="42" t="s">
        <v>857</v>
      </c>
      <c r="P662" s="1279"/>
      <c r="Q662" s="1279"/>
      <c r="R662" s="1279"/>
      <c r="T662" s="4"/>
      <c r="U662" t="s">
        <v>684</v>
      </c>
      <c r="Z662" s="1108"/>
      <c r="AA662" s="1108"/>
      <c r="AB662" s="1108"/>
      <c r="AC662" s="1108"/>
      <c r="AD662" s="1108"/>
      <c r="AE662" s="1108"/>
      <c r="AH662" s="42" t="s">
        <v>857</v>
      </c>
      <c r="AI662" s="1279"/>
      <c r="AJ662" s="1279"/>
      <c r="AK662" s="127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873</v>
      </c>
      <c r="H663" s="1084"/>
      <c r="I663" s="1084"/>
      <c r="J663" s="1084"/>
      <c r="K663" s="1084"/>
      <c r="L663" s="1084"/>
      <c r="M663" s="1084"/>
      <c r="N663" s="1084"/>
      <c r="O663" s="1084"/>
      <c r="P663" s="1084"/>
      <c r="Q663" s="1084"/>
      <c r="R663" s="1084"/>
      <c r="T663" s="4"/>
      <c r="U663" t="s">
        <v>873</v>
      </c>
      <c r="AA663" s="1084"/>
      <c r="AB663" s="1084"/>
      <c r="AC663" s="1084"/>
      <c r="AD663" s="1084"/>
      <c r="AE663" s="1084"/>
      <c r="AF663" s="1084"/>
      <c r="AG663" s="1084"/>
      <c r="AH663" s="1084"/>
      <c r="AI663" s="1084"/>
      <c r="AJ663" s="1084"/>
      <c r="AK663" s="108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B664" t="s">
        <v>875</v>
      </c>
      <c r="N664" s="1109" t="s">
        <v>509</v>
      </c>
      <c r="O664" s="1109"/>
      <c r="T664" s="4"/>
      <c r="U664" t="s">
        <v>875</v>
      </c>
      <c r="AG664" s="1109" t="s">
        <v>509</v>
      </c>
      <c r="AH664" s="110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61" t="s">
        <v>575</v>
      </c>
      <c r="B666" t="s">
        <v>89</v>
      </c>
      <c r="G666" s="1291">
        <f>C626</f>
        <v>0</v>
      </c>
      <c r="H666" s="1291"/>
      <c r="I666" s="1291"/>
      <c r="J666" s="1291"/>
      <c r="K666" s="1291"/>
      <c r="L666" s="1291"/>
      <c r="M666" s="1291"/>
      <c r="N666" s="1291"/>
      <c r="O666" s="1291"/>
      <c r="P666" s="1291"/>
      <c r="Q666" s="1291"/>
      <c r="R666" s="1291"/>
      <c r="T666" s="61" t="s">
        <v>184</v>
      </c>
      <c r="U666" t="s">
        <v>89</v>
      </c>
      <c r="Z666" s="1291">
        <f>C627</f>
        <v>0</v>
      </c>
      <c r="AA666" s="1291"/>
      <c r="AB666" s="1291"/>
      <c r="AC666" s="1291"/>
      <c r="AD666" s="1291"/>
      <c r="AE666" s="1291"/>
      <c r="AF666" s="1291"/>
      <c r="AG666" s="1291"/>
      <c r="AH666" s="1291"/>
      <c r="AI666" s="1291"/>
      <c r="AJ666" s="1291"/>
      <c r="AK666" s="12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A667" s="4"/>
      <c r="B667" t="s">
        <v>395</v>
      </c>
      <c r="G667" s="1084"/>
      <c r="H667" s="1084"/>
      <c r="I667" s="1084"/>
      <c r="J667" s="1084"/>
      <c r="K667" s="1084"/>
      <c r="L667" s="1084"/>
      <c r="M667" s="1084"/>
      <c r="N667" s="1084"/>
      <c r="O667" s="1084"/>
      <c r="P667" s="1084"/>
      <c r="Q667" s="1084"/>
      <c r="R667" s="1084"/>
      <c r="T667" s="4"/>
      <c r="U667" t="s">
        <v>395</v>
      </c>
      <c r="Z667" s="1084"/>
      <c r="AA667" s="1084"/>
      <c r="AB667" s="1084"/>
      <c r="AC667" s="1084"/>
      <c r="AD667" s="1084"/>
      <c r="AE667" s="1084"/>
      <c r="AF667" s="1084"/>
      <c r="AG667" s="1084"/>
      <c r="AH667" s="1084"/>
      <c r="AI667" s="1084"/>
      <c r="AJ667" s="1084"/>
      <c r="AK667" s="108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B668" t="s">
        <v>457</v>
      </c>
      <c r="G668" s="1084"/>
      <c r="H668" s="1084"/>
      <c r="I668" s="1084"/>
      <c r="J668" s="1084"/>
      <c r="K668" s="1084"/>
      <c r="L668" s="1084"/>
      <c r="M668" s="1084"/>
      <c r="N668" s="1084"/>
      <c r="O668" s="1084"/>
      <c r="P668" s="1084"/>
      <c r="Q668" s="1084"/>
      <c r="R668" s="1084"/>
      <c r="T668" s="4"/>
      <c r="U668" t="s">
        <v>457</v>
      </c>
      <c r="Z668" s="1085"/>
      <c r="AA668" s="1085"/>
      <c r="AB668" s="1085"/>
      <c r="AC668" s="1085"/>
      <c r="AD668" s="1085"/>
      <c r="AE668" s="1085"/>
      <c r="AF668" s="1085"/>
      <c r="AG668" s="1085"/>
      <c r="AH668" s="1085"/>
      <c r="AI668" s="1085"/>
      <c r="AJ668" s="1085"/>
      <c r="AK668" s="1085"/>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4"/>
      <c r="B669" t="s">
        <v>872</v>
      </c>
      <c r="G669" s="1084"/>
      <c r="H669" s="1084"/>
      <c r="I669" s="1084"/>
      <c r="J669" s="1084"/>
      <c r="K669" s="1084"/>
      <c r="L669" s="1084"/>
      <c r="M669" s="1084"/>
      <c r="N669" s="1084"/>
      <c r="O669" s="1084"/>
      <c r="P669" s="1084"/>
      <c r="Q669" s="1084"/>
      <c r="R669" s="1084"/>
      <c r="T669" s="4"/>
      <c r="U669" t="s">
        <v>872</v>
      </c>
      <c r="Z669" s="1085"/>
      <c r="AA669" s="1085"/>
      <c r="AB669" s="1085"/>
      <c r="AC669" s="1085"/>
      <c r="AD669" s="1085"/>
      <c r="AE669" s="1085"/>
      <c r="AF669" s="1085"/>
      <c r="AG669" s="1085"/>
      <c r="AH669" s="1085"/>
      <c r="AI669" s="1085"/>
      <c r="AJ669" s="1085"/>
      <c r="AK669" s="1085"/>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684</v>
      </c>
      <c r="G670" s="1108"/>
      <c r="H670" s="1108"/>
      <c r="I670" s="1108"/>
      <c r="J670" s="1108"/>
      <c r="K670" s="1108"/>
      <c r="L670" s="1108"/>
      <c r="O670" s="42" t="s">
        <v>857</v>
      </c>
      <c r="P670" s="1279"/>
      <c r="Q670" s="1279"/>
      <c r="R670" s="1279"/>
      <c r="T670" s="4"/>
      <c r="U670" t="s">
        <v>684</v>
      </c>
      <c r="Z670" s="1108"/>
      <c r="AA670" s="1108"/>
      <c r="AB670" s="1108"/>
      <c r="AC670" s="1108"/>
      <c r="AD670" s="1108"/>
      <c r="AE670" s="1108"/>
      <c r="AH670" s="42" t="s">
        <v>857</v>
      </c>
      <c r="AI670" s="1279"/>
      <c r="AJ670" s="1279"/>
      <c r="AK670" s="1279"/>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873</v>
      </c>
      <c r="H671" s="1084"/>
      <c r="I671" s="1084"/>
      <c r="J671" s="1084"/>
      <c r="K671" s="1084"/>
      <c r="L671" s="1084"/>
      <c r="M671" s="1084"/>
      <c r="N671" s="1084"/>
      <c r="O671" s="1084"/>
      <c r="P671" s="1084"/>
      <c r="Q671" s="1084"/>
      <c r="R671" s="1084"/>
      <c r="T671" s="4"/>
      <c r="U671" t="s">
        <v>873</v>
      </c>
      <c r="AA671" s="1084"/>
      <c r="AB671" s="1084"/>
      <c r="AC671" s="1084"/>
      <c r="AD671" s="1084"/>
      <c r="AE671" s="1084"/>
      <c r="AF671" s="1084"/>
      <c r="AG671" s="1084"/>
      <c r="AH671" s="1084"/>
      <c r="AI671" s="1084"/>
      <c r="AJ671" s="1084"/>
      <c r="AK671" s="1084"/>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B672" t="s">
        <v>875</v>
      </c>
      <c r="N672" s="1109" t="s">
        <v>509</v>
      </c>
      <c r="O672" s="1109"/>
      <c r="T672" s="4"/>
      <c r="U672" t="s">
        <v>875</v>
      </c>
      <c r="AG672" s="1109" t="s">
        <v>509</v>
      </c>
      <c r="AH672" s="1109"/>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 customHeight="1">
      <c r="A674" s="61" t="s">
        <v>36</v>
      </c>
      <c r="B674" t="s">
        <v>89</v>
      </c>
      <c r="G674" s="1291">
        <f>C628</f>
        <v>0</v>
      </c>
      <c r="H674" s="1291"/>
      <c r="I674" s="1291"/>
      <c r="J674" s="1291"/>
      <c r="K674" s="1291"/>
      <c r="L674" s="1291"/>
      <c r="M674" s="1291"/>
      <c r="N674" s="1291"/>
      <c r="O674" s="1291"/>
      <c r="P674" s="1291"/>
      <c r="Q674" s="1291"/>
      <c r="R674" s="1291"/>
      <c r="T674" s="61" t="s">
        <v>37</v>
      </c>
      <c r="U674" t="s">
        <v>89</v>
      </c>
      <c r="Z674" s="1291">
        <f>C629</f>
        <v>0</v>
      </c>
      <c r="AA674" s="1291"/>
      <c r="AB674" s="1291"/>
      <c r="AC674" s="1291"/>
      <c r="AD674" s="1291"/>
      <c r="AE674" s="1291"/>
      <c r="AF674" s="1291"/>
      <c r="AG674" s="1291"/>
      <c r="AH674" s="1291"/>
      <c r="AI674" s="1291"/>
      <c r="AJ674" s="1291"/>
      <c r="AK674" s="1291"/>
      <c r="AM674" s="43"/>
      <c r="BA674" s="262" t="s">
        <v>318</v>
      </c>
      <c r="BB674" s="43"/>
      <c r="BC674" s="43"/>
      <c r="BD674" s="43"/>
      <c r="BE674" s="43"/>
      <c r="BF674" s="43"/>
      <c r="BG674" s="3" t="s">
        <v>1181</v>
      </c>
      <c r="BH674" s="43"/>
      <c r="BI674" s="43"/>
      <c r="BJ674" s="43"/>
      <c r="BK674" s="43"/>
      <c r="BL674" s="43"/>
      <c r="BM674" s="41"/>
      <c r="BN674" s="41"/>
      <c r="BO674" s="41"/>
      <c r="BP674" s="577" t="s">
        <v>317</v>
      </c>
      <c r="BQ674" s="578" t="s">
        <v>468</v>
      </c>
      <c r="BR674" s="578" t="s">
        <v>469</v>
      </c>
      <c r="BS674" s="578" t="s">
        <v>815</v>
      </c>
      <c r="BT674" s="578" t="s">
        <v>816</v>
      </c>
      <c r="BU674" s="578" t="s">
        <v>817</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 customHeight="1">
      <c r="B675" t="s">
        <v>395</v>
      </c>
      <c r="G675" s="1084"/>
      <c r="H675" s="1084"/>
      <c r="I675" s="1084"/>
      <c r="J675" s="1084"/>
      <c r="K675" s="1084"/>
      <c r="L675" s="1084"/>
      <c r="M675" s="1084"/>
      <c r="N675" s="1084"/>
      <c r="O675" s="1084"/>
      <c r="P675" s="1084"/>
      <c r="Q675" s="1084"/>
      <c r="R675" s="1084"/>
      <c r="T675" s="4"/>
      <c r="U675" t="s">
        <v>395</v>
      </c>
      <c r="Z675" s="1084"/>
      <c r="AA675" s="1084"/>
      <c r="AB675" s="1084"/>
      <c r="AC675" s="1084"/>
      <c r="AD675" s="1084"/>
      <c r="AE675" s="1084"/>
      <c r="AF675" s="1084"/>
      <c r="AG675" s="1084"/>
      <c r="AH675" s="1084"/>
      <c r="AI675" s="1084"/>
      <c r="AJ675" s="1084"/>
      <c r="AK675" s="1084"/>
      <c r="AM675" s="43"/>
      <c r="BA675" s="43">
        <f>IF($G692=0,"N/A",VLOOKUP($T$189,TC_Rent,(MATCH($B692,bedrooms,FALSE))))</f>
        <v>2010</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 customHeight="1">
      <c r="B676" t="s">
        <v>457</v>
      </c>
      <c r="G676" s="1084"/>
      <c r="H676" s="1084"/>
      <c r="I676" s="1084"/>
      <c r="J676" s="1084"/>
      <c r="K676" s="1084"/>
      <c r="L676" s="1084"/>
      <c r="M676" s="1084"/>
      <c r="N676" s="1084"/>
      <c r="O676" s="1084"/>
      <c r="P676" s="1084"/>
      <c r="Q676" s="1084"/>
      <c r="R676" s="1084"/>
      <c r="U676" t="s">
        <v>457</v>
      </c>
      <c r="Z676" s="1085"/>
      <c r="AA676" s="1085"/>
      <c r="AB676" s="1085"/>
      <c r="AC676" s="1085"/>
      <c r="AD676" s="1085"/>
      <c r="AE676" s="1085"/>
      <c r="AF676" s="1085"/>
      <c r="AG676" s="1085"/>
      <c r="AH676" s="1085"/>
      <c r="AI676" s="1085"/>
      <c r="AJ676" s="1085"/>
      <c r="AK676" s="1085"/>
      <c r="AM676" s="43"/>
      <c r="BA676" s="43">
        <f t="shared" ref="BA676:BA699" si="24">IF($G693=0,"N/A",VLOOKUP($T$189,TC_Rent,(MATCH($B693,bedrooms,FALSE))))</f>
        <v>2010</v>
      </c>
      <c r="BB676" s="43"/>
      <c r="BC676" s="43"/>
      <c r="BD676" s="43"/>
      <c r="BE676" s="43"/>
      <c r="BF676" s="43"/>
      <c r="BG676" s="449">
        <f>G692</f>
        <v>1</v>
      </c>
      <c r="BH676" s="456">
        <f>BG676/$BG$701</f>
        <v>3.5714285714285712E-2</v>
      </c>
      <c r="BI676" s="458">
        <f>IF(BH676=0," ",BH676*AH692)</f>
        <v>1.0714285714285713E-2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 customHeight="1">
      <c r="B677" t="s">
        <v>872</v>
      </c>
      <c r="G677" s="1084"/>
      <c r="H677" s="1084"/>
      <c r="I677" s="1084"/>
      <c r="J677" s="1084"/>
      <c r="K677" s="1084"/>
      <c r="L677" s="1084"/>
      <c r="M677" s="1084"/>
      <c r="N677" s="1084"/>
      <c r="O677" s="1084"/>
      <c r="P677" s="1084"/>
      <c r="Q677" s="1084"/>
      <c r="R677" s="1084"/>
      <c r="U677" t="s">
        <v>872</v>
      </c>
      <c r="Z677" s="1085"/>
      <c r="AA677" s="1085"/>
      <c r="AB677" s="1085"/>
      <c r="AC677" s="1085"/>
      <c r="AD677" s="1085"/>
      <c r="AE677" s="1085"/>
      <c r="AF677" s="1085"/>
      <c r="AG677" s="1085"/>
      <c r="AH677" s="1085"/>
      <c r="AI677" s="1085"/>
      <c r="AJ677" s="1085"/>
      <c r="AK677" s="1085"/>
      <c r="AM677" s="43"/>
      <c r="BA677" s="43">
        <f t="shared" si="24"/>
        <v>2010</v>
      </c>
      <c r="BB677" s="43"/>
      <c r="BC677" s="43"/>
      <c r="BD677" s="43"/>
      <c r="BE677" s="43"/>
      <c r="BF677" s="43"/>
      <c r="BG677" s="450">
        <f t="shared" ref="BG677:BG700" si="25">G693</f>
        <v>2</v>
      </c>
      <c r="BH677" s="456">
        <f t="shared" ref="BH677:BH700" si="26">BG677/$BG$701</f>
        <v>7.1428571428571425E-2</v>
      </c>
      <c r="BI677" s="458">
        <f t="shared" ref="BI677:BI700" si="27">IF(BH677=0," ",BH677*AH693)</f>
        <v>2.8571428571428571E-2</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 customHeight="1">
      <c r="B678" t="s">
        <v>684</v>
      </c>
      <c r="G678" s="1108"/>
      <c r="H678" s="1108"/>
      <c r="I678" s="1108"/>
      <c r="J678" s="1108"/>
      <c r="K678" s="1108"/>
      <c r="L678" s="1108"/>
      <c r="O678" s="42" t="s">
        <v>857</v>
      </c>
      <c r="P678" s="1279"/>
      <c r="Q678" s="1279"/>
      <c r="R678" s="1279"/>
      <c r="U678" t="s">
        <v>684</v>
      </c>
      <c r="Z678" s="1108"/>
      <c r="AA678" s="1108"/>
      <c r="AB678" s="1108"/>
      <c r="AC678" s="1108"/>
      <c r="AD678" s="1108"/>
      <c r="AE678" s="1108"/>
      <c r="AH678" s="42" t="s">
        <v>857</v>
      </c>
      <c r="AI678" s="1279"/>
      <c r="AJ678" s="1279"/>
      <c r="AK678" s="1279"/>
      <c r="AM678" s="43"/>
      <c r="BA678" s="43">
        <f t="shared" si="24"/>
        <v>2010</v>
      </c>
      <c r="BB678" s="41"/>
      <c r="BC678" s="41"/>
      <c r="BD678" s="41"/>
      <c r="BE678" s="41"/>
      <c r="BF678" s="41"/>
      <c r="BG678" s="450">
        <f t="shared" si="25"/>
        <v>5</v>
      </c>
      <c r="BH678" s="456">
        <f t="shared" si="26"/>
        <v>0.17857142857142858</v>
      </c>
      <c r="BI678" s="458">
        <f t="shared" si="27"/>
        <v>8.9285714285714288E-2</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 customHeight="1">
      <c r="B679" t="s">
        <v>873</v>
      </c>
      <c r="H679" s="1084"/>
      <c r="I679" s="1084"/>
      <c r="J679" s="1084"/>
      <c r="K679" s="1084"/>
      <c r="L679" s="1084"/>
      <c r="M679" s="1084"/>
      <c r="N679" s="1084"/>
      <c r="O679" s="1084"/>
      <c r="P679" s="1084"/>
      <c r="Q679" s="1084"/>
      <c r="R679" s="1084"/>
      <c r="U679" t="s">
        <v>873</v>
      </c>
      <c r="AA679" s="1084"/>
      <c r="AB679" s="1084"/>
      <c r="AC679" s="1084"/>
      <c r="AD679" s="1084"/>
      <c r="AE679" s="1084"/>
      <c r="AF679" s="1084"/>
      <c r="AG679" s="1084"/>
      <c r="AH679" s="1084"/>
      <c r="AI679" s="1084"/>
      <c r="AJ679" s="1084"/>
      <c r="AK679" s="1084"/>
      <c r="AM679" s="41"/>
      <c r="BA679" s="43">
        <f t="shared" si="24"/>
        <v>2412</v>
      </c>
      <c r="BB679" s="41"/>
      <c r="BC679" s="41"/>
      <c r="BD679" s="41"/>
      <c r="BE679" s="41"/>
      <c r="BF679" s="41"/>
      <c r="BG679" s="450">
        <f t="shared" si="25"/>
        <v>4</v>
      </c>
      <c r="BH679" s="456">
        <f t="shared" si="26"/>
        <v>0.14285714285714285</v>
      </c>
      <c r="BI679" s="458">
        <f t="shared" si="27"/>
        <v>8.5714285714285701E-2</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 customHeight="1">
      <c r="B680" t="s">
        <v>875</v>
      </c>
      <c r="N680" s="1109" t="s">
        <v>509</v>
      </c>
      <c r="O680" s="1109"/>
      <c r="U680" t="s">
        <v>875</v>
      </c>
      <c r="AG680" s="1109" t="s">
        <v>509</v>
      </c>
      <c r="AH680" s="1109"/>
      <c r="AM680" s="41"/>
      <c r="BA680" s="43">
        <f t="shared" si="24"/>
        <v>2412</v>
      </c>
      <c r="BB680" s="41"/>
      <c r="BC680" s="41"/>
      <c r="BD680" s="41"/>
      <c r="BE680" s="41"/>
      <c r="BF680" s="41"/>
      <c r="BG680" s="450">
        <f t="shared" si="25"/>
        <v>1</v>
      </c>
      <c r="BH680" s="456">
        <f t="shared" si="26"/>
        <v>3.5714285714285712E-2</v>
      </c>
      <c r="BI680" s="458">
        <f t="shared" si="27"/>
        <v>1.0714285714285713E-2</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 customHeight="1">
      <c r="N681" s="1"/>
      <c r="O681" s="1"/>
      <c r="AG681" s="1"/>
      <c r="AH681" s="1"/>
      <c r="AM681" s="41"/>
      <c r="BA681" s="43">
        <f t="shared" si="24"/>
        <v>2412</v>
      </c>
      <c r="BB681" s="41"/>
      <c r="BC681" s="41"/>
      <c r="BD681" s="41"/>
      <c r="BE681" s="41"/>
      <c r="BF681" s="41"/>
      <c r="BG681" s="450">
        <f t="shared" si="25"/>
        <v>1</v>
      </c>
      <c r="BH681" s="456">
        <f t="shared" si="26"/>
        <v>3.5714285714285712E-2</v>
      </c>
      <c r="BI681" s="458">
        <f t="shared" si="27"/>
        <v>1.4285714285714285E-2</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 customHeight="1">
      <c r="AM682" s="41"/>
      <c r="BA682" s="43">
        <f t="shared" si="24"/>
        <v>2412</v>
      </c>
      <c r="BB682" s="41"/>
      <c r="BC682" s="41"/>
      <c r="BD682" s="41"/>
      <c r="BE682" s="41"/>
      <c r="BF682" s="41"/>
      <c r="BG682" s="450">
        <f t="shared" si="25"/>
        <v>3</v>
      </c>
      <c r="BH682" s="456">
        <f t="shared" si="26"/>
        <v>0.10714285714285714</v>
      </c>
      <c r="BI682" s="458">
        <f t="shared" si="27"/>
        <v>5.3571428571428568E-2</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 customHeight="1">
      <c r="A683" s="1144" t="s">
        <v>134</v>
      </c>
      <c r="B683" s="1144"/>
      <c r="C683" s="1144"/>
      <c r="D683" s="1144"/>
      <c r="E683" s="1144"/>
      <c r="F683" s="1144"/>
      <c r="G683" s="1144"/>
      <c r="H683" s="1144"/>
      <c r="I683" s="1144"/>
      <c r="J683" s="1144"/>
      <c r="K683" s="1144"/>
      <c r="L683" s="1144"/>
      <c r="M683" s="1144"/>
      <c r="N683" s="1144"/>
      <c r="O683" s="1144"/>
      <c r="P683" s="1144"/>
      <c r="Q683" s="1144"/>
      <c r="R683" s="1144"/>
      <c r="S683" s="1144"/>
      <c r="T683" s="1144"/>
      <c r="U683" s="1144"/>
      <c r="V683" s="1144"/>
      <c r="W683" s="1144"/>
      <c r="X683" s="1144"/>
      <c r="Y683" s="1144"/>
      <c r="Z683" s="1144"/>
      <c r="AA683" s="1144"/>
      <c r="AB683" s="1144"/>
      <c r="AC683" s="1144"/>
      <c r="AD683" s="1144"/>
      <c r="AE683" s="1144"/>
      <c r="AF683" s="1144"/>
      <c r="AG683" s="1144"/>
      <c r="AH683" s="1144"/>
      <c r="AI683" s="1144"/>
      <c r="AJ683" s="1144"/>
      <c r="AK683" s="1144"/>
      <c r="AL683" s="1144"/>
      <c r="AM683" s="1144"/>
      <c r="AN683" s="1144"/>
      <c r="AO683" s="1144"/>
      <c r="AP683" s="1144"/>
      <c r="AQ683" s="1144"/>
      <c r="AR683" s="1144"/>
      <c r="AS683" s="1144"/>
      <c r="BA683" s="43">
        <f t="shared" si="24"/>
        <v>2786</v>
      </c>
      <c r="BB683" s="41"/>
      <c r="BC683" s="41"/>
      <c r="BD683" s="41"/>
      <c r="BE683" s="41"/>
      <c r="BF683" s="41"/>
      <c r="BG683" s="450">
        <f t="shared" si="25"/>
        <v>2</v>
      </c>
      <c r="BH683" s="456">
        <f t="shared" si="26"/>
        <v>7.1428571428571425E-2</v>
      </c>
      <c r="BI683" s="458">
        <f t="shared" si="27"/>
        <v>4.2857142857142851E-2</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 customHeight="1">
      <c r="A684" s="1144"/>
      <c r="B684" s="1144"/>
      <c r="C684" s="1144"/>
      <c r="D684" s="1144"/>
      <c r="E684" s="1144"/>
      <c r="F684" s="1144"/>
      <c r="G684" s="1144"/>
      <c r="H684" s="1144"/>
      <c r="I684" s="1144"/>
      <c r="J684" s="1144"/>
      <c r="K684" s="1144"/>
      <c r="L684" s="1144"/>
      <c r="M684" s="1144"/>
      <c r="N684" s="1144"/>
      <c r="O684" s="1144"/>
      <c r="P684" s="1144"/>
      <c r="Q684" s="1144"/>
      <c r="R684" s="1144"/>
      <c r="S684" s="1144"/>
      <c r="T684" s="1144"/>
      <c r="U684" s="1144"/>
      <c r="V684" s="1144"/>
      <c r="W684" s="1144"/>
      <c r="X684" s="1144"/>
      <c r="Y684" s="1144"/>
      <c r="Z684" s="1144"/>
      <c r="AA684" s="1144"/>
      <c r="AB684" s="1144"/>
      <c r="AC684" s="1144"/>
      <c r="AD684" s="1144"/>
      <c r="AE684" s="1144"/>
      <c r="AF684" s="1144"/>
      <c r="AG684" s="1144"/>
      <c r="AH684" s="1144"/>
      <c r="AI684" s="1144"/>
      <c r="AJ684" s="1144"/>
      <c r="AK684" s="1144"/>
      <c r="AL684" s="1144"/>
      <c r="AM684" s="1144"/>
      <c r="AN684" s="1144"/>
      <c r="AO684" s="1144"/>
      <c r="AP684" s="1144"/>
      <c r="AQ684" s="1144"/>
      <c r="AR684" s="1144"/>
      <c r="AS684" s="1144"/>
      <c r="BA684" s="43">
        <f t="shared" si="24"/>
        <v>2786</v>
      </c>
      <c r="BE684" s="41"/>
      <c r="BF684" s="41"/>
      <c r="BG684" s="450">
        <f t="shared" si="25"/>
        <v>1</v>
      </c>
      <c r="BH684" s="456">
        <f t="shared" si="26"/>
        <v>3.5714285714285712E-2</v>
      </c>
      <c r="BI684" s="458">
        <f t="shared" si="27"/>
        <v>1.0714285714285713E-2</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 customHeight="1">
      <c r="A685" s="1144"/>
      <c r="B685" s="1144"/>
      <c r="C685" s="1144"/>
      <c r="D685" s="1144"/>
      <c r="E685" s="1144"/>
      <c r="F685" s="1144"/>
      <c r="G685" s="1144"/>
      <c r="H685" s="1144"/>
      <c r="I685" s="1144"/>
      <c r="J685" s="1144"/>
      <c r="K685" s="1144"/>
      <c r="L685" s="1144"/>
      <c r="M685" s="1144"/>
      <c r="N685" s="1144"/>
      <c r="O685" s="1144"/>
      <c r="P685" s="1144"/>
      <c r="Q685" s="1144"/>
      <c r="R685" s="1144"/>
      <c r="S685" s="1144"/>
      <c r="T685" s="1144"/>
      <c r="U685" s="1144"/>
      <c r="V685" s="1144"/>
      <c r="W685" s="1144"/>
      <c r="X685" s="1144"/>
      <c r="Y685" s="1144"/>
      <c r="Z685" s="1144"/>
      <c r="AA685" s="1144"/>
      <c r="AB685" s="1144"/>
      <c r="AC685" s="1144"/>
      <c r="AD685" s="1144"/>
      <c r="AE685" s="1144"/>
      <c r="AF685" s="1144"/>
      <c r="AG685" s="1144"/>
      <c r="AH685" s="1144"/>
      <c r="AI685" s="1144"/>
      <c r="AJ685" s="1144"/>
      <c r="AK685" s="1144"/>
      <c r="AL685" s="1144"/>
      <c r="AM685" s="1144"/>
      <c r="AN685" s="1144"/>
      <c r="AO685" s="1144"/>
      <c r="AP685" s="1144"/>
      <c r="AQ685" s="1144"/>
      <c r="AR685" s="1144"/>
      <c r="AS685" s="1144"/>
      <c r="BA685" s="43">
        <f t="shared" si="24"/>
        <v>2786</v>
      </c>
      <c r="BE685" s="41"/>
      <c r="BF685" s="41"/>
      <c r="BG685" s="450">
        <f t="shared" si="25"/>
        <v>2</v>
      </c>
      <c r="BH685" s="456">
        <f t="shared" si="26"/>
        <v>7.1428571428571425E-2</v>
      </c>
      <c r="BI685" s="458">
        <f t="shared" si="27"/>
        <v>2.8571428571428571E-2</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 customHeight="1">
      <c r="A686" s="3" t="s">
        <v>687</v>
      </c>
      <c r="B686" s="3"/>
      <c r="C686" s="3" t="s">
        <v>874</v>
      </c>
      <c r="BA686" s="43">
        <f t="shared" si="24"/>
        <v>2786</v>
      </c>
      <c r="BE686" s="41"/>
      <c r="BF686" s="41"/>
      <c r="BG686" s="450">
        <f t="shared" si="25"/>
        <v>4</v>
      </c>
      <c r="BH686" s="456">
        <f t="shared" si="26"/>
        <v>0.14285714285714285</v>
      </c>
      <c r="BI686" s="458">
        <f t="shared" si="27"/>
        <v>7.1428571428571425E-2</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 customHeight="1">
      <c r="A687" s="3"/>
      <c r="B687" s="846"/>
      <c r="C687" s="3"/>
      <c r="BA687" s="43" t="str">
        <f t="shared" si="24"/>
        <v>N/A</v>
      </c>
      <c r="BE687" s="41"/>
      <c r="BF687" s="41"/>
      <c r="BG687" s="450">
        <f t="shared" si="25"/>
        <v>2</v>
      </c>
      <c r="BH687" s="456">
        <f t="shared" si="26"/>
        <v>7.1428571428571425E-2</v>
      </c>
      <c r="BI687" s="458">
        <f t="shared" si="27"/>
        <v>4.2857142857142851E-2</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 customHeight="1">
      <c r="B688" s="1247" t="s">
        <v>57</v>
      </c>
      <c r="C688" s="1248"/>
      <c r="D688" s="1248"/>
      <c r="E688" s="1248"/>
      <c r="F688" s="1249"/>
      <c r="G688" s="1247" t="s">
        <v>269</v>
      </c>
      <c r="H688" s="1248"/>
      <c r="I688" s="1248"/>
      <c r="J688" s="1249"/>
      <c r="K688" s="1497" t="s">
        <v>2087</v>
      </c>
      <c r="L688" s="1498"/>
      <c r="M688" s="1498"/>
      <c r="N688" s="1499"/>
      <c r="O688" s="1247" t="s">
        <v>623</v>
      </c>
      <c r="P688" s="1248"/>
      <c r="Q688" s="1248"/>
      <c r="R688" s="1248"/>
      <c r="S688" s="1249"/>
      <c r="T688" s="1247" t="s">
        <v>270</v>
      </c>
      <c r="U688" s="1248"/>
      <c r="V688" s="1248"/>
      <c r="W688" s="1248"/>
      <c r="X688" s="1249"/>
      <c r="Y688" s="1247" t="s">
        <v>271</v>
      </c>
      <c r="Z688" s="1248"/>
      <c r="AA688" s="1248"/>
      <c r="AB688" s="1249"/>
      <c r="AC688" s="1247" t="s">
        <v>272</v>
      </c>
      <c r="AD688" s="1248"/>
      <c r="AE688" s="1248"/>
      <c r="AF688" s="1248"/>
      <c r="AG688" s="1249"/>
      <c r="AH688" s="1247" t="s">
        <v>2088</v>
      </c>
      <c r="AI688" s="1248"/>
      <c r="AJ688" s="1248"/>
      <c r="AK688" s="1248"/>
      <c r="AL688" s="1249"/>
      <c r="AM688" s="1247" t="s">
        <v>2089</v>
      </c>
      <c r="AN688" s="1248"/>
      <c r="AO688" s="1249"/>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 customHeight="1">
      <c r="B689" s="1250"/>
      <c r="C689" s="1251"/>
      <c r="D689" s="1251"/>
      <c r="E689" s="1251"/>
      <c r="F689" s="1252"/>
      <c r="G689" s="1250"/>
      <c r="H689" s="1251"/>
      <c r="I689" s="1251"/>
      <c r="J689" s="1252"/>
      <c r="K689" s="1500"/>
      <c r="L689" s="1501"/>
      <c r="M689" s="1501"/>
      <c r="N689" s="1502"/>
      <c r="O689" s="1250"/>
      <c r="P689" s="1251"/>
      <c r="Q689" s="1251"/>
      <c r="R689" s="1251"/>
      <c r="S689" s="1252"/>
      <c r="T689" s="1250"/>
      <c r="U689" s="1251"/>
      <c r="V689" s="1251"/>
      <c r="W689" s="1251"/>
      <c r="X689" s="1252"/>
      <c r="Y689" s="1250"/>
      <c r="Z689" s="1251"/>
      <c r="AA689" s="1251"/>
      <c r="AB689" s="1252"/>
      <c r="AC689" s="1250"/>
      <c r="AD689" s="1251"/>
      <c r="AE689" s="1251"/>
      <c r="AF689" s="1251"/>
      <c r="AG689" s="1252"/>
      <c r="AH689" s="1250"/>
      <c r="AI689" s="1251"/>
      <c r="AJ689" s="1251"/>
      <c r="AK689" s="1251"/>
      <c r="AL689" s="1252"/>
      <c r="AM689" s="1250"/>
      <c r="AN689" s="1251"/>
      <c r="AO689" s="1252"/>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 customHeight="1">
      <c r="A690" s="41"/>
      <c r="B690" s="1250"/>
      <c r="C690" s="1251"/>
      <c r="D690" s="1251"/>
      <c r="E690" s="1251"/>
      <c r="F690" s="1252"/>
      <c r="G690" s="1250"/>
      <c r="H690" s="1251"/>
      <c r="I690" s="1251"/>
      <c r="J690" s="1252"/>
      <c r="K690" s="1500"/>
      <c r="L690" s="1501"/>
      <c r="M690" s="1501"/>
      <c r="N690" s="1502"/>
      <c r="O690" s="1250"/>
      <c r="P690" s="1251"/>
      <c r="Q690" s="1251"/>
      <c r="R690" s="1251"/>
      <c r="S690" s="1252"/>
      <c r="T690" s="1250"/>
      <c r="U690" s="1251"/>
      <c r="V690" s="1251"/>
      <c r="W690" s="1251"/>
      <c r="X690" s="1252"/>
      <c r="Y690" s="1250"/>
      <c r="Z690" s="1251"/>
      <c r="AA690" s="1251"/>
      <c r="AB690" s="1252"/>
      <c r="AC690" s="1250"/>
      <c r="AD690" s="1251"/>
      <c r="AE690" s="1251"/>
      <c r="AF690" s="1251"/>
      <c r="AG690" s="1252"/>
      <c r="AH690" s="1250"/>
      <c r="AI690" s="1251"/>
      <c r="AJ690" s="1251"/>
      <c r="AK690" s="1251"/>
      <c r="AL690" s="1252"/>
      <c r="AM690" s="1250"/>
      <c r="AN690" s="1251"/>
      <c r="AO690" s="1252"/>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 customHeight="1">
      <c r="A691" s="41"/>
      <c r="B691" s="1253"/>
      <c r="C691" s="1254"/>
      <c r="D691" s="1254"/>
      <c r="E691" s="1254"/>
      <c r="F691" s="1255"/>
      <c r="G691" s="1253"/>
      <c r="H691" s="1254"/>
      <c r="I691" s="1254"/>
      <c r="J691" s="1255"/>
      <c r="K691" s="1500"/>
      <c r="L691" s="1501"/>
      <c r="M691" s="1501"/>
      <c r="N691" s="1502"/>
      <c r="O691" s="1253"/>
      <c r="P691" s="1254"/>
      <c r="Q691" s="1254"/>
      <c r="R691" s="1254"/>
      <c r="S691" s="1255"/>
      <c r="T691" s="1253"/>
      <c r="U691" s="1254"/>
      <c r="V691" s="1254"/>
      <c r="W691" s="1254"/>
      <c r="X691" s="1255"/>
      <c r="Y691" s="1253"/>
      <c r="Z691" s="1254"/>
      <c r="AA691" s="1254"/>
      <c r="AB691" s="1255"/>
      <c r="AC691" s="1253"/>
      <c r="AD691" s="1254"/>
      <c r="AE691" s="1254"/>
      <c r="AF691" s="1254"/>
      <c r="AG691" s="1255"/>
      <c r="AH691" s="1253"/>
      <c r="AI691" s="1254"/>
      <c r="AJ691" s="1254"/>
      <c r="AK691" s="1254"/>
      <c r="AL691" s="1255"/>
      <c r="AM691" s="1253"/>
      <c r="AN691" s="1254"/>
      <c r="AO691" s="1255"/>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 customHeight="1">
      <c r="A692" s="41"/>
      <c r="B692" s="1219" t="s">
        <v>469</v>
      </c>
      <c r="C692" s="1220"/>
      <c r="D692" s="1220"/>
      <c r="E692" s="1220"/>
      <c r="F692" s="1221"/>
      <c r="G692" s="1216">
        <v>1</v>
      </c>
      <c r="H692" s="1217"/>
      <c r="I692" s="1217"/>
      <c r="J692" s="1218"/>
      <c r="K692" s="1224">
        <v>601</v>
      </c>
      <c r="L692" s="1225"/>
      <c r="M692" s="1225"/>
      <c r="N692" s="1226"/>
      <c r="O692" s="1227">
        <v>512</v>
      </c>
      <c r="P692" s="1228"/>
      <c r="Q692" s="1228"/>
      <c r="R692" s="1228"/>
      <c r="S692" s="1229"/>
      <c r="T692" s="1230">
        <f t="shared" ref="T692:T716" si="28">G692*O692</f>
        <v>512</v>
      </c>
      <c r="U692" s="1231"/>
      <c r="V692" s="1231"/>
      <c r="W692" s="1231"/>
      <c r="X692" s="1232"/>
      <c r="Y692" s="1227">
        <v>91</v>
      </c>
      <c r="Z692" s="1228"/>
      <c r="AA692" s="1228"/>
      <c r="AB692" s="1229"/>
      <c r="AC692" s="1230">
        <f t="shared" ref="AC692:AC716" si="29">O692+Y692</f>
        <v>603</v>
      </c>
      <c r="AD692" s="1231"/>
      <c r="AE692" s="1231"/>
      <c r="AF692" s="1231"/>
      <c r="AG692" s="1232"/>
      <c r="AH692" s="1301">
        <v>0.3</v>
      </c>
      <c r="AI692" s="1302"/>
      <c r="AJ692" s="1302"/>
      <c r="AK692" s="1302"/>
      <c r="AL692" s="1303"/>
      <c r="AM692" s="1445">
        <f>IF($AH692&gt;0,($AC692/$BA675)," ")</f>
        <v>0.3</v>
      </c>
      <c r="AN692" s="1446"/>
      <c r="AO692" s="1447"/>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 customHeight="1">
      <c r="A693" s="41"/>
      <c r="B693" s="1219" t="s">
        <v>469</v>
      </c>
      <c r="C693" s="1220"/>
      <c r="D693" s="1220"/>
      <c r="E693" s="1220"/>
      <c r="F693" s="1221"/>
      <c r="G693" s="1216">
        <v>2</v>
      </c>
      <c r="H693" s="1217"/>
      <c r="I693" s="1217"/>
      <c r="J693" s="1218"/>
      <c r="K693" s="1224">
        <v>601</v>
      </c>
      <c r="L693" s="1225"/>
      <c r="M693" s="1225"/>
      <c r="N693" s="1226"/>
      <c r="O693" s="1227">
        <v>713</v>
      </c>
      <c r="P693" s="1228"/>
      <c r="Q693" s="1228"/>
      <c r="R693" s="1228"/>
      <c r="S693" s="1229"/>
      <c r="T693" s="1230">
        <f t="shared" si="28"/>
        <v>1426</v>
      </c>
      <c r="U693" s="1231"/>
      <c r="V693" s="1231"/>
      <c r="W693" s="1231"/>
      <c r="X693" s="1232"/>
      <c r="Y693" s="1227">
        <v>91</v>
      </c>
      <c r="Z693" s="1228"/>
      <c r="AA693" s="1228"/>
      <c r="AB693" s="1229"/>
      <c r="AC693" s="1230">
        <f t="shared" si="29"/>
        <v>804</v>
      </c>
      <c r="AD693" s="1231"/>
      <c r="AE693" s="1231"/>
      <c r="AF693" s="1231"/>
      <c r="AG693" s="1232"/>
      <c r="AH693" s="1244">
        <v>0.4</v>
      </c>
      <c r="AI693" s="1245"/>
      <c r="AJ693" s="1245"/>
      <c r="AK693" s="1245"/>
      <c r="AL693" s="1246"/>
      <c r="AM693" s="1445">
        <f t="shared" ref="AM693:AM716" si="30">IF($AH693&gt;0,($AC693/$BA676), " ")</f>
        <v>0.4</v>
      </c>
      <c r="AN693" s="1446"/>
      <c r="AO693" s="1447"/>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 customHeight="1">
      <c r="A694" s="41"/>
      <c r="B694" s="1219" t="s">
        <v>469</v>
      </c>
      <c r="C694" s="1220"/>
      <c r="D694" s="1220"/>
      <c r="E694" s="1220"/>
      <c r="F694" s="1221"/>
      <c r="G694" s="1216">
        <v>5</v>
      </c>
      <c r="H694" s="1217"/>
      <c r="I694" s="1217"/>
      <c r="J694" s="1218"/>
      <c r="K694" s="1224">
        <v>601</v>
      </c>
      <c r="L694" s="1225"/>
      <c r="M694" s="1225"/>
      <c r="N694" s="1226"/>
      <c r="O694" s="1227">
        <v>914</v>
      </c>
      <c r="P694" s="1228"/>
      <c r="Q694" s="1228"/>
      <c r="R694" s="1228"/>
      <c r="S694" s="1229"/>
      <c r="T694" s="1230">
        <f t="shared" si="28"/>
        <v>4570</v>
      </c>
      <c r="U694" s="1231"/>
      <c r="V694" s="1231"/>
      <c r="W694" s="1231"/>
      <c r="X694" s="1232"/>
      <c r="Y694" s="1227">
        <v>91</v>
      </c>
      <c r="Z694" s="1228"/>
      <c r="AA694" s="1228"/>
      <c r="AB694" s="1229"/>
      <c r="AC694" s="1230">
        <f t="shared" si="29"/>
        <v>1005</v>
      </c>
      <c r="AD694" s="1231"/>
      <c r="AE694" s="1231"/>
      <c r="AF694" s="1231"/>
      <c r="AG694" s="1232"/>
      <c r="AH694" s="1244">
        <v>0.5</v>
      </c>
      <c r="AI694" s="1245"/>
      <c r="AJ694" s="1245"/>
      <c r="AK694" s="1245"/>
      <c r="AL694" s="1246"/>
      <c r="AM694" s="1445">
        <f t="shared" si="30"/>
        <v>0.5</v>
      </c>
      <c r="AN694" s="1446"/>
      <c r="AO694" s="1447"/>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 customHeight="1">
      <c r="B695" s="1219" t="s">
        <v>469</v>
      </c>
      <c r="C695" s="1220"/>
      <c r="D695" s="1220"/>
      <c r="E695" s="1220"/>
      <c r="F695" s="1221"/>
      <c r="G695" s="1216">
        <v>4</v>
      </c>
      <c r="H695" s="1217"/>
      <c r="I695" s="1217"/>
      <c r="J695" s="1218"/>
      <c r="K695" s="1224">
        <v>601</v>
      </c>
      <c r="L695" s="1225"/>
      <c r="M695" s="1225"/>
      <c r="N695" s="1226"/>
      <c r="O695" s="1227">
        <v>1115</v>
      </c>
      <c r="P695" s="1228"/>
      <c r="Q695" s="1228"/>
      <c r="R695" s="1228"/>
      <c r="S695" s="1229"/>
      <c r="T695" s="1230">
        <f t="shared" si="28"/>
        <v>4460</v>
      </c>
      <c r="U695" s="1231"/>
      <c r="V695" s="1231"/>
      <c r="W695" s="1231"/>
      <c r="X695" s="1232"/>
      <c r="Y695" s="1227">
        <v>91</v>
      </c>
      <c r="Z695" s="1228"/>
      <c r="AA695" s="1228"/>
      <c r="AB695" s="1229"/>
      <c r="AC695" s="1230">
        <f t="shared" si="29"/>
        <v>1206</v>
      </c>
      <c r="AD695" s="1231"/>
      <c r="AE695" s="1231"/>
      <c r="AF695" s="1231"/>
      <c r="AG695" s="1232"/>
      <c r="AH695" s="1244">
        <v>0.6</v>
      </c>
      <c r="AI695" s="1245"/>
      <c r="AJ695" s="1245"/>
      <c r="AK695" s="1245"/>
      <c r="AL695" s="1246"/>
      <c r="AM695" s="1445">
        <f t="shared" si="30"/>
        <v>0.6</v>
      </c>
      <c r="AN695" s="1446"/>
      <c r="AO695" s="1447"/>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 customHeight="1">
      <c r="B696" s="1219" t="s">
        <v>815</v>
      </c>
      <c r="C696" s="1220"/>
      <c r="D696" s="1220"/>
      <c r="E696" s="1220"/>
      <c r="F696" s="1221"/>
      <c r="G696" s="1216">
        <v>1</v>
      </c>
      <c r="H696" s="1217"/>
      <c r="I696" s="1217"/>
      <c r="J696" s="1218"/>
      <c r="K696" s="1224">
        <v>820</v>
      </c>
      <c r="L696" s="1225"/>
      <c r="M696" s="1225"/>
      <c r="N696" s="1226"/>
      <c r="O696" s="1227">
        <v>609</v>
      </c>
      <c r="P696" s="1228"/>
      <c r="Q696" s="1228"/>
      <c r="R696" s="1228"/>
      <c r="S696" s="1229"/>
      <c r="T696" s="1230">
        <f t="shared" si="28"/>
        <v>609</v>
      </c>
      <c r="U696" s="1231"/>
      <c r="V696" s="1231"/>
      <c r="W696" s="1231"/>
      <c r="X696" s="1232"/>
      <c r="Y696" s="1227">
        <v>114</v>
      </c>
      <c r="Z696" s="1228"/>
      <c r="AA696" s="1228"/>
      <c r="AB696" s="1229"/>
      <c r="AC696" s="1230">
        <f t="shared" si="29"/>
        <v>723</v>
      </c>
      <c r="AD696" s="1231"/>
      <c r="AE696" s="1231"/>
      <c r="AF696" s="1231"/>
      <c r="AG696" s="1232"/>
      <c r="AH696" s="1244">
        <v>0.3</v>
      </c>
      <c r="AI696" s="1245"/>
      <c r="AJ696" s="1245"/>
      <c r="AK696" s="1245"/>
      <c r="AL696" s="1246"/>
      <c r="AM696" s="1445">
        <f t="shared" si="30"/>
        <v>0.29975124378109452</v>
      </c>
      <c r="AN696" s="1446"/>
      <c r="AO696" s="1447"/>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 customHeight="1">
      <c r="B697" s="1219" t="s">
        <v>815</v>
      </c>
      <c r="C697" s="1220"/>
      <c r="D697" s="1220"/>
      <c r="E697" s="1220"/>
      <c r="F697" s="1221"/>
      <c r="G697" s="1216">
        <v>1</v>
      </c>
      <c r="H697" s="1217"/>
      <c r="I697" s="1217"/>
      <c r="J697" s="1218"/>
      <c r="K697" s="1224">
        <v>820</v>
      </c>
      <c r="L697" s="1225"/>
      <c r="M697" s="1225"/>
      <c r="N697" s="1226"/>
      <c r="O697" s="1227">
        <v>851</v>
      </c>
      <c r="P697" s="1228"/>
      <c r="Q697" s="1228"/>
      <c r="R697" s="1228"/>
      <c r="S697" s="1229"/>
      <c r="T697" s="1230">
        <f t="shared" si="28"/>
        <v>851</v>
      </c>
      <c r="U697" s="1231"/>
      <c r="V697" s="1231"/>
      <c r="W697" s="1231"/>
      <c r="X697" s="1232"/>
      <c r="Y697" s="1227">
        <v>114</v>
      </c>
      <c r="Z697" s="1228"/>
      <c r="AA697" s="1228"/>
      <c r="AB697" s="1229"/>
      <c r="AC697" s="1230">
        <f t="shared" si="29"/>
        <v>965</v>
      </c>
      <c r="AD697" s="1231"/>
      <c r="AE697" s="1231"/>
      <c r="AF697" s="1231"/>
      <c r="AG697" s="1232"/>
      <c r="AH697" s="1244">
        <v>0.4</v>
      </c>
      <c r="AI697" s="1245"/>
      <c r="AJ697" s="1245"/>
      <c r="AK697" s="1245"/>
      <c r="AL697" s="1246"/>
      <c r="AM697" s="1445">
        <f t="shared" si="30"/>
        <v>0.40008291873963514</v>
      </c>
      <c r="AN697" s="1446"/>
      <c r="AO697" s="1447"/>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 customHeight="1">
      <c r="B698" s="1219" t="s">
        <v>815</v>
      </c>
      <c r="C698" s="1220"/>
      <c r="D698" s="1220"/>
      <c r="E698" s="1220"/>
      <c r="F698" s="1221"/>
      <c r="G698" s="1216">
        <v>3</v>
      </c>
      <c r="H698" s="1217"/>
      <c r="I698" s="1217"/>
      <c r="J698" s="1218"/>
      <c r="K698" s="1224">
        <v>820</v>
      </c>
      <c r="L698" s="1225"/>
      <c r="M698" s="1225"/>
      <c r="N698" s="1226"/>
      <c r="O698" s="1227">
        <v>1092</v>
      </c>
      <c r="P698" s="1228"/>
      <c r="Q698" s="1228"/>
      <c r="R698" s="1228"/>
      <c r="S698" s="1229"/>
      <c r="T698" s="1230">
        <f t="shared" si="28"/>
        <v>3276</v>
      </c>
      <c r="U698" s="1231"/>
      <c r="V698" s="1231"/>
      <c r="W698" s="1231"/>
      <c r="X698" s="1232"/>
      <c r="Y698" s="1227">
        <v>114</v>
      </c>
      <c r="Z698" s="1228"/>
      <c r="AA698" s="1228"/>
      <c r="AB698" s="1229"/>
      <c r="AC698" s="1230">
        <f t="shared" si="29"/>
        <v>1206</v>
      </c>
      <c r="AD698" s="1231"/>
      <c r="AE698" s="1231"/>
      <c r="AF698" s="1231"/>
      <c r="AG698" s="1232"/>
      <c r="AH698" s="1244">
        <v>0.5</v>
      </c>
      <c r="AI698" s="1245"/>
      <c r="AJ698" s="1245"/>
      <c r="AK698" s="1245"/>
      <c r="AL698" s="1246"/>
      <c r="AM698" s="1445">
        <f t="shared" si="30"/>
        <v>0.5</v>
      </c>
      <c r="AN698" s="1446"/>
      <c r="AO698" s="1447"/>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 customHeight="1">
      <c r="B699" s="1219" t="s">
        <v>815</v>
      </c>
      <c r="C699" s="1220"/>
      <c r="D699" s="1220"/>
      <c r="E699" s="1220"/>
      <c r="F699" s="1221"/>
      <c r="G699" s="1216">
        <v>2</v>
      </c>
      <c r="H699" s="1217"/>
      <c r="I699" s="1217"/>
      <c r="J699" s="1218"/>
      <c r="K699" s="1224">
        <v>820</v>
      </c>
      <c r="L699" s="1225"/>
      <c r="M699" s="1225"/>
      <c r="N699" s="1226"/>
      <c r="O699" s="1227">
        <v>1333</v>
      </c>
      <c r="P699" s="1228"/>
      <c r="Q699" s="1228"/>
      <c r="R699" s="1228"/>
      <c r="S699" s="1229"/>
      <c r="T699" s="1230">
        <f t="shared" si="28"/>
        <v>2666</v>
      </c>
      <c r="U699" s="1231"/>
      <c r="V699" s="1231"/>
      <c r="W699" s="1231"/>
      <c r="X699" s="1232"/>
      <c r="Y699" s="1227">
        <v>114</v>
      </c>
      <c r="Z699" s="1228"/>
      <c r="AA699" s="1228"/>
      <c r="AB699" s="1229"/>
      <c r="AC699" s="1230">
        <f t="shared" si="29"/>
        <v>1447</v>
      </c>
      <c r="AD699" s="1231"/>
      <c r="AE699" s="1231"/>
      <c r="AF699" s="1231"/>
      <c r="AG699" s="1232"/>
      <c r="AH699" s="1244">
        <v>0.6</v>
      </c>
      <c r="AI699" s="1245"/>
      <c r="AJ699" s="1245"/>
      <c r="AK699" s="1245"/>
      <c r="AL699" s="1246"/>
      <c r="AM699" s="1445">
        <f t="shared" si="30"/>
        <v>0.5999170812603648</v>
      </c>
      <c r="AN699" s="1446"/>
      <c r="AO699" s="1447"/>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 customHeight="1">
      <c r="B700" s="1219" t="s">
        <v>816</v>
      </c>
      <c r="C700" s="1220"/>
      <c r="D700" s="1220"/>
      <c r="E700" s="1220"/>
      <c r="F700" s="1221"/>
      <c r="G700" s="1216">
        <v>1</v>
      </c>
      <c r="H700" s="1217"/>
      <c r="I700" s="1217"/>
      <c r="J700" s="1218"/>
      <c r="K700" s="1224">
        <v>1001</v>
      </c>
      <c r="L700" s="1225"/>
      <c r="M700" s="1225"/>
      <c r="N700" s="1226"/>
      <c r="O700" s="1227">
        <v>697</v>
      </c>
      <c r="P700" s="1228"/>
      <c r="Q700" s="1228"/>
      <c r="R700" s="1228"/>
      <c r="S700" s="1229"/>
      <c r="T700" s="1230">
        <f t="shared" si="28"/>
        <v>697</v>
      </c>
      <c r="U700" s="1231"/>
      <c r="V700" s="1231"/>
      <c r="W700" s="1231"/>
      <c r="X700" s="1232"/>
      <c r="Y700" s="1227">
        <v>139</v>
      </c>
      <c r="Z700" s="1228"/>
      <c r="AA700" s="1228"/>
      <c r="AB700" s="1229"/>
      <c r="AC700" s="1230">
        <f t="shared" si="29"/>
        <v>836</v>
      </c>
      <c r="AD700" s="1231"/>
      <c r="AE700" s="1231"/>
      <c r="AF700" s="1231"/>
      <c r="AG700" s="1232"/>
      <c r="AH700" s="1244">
        <v>0.3</v>
      </c>
      <c r="AI700" s="1245"/>
      <c r="AJ700" s="1245"/>
      <c r="AK700" s="1245"/>
      <c r="AL700" s="1246"/>
      <c r="AM700" s="1445">
        <f t="shared" si="30"/>
        <v>0.30007178750897345</v>
      </c>
      <c r="AN700" s="1446"/>
      <c r="AO700" s="1447"/>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 customHeight="1">
      <c r="A701" s="41"/>
      <c r="B701" s="1219" t="s">
        <v>816</v>
      </c>
      <c r="C701" s="1220"/>
      <c r="D701" s="1220"/>
      <c r="E701" s="1220"/>
      <c r="F701" s="1221"/>
      <c r="G701" s="1216">
        <v>2</v>
      </c>
      <c r="H701" s="1217"/>
      <c r="I701" s="1217"/>
      <c r="J701" s="1218"/>
      <c r="K701" s="1224">
        <v>1001</v>
      </c>
      <c r="L701" s="1225"/>
      <c r="M701" s="1225"/>
      <c r="N701" s="1226"/>
      <c r="O701" s="1227">
        <v>976</v>
      </c>
      <c r="P701" s="1228"/>
      <c r="Q701" s="1228"/>
      <c r="R701" s="1228"/>
      <c r="S701" s="1229"/>
      <c r="T701" s="1230">
        <f t="shared" si="28"/>
        <v>1952</v>
      </c>
      <c r="U701" s="1231"/>
      <c r="V701" s="1231"/>
      <c r="W701" s="1231"/>
      <c r="X701" s="1232"/>
      <c r="Y701" s="1227">
        <v>139</v>
      </c>
      <c r="Z701" s="1228"/>
      <c r="AA701" s="1228"/>
      <c r="AB701" s="1229"/>
      <c r="AC701" s="1230">
        <f t="shared" si="29"/>
        <v>1115</v>
      </c>
      <c r="AD701" s="1231"/>
      <c r="AE701" s="1231"/>
      <c r="AF701" s="1231"/>
      <c r="AG701" s="1232"/>
      <c r="AH701" s="1244">
        <v>0.4</v>
      </c>
      <c r="AI701" s="1245"/>
      <c r="AJ701" s="1245"/>
      <c r="AK701" s="1245"/>
      <c r="AL701" s="1246"/>
      <c r="AM701" s="1445">
        <f t="shared" si="30"/>
        <v>0.4002153625269203</v>
      </c>
      <c r="AN701" s="1446"/>
      <c r="AO701" s="1447"/>
      <c r="BA701" s="41"/>
      <c r="BB701" s="41"/>
      <c r="BC701" s="41"/>
      <c r="BD701" s="41"/>
      <c r="BE701" s="42"/>
      <c r="BF701" s="62" t="s">
        <v>914</v>
      </c>
      <c r="BG701" s="459">
        <f>SUM(BG676:BG700)</f>
        <v>28</v>
      </c>
      <c r="BH701" s="460">
        <f>SUM(BH676:BH700)</f>
        <v>0.99999999999999978</v>
      </c>
      <c r="BI701" s="460">
        <f>SUM(BI676:BI700)</f>
        <v>0.48928571428571427</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 customHeight="1">
      <c r="A702" s="41"/>
      <c r="B702" s="1219" t="s">
        <v>816</v>
      </c>
      <c r="C702" s="1220"/>
      <c r="D702" s="1220"/>
      <c r="E702" s="1220"/>
      <c r="F702" s="1221"/>
      <c r="G702" s="1216">
        <v>4</v>
      </c>
      <c r="H702" s="1217"/>
      <c r="I702" s="1217"/>
      <c r="J702" s="1218"/>
      <c r="K702" s="1224">
        <v>1001</v>
      </c>
      <c r="L702" s="1225"/>
      <c r="M702" s="1225"/>
      <c r="N702" s="1226"/>
      <c r="O702" s="1227">
        <v>1254</v>
      </c>
      <c r="P702" s="1228"/>
      <c r="Q702" s="1228"/>
      <c r="R702" s="1228"/>
      <c r="S702" s="1229"/>
      <c r="T702" s="1230">
        <f t="shared" si="28"/>
        <v>5016</v>
      </c>
      <c r="U702" s="1231"/>
      <c r="V702" s="1231"/>
      <c r="W702" s="1231"/>
      <c r="X702" s="1232"/>
      <c r="Y702" s="1227">
        <v>139</v>
      </c>
      <c r="Z702" s="1228"/>
      <c r="AA702" s="1228"/>
      <c r="AB702" s="1229"/>
      <c r="AC702" s="1230">
        <f t="shared" si="29"/>
        <v>1393</v>
      </c>
      <c r="AD702" s="1231"/>
      <c r="AE702" s="1231"/>
      <c r="AF702" s="1231"/>
      <c r="AG702" s="1232"/>
      <c r="AH702" s="1244">
        <v>0.5</v>
      </c>
      <c r="AI702" s="1245"/>
      <c r="AJ702" s="1245"/>
      <c r="AK702" s="1245"/>
      <c r="AL702" s="1246"/>
      <c r="AM702" s="1445">
        <f t="shared" si="30"/>
        <v>0.5</v>
      </c>
      <c r="AN702" s="1446"/>
      <c r="AO702" s="1447"/>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 customHeight="1">
      <c r="A703" s="41"/>
      <c r="B703" s="1219" t="s">
        <v>816</v>
      </c>
      <c r="C703" s="1220"/>
      <c r="D703" s="1220"/>
      <c r="E703" s="1220"/>
      <c r="F703" s="1221"/>
      <c r="G703" s="1216">
        <v>2</v>
      </c>
      <c r="H703" s="1217"/>
      <c r="I703" s="1217"/>
      <c r="J703" s="1218"/>
      <c r="K703" s="1224">
        <v>1001</v>
      </c>
      <c r="L703" s="1225"/>
      <c r="M703" s="1225"/>
      <c r="N703" s="1226"/>
      <c r="O703" s="1227">
        <v>1533</v>
      </c>
      <c r="P703" s="1228"/>
      <c r="Q703" s="1228"/>
      <c r="R703" s="1228"/>
      <c r="S703" s="1229"/>
      <c r="T703" s="1230">
        <f t="shared" si="28"/>
        <v>3066</v>
      </c>
      <c r="U703" s="1231"/>
      <c r="V703" s="1231"/>
      <c r="W703" s="1231"/>
      <c r="X703" s="1232"/>
      <c r="Y703" s="1227">
        <v>139</v>
      </c>
      <c r="Z703" s="1228"/>
      <c r="AA703" s="1228"/>
      <c r="AB703" s="1229"/>
      <c r="AC703" s="1230">
        <f t="shared" si="29"/>
        <v>1672</v>
      </c>
      <c r="AD703" s="1231"/>
      <c r="AE703" s="1231"/>
      <c r="AF703" s="1231"/>
      <c r="AG703" s="1232"/>
      <c r="AH703" s="1244">
        <v>0.6</v>
      </c>
      <c r="AI703" s="1245"/>
      <c r="AJ703" s="1245"/>
      <c r="AK703" s="1245"/>
      <c r="AL703" s="1246"/>
      <c r="AM703" s="1445">
        <f t="shared" si="30"/>
        <v>0.60014357501794691</v>
      </c>
      <c r="AN703" s="1446"/>
      <c r="AO703" s="1447"/>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 customHeight="1">
      <c r="B704" s="1219"/>
      <c r="C704" s="1220"/>
      <c r="D704" s="1220"/>
      <c r="E704" s="1220"/>
      <c r="F704" s="1221"/>
      <c r="G704" s="1216"/>
      <c r="H704" s="1217"/>
      <c r="I704" s="1217"/>
      <c r="J704" s="1218"/>
      <c r="K704" s="1224"/>
      <c r="L704" s="1225"/>
      <c r="M704" s="1225"/>
      <c r="N704" s="1226"/>
      <c r="O704" s="1227"/>
      <c r="P704" s="1228"/>
      <c r="Q704" s="1228"/>
      <c r="R704" s="1228"/>
      <c r="S704" s="1229"/>
      <c r="T704" s="1230">
        <f t="shared" si="28"/>
        <v>0</v>
      </c>
      <c r="U704" s="1231"/>
      <c r="V704" s="1231"/>
      <c r="W704" s="1231"/>
      <c r="X704" s="1232"/>
      <c r="Y704" s="1227"/>
      <c r="Z704" s="1228"/>
      <c r="AA704" s="1228"/>
      <c r="AB704" s="1229"/>
      <c r="AC704" s="1230">
        <f t="shared" si="29"/>
        <v>0</v>
      </c>
      <c r="AD704" s="1231"/>
      <c r="AE704" s="1231"/>
      <c r="AF704" s="1231"/>
      <c r="AG704" s="1232"/>
      <c r="AH704" s="1244"/>
      <c r="AI704" s="1245"/>
      <c r="AJ704" s="1245"/>
      <c r="AK704" s="1245"/>
      <c r="AL704" s="1246"/>
      <c r="AM704" s="1445" t="str">
        <f t="shared" si="30"/>
        <v xml:space="preserve"> </v>
      </c>
      <c r="AN704" s="1446"/>
      <c r="AO704" s="1447"/>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 customHeight="1">
      <c r="B705" s="1219"/>
      <c r="C705" s="1220"/>
      <c r="D705" s="1220"/>
      <c r="E705" s="1220"/>
      <c r="F705" s="1221"/>
      <c r="G705" s="1216"/>
      <c r="H705" s="1217"/>
      <c r="I705" s="1217"/>
      <c r="J705" s="1218"/>
      <c r="K705" s="1224"/>
      <c r="L705" s="1225"/>
      <c r="M705" s="1225"/>
      <c r="N705" s="1226"/>
      <c r="O705" s="1227"/>
      <c r="P705" s="1228"/>
      <c r="Q705" s="1228"/>
      <c r="R705" s="1228"/>
      <c r="S705" s="1229"/>
      <c r="T705" s="1230">
        <f t="shared" si="28"/>
        <v>0</v>
      </c>
      <c r="U705" s="1231"/>
      <c r="V705" s="1231"/>
      <c r="W705" s="1231"/>
      <c r="X705" s="1232"/>
      <c r="Y705" s="1227"/>
      <c r="Z705" s="1228"/>
      <c r="AA705" s="1228"/>
      <c r="AB705" s="1229"/>
      <c r="AC705" s="1230">
        <f t="shared" si="29"/>
        <v>0</v>
      </c>
      <c r="AD705" s="1231"/>
      <c r="AE705" s="1231"/>
      <c r="AF705" s="1231"/>
      <c r="AG705" s="1232"/>
      <c r="AH705" s="1244"/>
      <c r="AI705" s="1245"/>
      <c r="AJ705" s="1245"/>
      <c r="AK705" s="1245"/>
      <c r="AL705" s="1246"/>
      <c r="AM705" s="1445" t="str">
        <f t="shared" si="30"/>
        <v xml:space="preserve"> </v>
      </c>
      <c r="AN705" s="1446"/>
      <c r="AO705" s="1447"/>
      <c r="BA705" s="41"/>
      <c r="BB705" s="41"/>
      <c r="BC705" s="41"/>
      <c r="BD705" s="41"/>
      <c r="BE705" s="41"/>
      <c r="BF705" s="41"/>
      <c r="BG705" s="853" t="s">
        <v>2090</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 customHeight="1">
      <c r="B706" s="1219"/>
      <c r="C706" s="1220"/>
      <c r="D706" s="1220"/>
      <c r="E706" s="1220"/>
      <c r="F706" s="1221"/>
      <c r="G706" s="1216"/>
      <c r="H706" s="1217"/>
      <c r="I706" s="1217"/>
      <c r="J706" s="1218"/>
      <c r="K706" s="1224"/>
      <c r="L706" s="1225"/>
      <c r="M706" s="1225"/>
      <c r="N706" s="1226"/>
      <c r="O706" s="1227"/>
      <c r="P706" s="1228"/>
      <c r="Q706" s="1228"/>
      <c r="R706" s="1228"/>
      <c r="S706" s="1229"/>
      <c r="T706" s="1230">
        <f t="shared" si="28"/>
        <v>0</v>
      </c>
      <c r="U706" s="1231"/>
      <c r="V706" s="1231"/>
      <c r="W706" s="1231"/>
      <c r="X706" s="1232"/>
      <c r="Y706" s="1227"/>
      <c r="Z706" s="1228"/>
      <c r="AA706" s="1228"/>
      <c r="AB706" s="1229"/>
      <c r="AC706" s="1230">
        <f t="shared" si="29"/>
        <v>0</v>
      </c>
      <c r="AD706" s="1231"/>
      <c r="AE706" s="1231"/>
      <c r="AF706" s="1231"/>
      <c r="AG706" s="1232"/>
      <c r="AH706" s="1244"/>
      <c r="AI706" s="1245"/>
      <c r="AJ706" s="1245"/>
      <c r="AK706" s="1245"/>
      <c r="AL706" s="1246"/>
      <c r="AM706" s="1445" t="str">
        <f t="shared" si="30"/>
        <v xml:space="preserve"> </v>
      </c>
      <c r="AN706" s="1446"/>
      <c r="AO706" s="1447"/>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 customHeight="1">
      <c r="B707" s="1219"/>
      <c r="C707" s="1220"/>
      <c r="D707" s="1220"/>
      <c r="E707" s="1220"/>
      <c r="F707" s="1221"/>
      <c r="G707" s="1216"/>
      <c r="H707" s="1217"/>
      <c r="I707" s="1217"/>
      <c r="J707" s="1218"/>
      <c r="K707" s="1224"/>
      <c r="L707" s="1225"/>
      <c r="M707" s="1225"/>
      <c r="N707" s="1226"/>
      <c r="O707" s="1227"/>
      <c r="P707" s="1228"/>
      <c r="Q707" s="1228"/>
      <c r="R707" s="1228"/>
      <c r="S707" s="1229"/>
      <c r="T707" s="1230">
        <f t="shared" si="28"/>
        <v>0</v>
      </c>
      <c r="U707" s="1231"/>
      <c r="V707" s="1231"/>
      <c r="W707" s="1231"/>
      <c r="X707" s="1232"/>
      <c r="Y707" s="1227"/>
      <c r="Z707" s="1228"/>
      <c r="AA707" s="1228"/>
      <c r="AB707" s="1229"/>
      <c r="AC707" s="1230">
        <f t="shared" si="29"/>
        <v>0</v>
      </c>
      <c r="AD707" s="1231"/>
      <c r="AE707" s="1231"/>
      <c r="AF707" s="1231"/>
      <c r="AG707" s="1232"/>
      <c r="AH707" s="1244"/>
      <c r="AI707" s="1245"/>
      <c r="AJ707" s="1245"/>
      <c r="AK707" s="1245"/>
      <c r="AL707" s="1246"/>
      <c r="AM707" s="1445" t="str">
        <f t="shared" si="30"/>
        <v xml:space="preserve"> </v>
      </c>
      <c r="AN707" s="1446"/>
      <c r="AO707" s="1447"/>
      <c r="BA707" s="41"/>
      <c r="BB707" s="41"/>
      <c r="BC707" s="41"/>
      <c r="BD707" s="41"/>
      <c r="BE707" s="41"/>
      <c r="BF707" s="41"/>
      <c r="BG707" s="858">
        <f>G692</f>
        <v>1</v>
      </c>
      <c r="BH707" s="862">
        <f>BG707/$BG$732</f>
        <v>3.5714285714285712E-2</v>
      </c>
      <c r="BI707" s="863">
        <f>IF(BH707=0," ",BH707*AM692)</f>
        <v>1.0714285714285713E-2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 customHeight="1">
      <c r="B708" s="1219"/>
      <c r="C708" s="1220"/>
      <c r="D708" s="1220"/>
      <c r="E708" s="1220"/>
      <c r="F708" s="1221"/>
      <c r="G708" s="1216"/>
      <c r="H708" s="1217"/>
      <c r="I708" s="1217"/>
      <c r="J708" s="1218"/>
      <c r="K708" s="1224"/>
      <c r="L708" s="1225"/>
      <c r="M708" s="1225"/>
      <c r="N708" s="1226"/>
      <c r="O708" s="1227"/>
      <c r="P708" s="1228"/>
      <c r="Q708" s="1228"/>
      <c r="R708" s="1228"/>
      <c r="S708" s="1229"/>
      <c r="T708" s="1230">
        <f t="shared" si="28"/>
        <v>0</v>
      </c>
      <c r="U708" s="1231"/>
      <c r="V708" s="1231"/>
      <c r="W708" s="1231"/>
      <c r="X708" s="1232"/>
      <c r="Y708" s="1227"/>
      <c r="Z708" s="1228"/>
      <c r="AA708" s="1228"/>
      <c r="AB708" s="1229"/>
      <c r="AC708" s="1230">
        <f t="shared" si="29"/>
        <v>0</v>
      </c>
      <c r="AD708" s="1231"/>
      <c r="AE708" s="1231"/>
      <c r="AF708" s="1231"/>
      <c r="AG708" s="1232"/>
      <c r="AH708" s="1244"/>
      <c r="AI708" s="1245"/>
      <c r="AJ708" s="1245"/>
      <c r="AK708" s="1245"/>
      <c r="AL708" s="1246"/>
      <c r="AM708" s="1445" t="str">
        <f t="shared" si="30"/>
        <v xml:space="preserve"> </v>
      </c>
      <c r="AN708" s="1446"/>
      <c r="AO708" s="1447"/>
      <c r="BA708" s="41"/>
      <c r="BB708" s="41"/>
      <c r="BC708" s="41"/>
      <c r="BD708" s="41"/>
      <c r="BE708" s="41"/>
      <c r="BF708" s="41"/>
      <c r="BG708" s="858">
        <f t="shared" ref="BG708:BG731" si="31">G693</f>
        <v>2</v>
      </c>
      <c r="BH708" s="862">
        <f t="shared" ref="BH708:BH731" si="32">BG708/$BG$732</f>
        <v>7.1428571428571425E-2</v>
      </c>
      <c r="BI708" s="863">
        <f t="shared" ref="BI708:BI731" si="33">IF(BH708=0," ",BH708*AM693)</f>
        <v>2.8571428571428571E-2</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 customHeight="1">
      <c r="B709" s="1219"/>
      <c r="C709" s="1220"/>
      <c r="D709" s="1220"/>
      <c r="E709" s="1220"/>
      <c r="F709" s="1221"/>
      <c r="G709" s="1216"/>
      <c r="H709" s="1217"/>
      <c r="I709" s="1217"/>
      <c r="J709" s="1218"/>
      <c r="K709" s="1224"/>
      <c r="L709" s="1225"/>
      <c r="M709" s="1225"/>
      <c r="N709" s="1226"/>
      <c r="O709" s="1227"/>
      <c r="P709" s="1228"/>
      <c r="Q709" s="1228"/>
      <c r="R709" s="1228"/>
      <c r="S709" s="1229"/>
      <c r="T709" s="1230">
        <f t="shared" si="28"/>
        <v>0</v>
      </c>
      <c r="U709" s="1231"/>
      <c r="V709" s="1231"/>
      <c r="W709" s="1231"/>
      <c r="X709" s="1232"/>
      <c r="Y709" s="1227"/>
      <c r="Z709" s="1228"/>
      <c r="AA709" s="1228"/>
      <c r="AB709" s="1229"/>
      <c r="AC709" s="1230">
        <f t="shared" si="29"/>
        <v>0</v>
      </c>
      <c r="AD709" s="1231"/>
      <c r="AE709" s="1231"/>
      <c r="AF709" s="1231"/>
      <c r="AG709" s="1232"/>
      <c r="AH709" s="1244"/>
      <c r="AI709" s="1245"/>
      <c r="AJ709" s="1245"/>
      <c r="AK709" s="1245"/>
      <c r="AL709" s="1246"/>
      <c r="AM709" s="1445" t="str">
        <f t="shared" si="30"/>
        <v xml:space="preserve"> </v>
      </c>
      <c r="AN709" s="1446"/>
      <c r="AO709" s="1447"/>
      <c r="BA709" s="43"/>
      <c r="BB709" s="43"/>
      <c r="BC709" s="43"/>
      <c r="BD709" s="43"/>
      <c r="BE709" s="43"/>
      <c r="BF709" s="43"/>
      <c r="BG709" s="858">
        <f t="shared" si="31"/>
        <v>5</v>
      </c>
      <c r="BH709" s="862">
        <f t="shared" si="32"/>
        <v>0.17857142857142858</v>
      </c>
      <c r="BI709" s="863">
        <f t="shared" si="33"/>
        <v>8.9285714285714288E-2</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 customHeight="1">
      <c r="B710" s="1219"/>
      <c r="C710" s="1220"/>
      <c r="D710" s="1220"/>
      <c r="E710" s="1220"/>
      <c r="F710" s="1221"/>
      <c r="G710" s="1216"/>
      <c r="H710" s="1217"/>
      <c r="I710" s="1217"/>
      <c r="J710" s="1218"/>
      <c r="K710" s="1224"/>
      <c r="L710" s="1225"/>
      <c r="M710" s="1225"/>
      <c r="N710" s="1226"/>
      <c r="O710" s="1227"/>
      <c r="P710" s="1228"/>
      <c r="Q710" s="1228"/>
      <c r="R710" s="1228"/>
      <c r="S710" s="1229"/>
      <c r="T710" s="1230">
        <f t="shared" si="28"/>
        <v>0</v>
      </c>
      <c r="U710" s="1231"/>
      <c r="V710" s="1231"/>
      <c r="W710" s="1231"/>
      <c r="X710" s="1232"/>
      <c r="Y710" s="1227"/>
      <c r="Z710" s="1228"/>
      <c r="AA710" s="1228"/>
      <c r="AB710" s="1229"/>
      <c r="AC710" s="1230">
        <f t="shared" si="29"/>
        <v>0</v>
      </c>
      <c r="AD710" s="1231"/>
      <c r="AE710" s="1231"/>
      <c r="AF710" s="1231"/>
      <c r="AG710" s="1232"/>
      <c r="AH710" s="1244"/>
      <c r="AI710" s="1245"/>
      <c r="AJ710" s="1245"/>
      <c r="AK710" s="1245"/>
      <c r="AL710" s="1246"/>
      <c r="AM710" s="1445" t="str">
        <f t="shared" si="30"/>
        <v xml:space="preserve"> </v>
      </c>
      <c r="AN710" s="1446"/>
      <c r="AO710" s="1447"/>
      <c r="BA710" s="43"/>
      <c r="BB710" s="43"/>
      <c r="BC710" s="43"/>
      <c r="BD710" s="43"/>
      <c r="BE710" s="43"/>
      <c r="BF710" s="43"/>
      <c r="BG710" s="858">
        <f t="shared" si="31"/>
        <v>4</v>
      </c>
      <c r="BH710" s="862">
        <f t="shared" si="32"/>
        <v>0.14285714285714285</v>
      </c>
      <c r="BI710" s="863">
        <f t="shared" si="33"/>
        <v>8.5714285714285701E-2</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 customHeight="1">
      <c r="B711" s="1219"/>
      <c r="C711" s="1220"/>
      <c r="D711" s="1220"/>
      <c r="E711" s="1220"/>
      <c r="F711" s="1221"/>
      <c r="G711" s="1216"/>
      <c r="H711" s="1217"/>
      <c r="I711" s="1217"/>
      <c r="J711" s="1218"/>
      <c r="K711" s="1224"/>
      <c r="L711" s="1225"/>
      <c r="M711" s="1225"/>
      <c r="N711" s="1226"/>
      <c r="O711" s="1227"/>
      <c r="P711" s="1228"/>
      <c r="Q711" s="1228"/>
      <c r="R711" s="1228"/>
      <c r="S711" s="1229"/>
      <c r="T711" s="1230">
        <f t="shared" si="28"/>
        <v>0</v>
      </c>
      <c r="U711" s="1231"/>
      <c r="V711" s="1231"/>
      <c r="W711" s="1231"/>
      <c r="X711" s="1232"/>
      <c r="Y711" s="1227"/>
      <c r="Z711" s="1228"/>
      <c r="AA711" s="1228"/>
      <c r="AB711" s="1229"/>
      <c r="AC711" s="1230">
        <f t="shared" si="29"/>
        <v>0</v>
      </c>
      <c r="AD711" s="1231"/>
      <c r="AE711" s="1231"/>
      <c r="AF711" s="1231"/>
      <c r="AG711" s="1232"/>
      <c r="AH711" s="1244"/>
      <c r="AI711" s="1245"/>
      <c r="AJ711" s="1245"/>
      <c r="AK711" s="1245"/>
      <c r="AL711" s="1246"/>
      <c r="AM711" s="1445" t="str">
        <f t="shared" si="30"/>
        <v xml:space="preserve"> </v>
      </c>
      <c r="AN711" s="1446"/>
      <c r="AO711" s="1447"/>
      <c r="BA711" s="43"/>
      <c r="BB711" s="43"/>
      <c r="BC711" s="43"/>
      <c r="BD711" s="43"/>
      <c r="BE711" s="43"/>
      <c r="BF711" s="43"/>
      <c r="BG711" s="858">
        <f t="shared" si="31"/>
        <v>1</v>
      </c>
      <c r="BH711" s="862">
        <f t="shared" si="32"/>
        <v>3.5714285714285712E-2</v>
      </c>
      <c r="BI711" s="863">
        <f t="shared" si="33"/>
        <v>1.0705401563610517E-2</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 customHeight="1">
      <c r="B712" s="1219"/>
      <c r="C712" s="1220"/>
      <c r="D712" s="1220"/>
      <c r="E712" s="1220"/>
      <c r="F712" s="1221"/>
      <c r="G712" s="1216"/>
      <c r="H712" s="1217"/>
      <c r="I712" s="1217"/>
      <c r="J712" s="1218"/>
      <c r="K712" s="1224"/>
      <c r="L712" s="1225"/>
      <c r="M712" s="1225"/>
      <c r="N712" s="1226"/>
      <c r="O712" s="1227"/>
      <c r="P712" s="1228"/>
      <c r="Q712" s="1228"/>
      <c r="R712" s="1228"/>
      <c r="S712" s="1229"/>
      <c r="T712" s="1230">
        <f t="shared" si="28"/>
        <v>0</v>
      </c>
      <c r="U712" s="1231"/>
      <c r="V712" s="1231"/>
      <c r="W712" s="1231"/>
      <c r="X712" s="1232"/>
      <c r="Y712" s="1227"/>
      <c r="Z712" s="1228"/>
      <c r="AA712" s="1228"/>
      <c r="AB712" s="1229"/>
      <c r="AC712" s="1230">
        <f t="shared" si="29"/>
        <v>0</v>
      </c>
      <c r="AD712" s="1231"/>
      <c r="AE712" s="1231"/>
      <c r="AF712" s="1231"/>
      <c r="AG712" s="1232"/>
      <c r="AH712" s="1244"/>
      <c r="AI712" s="1245"/>
      <c r="AJ712" s="1245"/>
      <c r="AK712" s="1245"/>
      <c r="AL712" s="1246"/>
      <c r="AM712" s="1445" t="str">
        <f t="shared" si="30"/>
        <v xml:space="preserve"> </v>
      </c>
      <c r="AN712" s="1446"/>
      <c r="AO712" s="1447"/>
      <c r="BA712" s="43"/>
      <c r="BB712" s="43"/>
      <c r="BC712" s="43"/>
      <c r="BD712" s="43"/>
      <c r="BE712" s="43"/>
      <c r="BF712" s="43"/>
      <c r="BG712" s="858">
        <f t="shared" si="31"/>
        <v>1</v>
      </c>
      <c r="BH712" s="862">
        <f t="shared" si="32"/>
        <v>3.5714285714285712E-2</v>
      </c>
      <c r="BI712" s="863">
        <f t="shared" si="33"/>
        <v>1.4288675669272683E-2</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 customHeight="1">
      <c r="B713" s="1219"/>
      <c r="C713" s="1220"/>
      <c r="D713" s="1220"/>
      <c r="E713" s="1220"/>
      <c r="F713" s="1221"/>
      <c r="G713" s="1216"/>
      <c r="H713" s="1217"/>
      <c r="I713" s="1217"/>
      <c r="J713" s="1218"/>
      <c r="K713" s="1224"/>
      <c r="L713" s="1225"/>
      <c r="M713" s="1225"/>
      <c r="N713" s="1226"/>
      <c r="O713" s="1227"/>
      <c r="P713" s="1228"/>
      <c r="Q713" s="1228"/>
      <c r="R713" s="1228"/>
      <c r="S713" s="1229"/>
      <c r="T713" s="1230">
        <f t="shared" si="28"/>
        <v>0</v>
      </c>
      <c r="U713" s="1231"/>
      <c r="V713" s="1231"/>
      <c r="W713" s="1231"/>
      <c r="X713" s="1232"/>
      <c r="Y713" s="1227"/>
      <c r="Z713" s="1228"/>
      <c r="AA713" s="1228"/>
      <c r="AB713" s="1229"/>
      <c r="AC713" s="1230">
        <f t="shared" si="29"/>
        <v>0</v>
      </c>
      <c r="AD713" s="1231"/>
      <c r="AE713" s="1231"/>
      <c r="AF713" s="1231"/>
      <c r="AG713" s="1232"/>
      <c r="AH713" s="1244"/>
      <c r="AI713" s="1245"/>
      <c r="AJ713" s="1245"/>
      <c r="AK713" s="1245"/>
      <c r="AL713" s="1246"/>
      <c r="AM713" s="1445" t="str">
        <f t="shared" si="30"/>
        <v xml:space="preserve"> </v>
      </c>
      <c r="AN713" s="1446"/>
      <c r="AO713" s="1447"/>
      <c r="BA713" s="43"/>
      <c r="BB713" s="43"/>
      <c r="BC713" s="43"/>
      <c r="BD713" s="43"/>
      <c r="BE713" s="43"/>
      <c r="BF713" s="43"/>
      <c r="BG713" s="858">
        <f t="shared" si="31"/>
        <v>3</v>
      </c>
      <c r="BH713" s="862">
        <f t="shared" si="32"/>
        <v>0.10714285714285714</v>
      </c>
      <c r="BI713" s="863">
        <f t="shared" si="33"/>
        <v>5.3571428571428568E-2</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 customHeight="1">
      <c r="B714" s="1219"/>
      <c r="C714" s="1220"/>
      <c r="D714" s="1220"/>
      <c r="E714" s="1220"/>
      <c r="F714" s="1221"/>
      <c r="G714" s="1216"/>
      <c r="H714" s="1217"/>
      <c r="I714" s="1217"/>
      <c r="J714" s="1218"/>
      <c r="K714" s="1224"/>
      <c r="L714" s="1225"/>
      <c r="M714" s="1225"/>
      <c r="N714" s="1226"/>
      <c r="O714" s="1227"/>
      <c r="P714" s="1228"/>
      <c r="Q714" s="1228"/>
      <c r="R714" s="1228"/>
      <c r="S714" s="1229"/>
      <c r="T714" s="1230">
        <f t="shared" si="28"/>
        <v>0</v>
      </c>
      <c r="U714" s="1231"/>
      <c r="V714" s="1231"/>
      <c r="W714" s="1231"/>
      <c r="X714" s="1232"/>
      <c r="Y714" s="1227"/>
      <c r="Z714" s="1228"/>
      <c r="AA714" s="1228"/>
      <c r="AB714" s="1229"/>
      <c r="AC714" s="1230">
        <f t="shared" si="29"/>
        <v>0</v>
      </c>
      <c r="AD714" s="1231"/>
      <c r="AE714" s="1231"/>
      <c r="AF714" s="1231"/>
      <c r="AG714" s="1232"/>
      <c r="AH714" s="1244"/>
      <c r="AI714" s="1245"/>
      <c r="AJ714" s="1245"/>
      <c r="AK714" s="1245"/>
      <c r="AL714" s="1246"/>
      <c r="AM714" s="1445" t="str">
        <f t="shared" si="30"/>
        <v xml:space="preserve"> </v>
      </c>
      <c r="AN714" s="1446"/>
      <c r="AO714" s="1447"/>
      <c r="BA714" s="3"/>
      <c r="BB714" s="41"/>
      <c r="BC714" s="41"/>
      <c r="BD714" s="41"/>
      <c r="BE714" s="43"/>
      <c r="BF714" s="43"/>
      <c r="BG714" s="858">
        <f t="shared" si="31"/>
        <v>2</v>
      </c>
      <c r="BH714" s="862">
        <f t="shared" si="32"/>
        <v>7.1428571428571425E-2</v>
      </c>
      <c r="BI714" s="863">
        <f t="shared" si="33"/>
        <v>4.2851220090026058E-2</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 customHeight="1">
      <c r="B715" s="1219"/>
      <c r="C715" s="1220"/>
      <c r="D715" s="1220"/>
      <c r="E715" s="1220"/>
      <c r="F715" s="1221"/>
      <c r="G715" s="1216"/>
      <c r="H715" s="1217"/>
      <c r="I715" s="1217"/>
      <c r="J715" s="1218"/>
      <c r="K715" s="1224"/>
      <c r="L715" s="1225"/>
      <c r="M715" s="1225"/>
      <c r="N715" s="1226"/>
      <c r="O715" s="1227"/>
      <c r="P715" s="1228"/>
      <c r="Q715" s="1228"/>
      <c r="R715" s="1228"/>
      <c r="S715" s="1229"/>
      <c r="T715" s="1230">
        <f t="shared" si="28"/>
        <v>0</v>
      </c>
      <c r="U715" s="1231"/>
      <c r="V715" s="1231"/>
      <c r="W715" s="1231"/>
      <c r="X715" s="1232"/>
      <c r="Y715" s="1227"/>
      <c r="Z715" s="1228"/>
      <c r="AA715" s="1228"/>
      <c r="AB715" s="1229"/>
      <c r="AC715" s="1230">
        <f t="shared" si="29"/>
        <v>0</v>
      </c>
      <c r="AD715" s="1231"/>
      <c r="AE715" s="1231"/>
      <c r="AF715" s="1231"/>
      <c r="AG715" s="1232"/>
      <c r="AH715" s="1244"/>
      <c r="AI715" s="1245"/>
      <c r="AJ715" s="1245"/>
      <c r="AK715" s="1245"/>
      <c r="AL715" s="1246"/>
      <c r="AM715" s="1445" t="str">
        <f t="shared" si="30"/>
        <v xml:space="preserve"> </v>
      </c>
      <c r="AN715" s="1446"/>
      <c r="AO715" s="1447"/>
      <c r="BA715" s="41"/>
      <c r="BB715" s="41"/>
      <c r="BC715" s="41"/>
      <c r="BD715" s="41"/>
      <c r="BE715" s="43"/>
      <c r="BF715" s="43"/>
      <c r="BG715" s="858">
        <f t="shared" si="31"/>
        <v>1</v>
      </c>
      <c r="BH715" s="862">
        <f t="shared" si="32"/>
        <v>3.5714285714285712E-2</v>
      </c>
      <c r="BI715" s="863">
        <f t="shared" si="33"/>
        <v>1.0716849553891909E-2</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 customHeight="1">
      <c r="B716" s="1219"/>
      <c r="C716" s="1220"/>
      <c r="D716" s="1220"/>
      <c r="E716" s="1220"/>
      <c r="F716" s="1221"/>
      <c r="G716" s="1216"/>
      <c r="H716" s="1217"/>
      <c r="I716" s="1217"/>
      <c r="J716" s="1218"/>
      <c r="K716" s="1224"/>
      <c r="L716" s="1225"/>
      <c r="M716" s="1225"/>
      <c r="N716" s="1226"/>
      <c r="O716" s="1227"/>
      <c r="P716" s="1228"/>
      <c r="Q716" s="1228"/>
      <c r="R716" s="1228"/>
      <c r="S716" s="1229"/>
      <c r="T716" s="1230">
        <f t="shared" si="28"/>
        <v>0</v>
      </c>
      <c r="U716" s="1231"/>
      <c r="V716" s="1231"/>
      <c r="W716" s="1231"/>
      <c r="X716" s="1232"/>
      <c r="Y716" s="1227"/>
      <c r="Z716" s="1228"/>
      <c r="AA716" s="1228"/>
      <c r="AB716" s="1229"/>
      <c r="AC716" s="1230">
        <f t="shared" si="29"/>
        <v>0</v>
      </c>
      <c r="AD716" s="1231"/>
      <c r="AE716" s="1231"/>
      <c r="AF716" s="1231"/>
      <c r="AG716" s="1232"/>
      <c r="AH716" s="1244"/>
      <c r="AI716" s="1245"/>
      <c r="AJ716" s="1245"/>
      <c r="AK716" s="1245"/>
      <c r="AL716" s="1246"/>
      <c r="AM716" s="1445" t="str">
        <f t="shared" si="30"/>
        <v xml:space="preserve"> </v>
      </c>
      <c r="AN716" s="1446"/>
      <c r="AO716" s="1447"/>
      <c r="BA716" s="41"/>
      <c r="BB716" s="41"/>
      <c r="BC716" s="41"/>
      <c r="BD716" s="41"/>
      <c r="BE716" s="43"/>
      <c r="BF716" s="43"/>
      <c r="BG716" s="858">
        <f t="shared" si="31"/>
        <v>2</v>
      </c>
      <c r="BH716" s="862">
        <f t="shared" si="32"/>
        <v>7.1428571428571425E-2</v>
      </c>
      <c r="BI716" s="863">
        <f t="shared" si="33"/>
        <v>2.8586811609065736E-2</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 customHeight="1">
      <c r="B717" s="1089" t="s">
        <v>916</v>
      </c>
      <c r="C717" s="1090"/>
      <c r="D717" s="1090"/>
      <c r="E717" s="1090"/>
      <c r="F717" s="1092"/>
      <c r="G717" s="1256">
        <f>SUM(G692:J716)</f>
        <v>28</v>
      </c>
      <c r="H717" s="1257"/>
      <c r="I717" s="1257"/>
      <c r="J717" s="1258"/>
      <c r="O717" s="434" t="s">
        <v>915</v>
      </c>
      <c r="P717" s="168"/>
      <c r="Q717" s="168"/>
      <c r="R717" s="168"/>
      <c r="S717" s="849"/>
      <c r="T717" s="1230">
        <f>SUM(T692:X716)</f>
        <v>29101</v>
      </c>
      <c r="U717" s="1231"/>
      <c r="V717" s="1231"/>
      <c r="W717" s="1231"/>
      <c r="X717" s="1232"/>
      <c r="AC717" s="850" t="s">
        <v>1185</v>
      </c>
      <c r="AD717" s="851"/>
      <c r="AE717" s="851"/>
      <c r="AF717" s="851"/>
      <c r="AG717" s="852"/>
      <c r="AH717" s="1503">
        <f>BI701</f>
        <v>0.48928571428571427</v>
      </c>
      <c r="AI717" s="1504"/>
      <c r="AJ717" s="1504"/>
      <c r="AK717" s="1504"/>
      <c r="AL717" s="1505"/>
      <c r="AM717" s="1503">
        <f>BI732</f>
        <v>0.48930207098714873</v>
      </c>
      <c r="AN717" s="1504"/>
      <c r="AO717" s="1505"/>
      <c r="BA717" s="41"/>
      <c r="BB717" s="41"/>
      <c r="BC717" s="41"/>
      <c r="BD717" s="41"/>
      <c r="BE717" s="43"/>
      <c r="BF717" s="43"/>
      <c r="BG717" s="858">
        <f t="shared" si="31"/>
        <v>4</v>
      </c>
      <c r="BH717" s="862">
        <f t="shared" si="32"/>
        <v>0.14285714285714285</v>
      </c>
      <c r="BI717" s="863">
        <f t="shared" si="33"/>
        <v>7.1428571428571425E-2</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 customHeight="1">
      <c r="B718" s="62"/>
      <c r="C718" s="1096" t="s">
        <v>2156</v>
      </c>
      <c r="D718" s="1096"/>
      <c r="E718" s="1096"/>
      <c r="F718" s="1096"/>
      <c r="G718" s="1096"/>
      <c r="H718" s="1096"/>
      <c r="I718" s="1096"/>
      <c r="J718" s="1096"/>
      <c r="K718" s="1096"/>
      <c r="L718" s="1096"/>
      <c r="M718" s="1096"/>
      <c r="N718" s="1096"/>
      <c r="O718" s="1096"/>
      <c r="P718" s="1096"/>
      <c r="Q718" s="1096"/>
      <c r="R718" s="1096"/>
      <c r="S718" s="1096"/>
      <c r="T718" s="1096"/>
      <c r="U718" s="1096"/>
      <c r="V718" s="1096"/>
      <c r="W718" s="1096"/>
      <c r="X718" s="1096"/>
      <c r="Y718" s="1096"/>
      <c r="Z718" s="1096"/>
      <c r="AA718" s="1096"/>
      <c r="AB718" s="1096"/>
      <c r="AC718" s="1096"/>
      <c r="AD718" s="1096"/>
      <c r="AE718" s="1096"/>
      <c r="AF718" s="1096"/>
      <c r="AG718" s="1096"/>
      <c r="AH718" s="1096"/>
      <c r="AL718" s="41"/>
      <c r="AM718" s="43"/>
      <c r="BA718" s="41"/>
      <c r="BB718" s="41"/>
      <c r="BC718" s="41"/>
      <c r="BD718" s="41"/>
      <c r="BE718" s="41"/>
      <c r="BF718" s="41"/>
      <c r="BG718" s="858">
        <f t="shared" si="31"/>
        <v>2</v>
      </c>
      <c r="BH718" s="862">
        <f t="shared" si="32"/>
        <v>7.1428571428571425E-2</v>
      </c>
      <c r="BI718" s="863">
        <f t="shared" si="33"/>
        <v>4.2867398215567634E-2</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 customHeight="1">
      <c r="C719" s="1096"/>
      <c r="D719" s="1096"/>
      <c r="E719" s="1096"/>
      <c r="F719" s="1096"/>
      <c r="G719" s="1096"/>
      <c r="H719" s="1096"/>
      <c r="I719" s="1096"/>
      <c r="J719" s="1096"/>
      <c r="K719" s="1096"/>
      <c r="L719" s="1096"/>
      <c r="M719" s="1096"/>
      <c r="N719" s="1096"/>
      <c r="O719" s="1096"/>
      <c r="P719" s="1096"/>
      <c r="Q719" s="1096"/>
      <c r="R719" s="1096"/>
      <c r="S719" s="1096"/>
      <c r="T719" s="1096"/>
      <c r="U719" s="1096"/>
      <c r="V719" s="1096"/>
      <c r="W719" s="1096"/>
      <c r="X719" s="1096"/>
      <c r="Y719" s="1096"/>
      <c r="Z719" s="1096"/>
      <c r="AA719" s="1096"/>
      <c r="AB719" s="1096"/>
      <c r="AC719" s="1096"/>
      <c r="AD719" s="1096"/>
      <c r="AE719" s="1096"/>
      <c r="AF719" s="1096"/>
      <c r="AG719" s="1096"/>
      <c r="AH719" s="1096"/>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 customHeight="1">
      <c r="C720" s="270" t="s">
        <v>2157</v>
      </c>
      <c r="D720" s="929"/>
      <c r="E720" s="929"/>
      <c r="F720" s="929"/>
      <c r="G720" s="930"/>
      <c r="H720" s="930"/>
      <c r="I720" s="930"/>
      <c r="J720" s="930"/>
      <c r="K720" s="929"/>
      <c r="L720" s="929"/>
      <c r="M720" s="929"/>
      <c r="N720" s="929"/>
      <c r="O720" s="1235">
        <f>CQ615</f>
        <v>53</v>
      </c>
      <c r="P720" s="1235"/>
      <c r="Q720" s="1235"/>
      <c r="R720" s="1235"/>
      <c r="S720" s="931"/>
      <c r="T720" s="931"/>
      <c r="U720" s="270" t="s">
        <v>2158</v>
      </c>
      <c r="V720" s="929"/>
      <c r="W720" s="929"/>
      <c r="X720" s="929"/>
      <c r="Y720" s="930"/>
      <c r="Z720" s="930"/>
      <c r="AA720" s="930"/>
      <c r="AB720" s="930"/>
      <c r="AC720" s="929"/>
      <c r="AD720" s="929"/>
      <c r="AE720" s="929"/>
      <c r="AF720" s="929"/>
      <c r="AG720" s="1268"/>
      <c r="AH720" s="1268"/>
      <c r="AI720" s="1268"/>
      <c r="AJ720" s="1268"/>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 customHeight="1">
      <c r="B722" s="932"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09" t="s">
        <v>131</v>
      </c>
      <c r="AA722" s="1509"/>
      <c r="AB722" s="1509"/>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 customHeight="1">
      <c r="B723" s="970" t="s">
        <v>2154</v>
      </c>
      <c r="C723" s="970"/>
      <c r="D723" s="970"/>
      <c r="E723" s="970"/>
      <c r="F723" s="970"/>
      <c r="G723" s="970"/>
      <c r="H723" s="970"/>
      <c r="I723" s="970"/>
      <c r="J723" s="970"/>
      <c r="K723" s="970"/>
      <c r="L723" s="970"/>
      <c r="M723" s="970"/>
      <c r="N723" s="970"/>
      <c r="O723" s="970"/>
      <c r="P723" s="970"/>
      <c r="Q723" s="970"/>
      <c r="R723" s="970"/>
      <c r="S723" s="970"/>
      <c r="T723" s="970"/>
      <c r="U723" s="970"/>
      <c r="V723" s="970"/>
      <c r="W723" s="970"/>
      <c r="X723" s="970"/>
      <c r="Y723" s="970"/>
      <c r="Z723" s="970"/>
      <c r="AA723" s="970"/>
      <c r="AB723" s="970"/>
      <c r="AC723" s="970"/>
      <c r="AD723" s="970"/>
      <c r="AE723" s="970"/>
      <c r="AF723" s="970"/>
      <c r="AG723" s="970"/>
      <c r="AH723" s="970"/>
      <c r="AI723" s="970"/>
      <c r="AJ723" s="970"/>
      <c r="AK723" s="970"/>
      <c r="AL723" s="970"/>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0"/>
      <c r="C724" s="970"/>
      <c r="D724" s="970"/>
      <c r="E724" s="970"/>
      <c r="F724" s="970"/>
      <c r="G724" s="970"/>
      <c r="H724" s="970"/>
      <c r="I724" s="970"/>
      <c r="J724" s="970"/>
      <c r="K724" s="970"/>
      <c r="L724" s="970"/>
      <c r="M724" s="970"/>
      <c r="N724" s="970"/>
      <c r="O724" s="970"/>
      <c r="P724" s="970"/>
      <c r="Q724" s="970"/>
      <c r="R724" s="970"/>
      <c r="S724" s="970"/>
      <c r="T724" s="970"/>
      <c r="U724" s="970"/>
      <c r="V724" s="970"/>
      <c r="W724" s="970"/>
      <c r="X724" s="970"/>
      <c r="Y724" s="970"/>
      <c r="Z724" s="970"/>
      <c r="AA724" s="970"/>
      <c r="AB724" s="970"/>
      <c r="AC724" s="970"/>
      <c r="AD724" s="970"/>
      <c r="AE724" s="970"/>
      <c r="AF724" s="970"/>
      <c r="AG724" s="970"/>
      <c r="AH724" s="970"/>
      <c r="AI724" s="970"/>
      <c r="AJ724" s="970"/>
      <c r="AK724" s="970"/>
      <c r="AL724" s="970"/>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 customHeight="1">
      <c r="A725" s="3" t="s">
        <v>8</v>
      </c>
      <c r="B725" s="62"/>
      <c r="C725" s="63" t="s">
        <v>377</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 customHeight="1">
      <c r="A726" s="3"/>
      <c r="B726" s="62"/>
      <c r="C726" s="970" t="s">
        <v>1584</v>
      </c>
      <c r="D726" s="970"/>
      <c r="E726" s="970"/>
      <c r="F726" s="970"/>
      <c r="G726" s="970"/>
      <c r="H726" s="970"/>
      <c r="I726" s="970"/>
      <c r="J726" s="970"/>
      <c r="K726" s="970"/>
      <c r="L726" s="970"/>
      <c r="M726" s="970"/>
      <c r="N726" s="970"/>
      <c r="O726" s="970"/>
      <c r="P726" s="970"/>
      <c r="Q726" s="970"/>
      <c r="R726" s="970"/>
      <c r="S726" s="970"/>
      <c r="T726" s="970"/>
      <c r="U726" s="970"/>
      <c r="V726" s="970"/>
      <c r="W726" s="970"/>
      <c r="X726" s="970"/>
      <c r="Y726" s="970"/>
      <c r="Z726" s="970"/>
      <c r="AA726" s="970"/>
      <c r="AB726" s="970"/>
      <c r="AC726" s="970"/>
      <c r="AD726" s="970"/>
      <c r="AE726" s="970"/>
      <c r="AF726" s="970"/>
      <c r="AG726" s="970"/>
      <c r="AH726" s="970"/>
      <c r="AI726" s="970"/>
      <c r="AJ726" s="970"/>
      <c r="AK726" s="970"/>
      <c r="AL726" s="970"/>
      <c r="AM726" s="970"/>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 customHeight="1">
      <c r="A727" s="3"/>
      <c r="B727" s="62"/>
      <c r="C727" s="970"/>
      <c r="D727" s="970"/>
      <c r="E727" s="970"/>
      <c r="F727" s="970"/>
      <c r="G727" s="970"/>
      <c r="H727" s="970"/>
      <c r="I727" s="970"/>
      <c r="J727" s="970"/>
      <c r="K727" s="970"/>
      <c r="L727" s="970"/>
      <c r="M727" s="970"/>
      <c r="N727" s="970"/>
      <c r="O727" s="970"/>
      <c r="P727" s="970"/>
      <c r="Q727" s="970"/>
      <c r="R727" s="970"/>
      <c r="S727" s="970"/>
      <c r="T727" s="970"/>
      <c r="U727" s="970"/>
      <c r="V727" s="970"/>
      <c r="W727" s="970"/>
      <c r="X727" s="970"/>
      <c r="Y727" s="970"/>
      <c r="Z727" s="970"/>
      <c r="AA727" s="970"/>
      <c r="AB727" s="970"/>
      <c r="AC727" s="970"/>
      <c r="AD727" s="970"/>
      <c r="AE727" s="970"/>
      <c r="AF727" s="970"/>
      <c r="AG727" s="970"/>
      <c r="AH727" s="970"/>
      <c r="AI727" s="970"/>
      <c r="AJ727" s="970"/>
      <c r="AK727" s="970"/>
      <c r="AL727" s="970"/>
      <c r="AM727" s="970"/>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 customHeight="1">
      <c r="A728" s="3"/>
      <c r="B728" s="62"/>
      <c r="C728" s="970"/>
      <c r="D728" s="970"/>
      <c r="E728" s="970"/>
      <c r="F728" s="970"/>
      <c r="G728" s="970"/>
      <c r="H728" s="970"/>
      <c r="I728" s="970"/>
      <c r="J728" s="970"/>
      <c r="K728" s="970"/>
      <c r="L728" s="970"/>
      <c r="M728" s="970"/>
      <c r="N728" s="970"/>
      <c r="O728" s="970"/>
      <c r="P728" s="970"/>
      <c r="Q728" s="970"/>
      <c r="R728" s="970"/>
      <c r="S728" s="970"/>
      <c r="T728" s="970"/>
      <c r="U728" s="970"/>
      <c r="V728" s="970"/>
      <c r="W728" s="970"/>
      <c r="X728" s="970"/>
      <c r="Y728" s="970"/>
      <c r="Z728" s="970"/>
      <c r="AA728" s="970"/>
      <c r="AB728" s="970"/>
      <c r="AC728" s="970"/>
      <c r="AD728" s="970"/>
      <c r="AE728" s="970"/>
      <c r="AF728" s="970"/>
      <c r="AG728" s="970"/>
      <c r="AH728" s="970"/>
      <c r="AI728" s="970"/>
      <c r="AJ728" s="970"/>
      <c r="AK728" s="970"/>
      <c r="AL728" s="970"/>
      <c r="AM728" s="970"/>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 customHeight="1">
      <c r="A729" s="3"/>
      <c r="B729" s="62"/>
      <c r="C729" s="970"/>
      <c r="D729" s="970"/>
      <c r="E729" s="970"/>
      <c r="F729" s="970"/>
      <c r="G729" s="970"/>
      <c r="H729" s="970"/>
      <c r="I729" s="970"/>
      <c r="J729" s="970"/>
      <c r="K729" s="970"/>
      <c r="L729" s="970"/>
      <c r="M729" s="970"/>
      <c r="N729" s="970"/>
      <c r="O729" s="970"/>
      <c r="P729" s="970"/>
      <c r="Q729" s="970"/>
      <c r="R729" s="970"/>
      <c r="S729" s="970"/>
      <c r="T729" s="970"/>
      <c r="U729" s="970"/>
      <c r="V729" s="970"/>
      <c r="W729" s="970"/>
      <c r="X729" s="970"/>
      <c r="Y729" s="970"/>
      <c r="Z729" s="970"/>
      <c r="AA729" s="970"/>
      <c r="AB729" s="970"/>
      <c r="AC729" s="970"/>
      <c r="AD729" s="970"/>
      <c r="AE729" s="970"/>
      <c r="AF729" s="970"/>
      <c r="AG729" s="970"/>
      <c r="AH729" s="970"/>
      <c r="AI729" s="970"/>
      <c r="AJ729" s="970"/>
      <c r="AK729" s="970"/>
      <c r="AL729" s="970"/>
      <c r="AM729" s="970"/>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 customHeight="1">
      <c r="A730" s="3"/>
      <c r="B730" s="62"/>
      <c r="C730" s="970"/>
      <c r="D730" s="970"/>
      <c r="E730" s="970"/>
      <c r="F730" s="970"/>
      <c r="G730" s="970"/>
      <c r="H730" s="970"/>
      <c r="I730" s="970"/>
      <c r="J730" s="970"/>
      <c r="K730" s="970"/>
      <c r="L730" s="970"/>
      <c r="M730" s="970"/>
      <c r="N730" s="970"/>
      <c r="O730" s="970"/>
      <c r="P730" s="970"/>
      <c r="Q730" s="970"/>
      <c r="R730" s="970"/>
      <c r="S730" s="970"/>
      <c r="T730" s="970"/>
      <c r="U730" s="970"/>
      <c r="V730" s="970"/>
      <c r="W730" s="970"/>
      <c r="X730" s="970"/>
      <c r="Y730" s="970"/>
      <c r="Z730" s="970"/>
      <c r="AA730" s="970"/>
      <c r="AB730" s="970"/>
      <c r="AC730" s="970"/>
      <c r="AD730" s="970"/>
      <c r="AE730" s="970"/>
      <c r="AF730" s="970"/>
      <c r="AG730" s="970"/>
      <c r="AH730" s="970"/>
      <c r="AI730" s="970"/>
      <c r="AJ730" s="970"/>
      <c r="AK730" s="970"/>
      <c r="AL730" s="970"/>
      <c r="AM730" s="970"/>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 customHeight="1">
      <c r="B731" s="62"/>
      <c r="C731" s="970"/>
      <c r="D731" s="970"/>
      <c r="E731" s="970"/>
      <c r="F731" s="970"/>
      <c r="G731" s="970"/>
      <c r="H731" s="970"/>
      <c r="I731" s="970"/>
      <c r="J731" s="970"/>
      <c r="K731" s="970"/>
      <c r="L731" s="970"/>
      <c r="M731" s="970"/>
      <c r="N731" s="970"/>
      <c r="O731" s="970"/>
      <c r="P731" s="970"/>
      <c r="Q731" s="970"/>
      <c r="R731" s="970"/>
      <c r="S731" s="970"/>
      <c r="T731" s="970"/>
      <c r="U731" s="970"/>
      <c r="V731" s="970"/>
      <c r="W731" s="970"/>
      <c r="X731" s="970"/>
      <c r="Y731" s="970"/>
      <c r="Z731" s="970"/>
      <c r="AA731" s="970"/>
      <c r="AB731" s="970"/>
      <c r="AC731" s="970"/>
      <c r="AD731" s="970"/>
      <c r="AE731" s="970"/>
      <c r="AF731" s="970"/>
      <c r="AG731" s="970"/>
      <c r="AH731" s="970"/>
      <c r="AI731" s="970"/>
      <c r="AJ731" s="970"/>
      <c r="AK731" s="970"/>
      <c r="AL731" s="970"/>
      <c r="AM731" s="970"/>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 customHeight="1">
      <c r="B732" s="62"/>
      <c r="C732" s="970"/>
      <c r="D732" s="970"/>
      <c r="E732" s="970"/>
      <c r="F732" s="970"/>
      <c r="G732" s="970"/>
      <c r="H732" s="970"/>
      <c r="I732" s="970"/>
      <c r="J732" s="970"/>
      <c r="K732" s="970"/>
      <c r="L732" s="970"/>
      <c r="M732" s="970"/>
      <c r="N732" s="970"/>
      <c r="O732" s="970"/>
      <c r="P732" s="970"/>
      <c r="Q732" s="970"/>
      <c r="R732" s="970"/>
      <c r="S732" s="970"/>
      <c r="T732" s="970"/>
      <c r="U732" s="970"/>
      <c r="V732" s="970"/>
      <c r="W732" s="970"/>
      <c r="X732" s="970"/>
      <c r="Y732" s="970"/>
      <c r="Z732" s="970"/>
      <c r="AA732" s="970"/>
      <c r="AB732" s="970"/>
      <c r="AC732" s="970"/>
      <c r="AD732" s="970"/>
      <c r="AE732" s="970"/>
      <c r="AF732" s="970"/>
      <c r="AG732" s="970"/>
      <c r="AH732" s="970"/>
      <c r="AI732" s="970"/>
      <c r="AJ732" s="970"/>
      <c r="AK732" s="970"/>
      <c r="AL732" s="970"/>
      <c r="AM732" s="970"/>
      <c r="BA732" s="41"/>
      <c r="BB732" s="41"/>
      <c r="BC732" s="41"/>
      <c r="BD732" s="41"/>
      <c r="BE732" s="41"/>
      <c r="BF732" s="41"/>
      <c r="BG732" s="859">
        <f>SUM(BG707:BG731)</f>
        <v>28</v>
      </c>
      <c r="BH732" s="860">
        <f>SUM(BH707:BH731)</f>
        <v>0.99999999999999978</v>
      </c>
      <c r="BI732" s="860">
        <f>SUM(BI707:BI731)</f>
        <v>0.48930207098714873</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 customHeight="1">
      <c r="B733" s="62"/>
      <c r="C733" s="970"/>
      <c r="D733" s="970"/>
      <c r="E733" s="970"/>
      <c r="F733" s="970"/>
      <c r="G733" s="970"/>
      <c r="H733" s="970"/>
      <c r="I733" s="970"/>
      <c r="J733" s="970"/>
      <c r="K733" s="970"/>
      <c r="L733" s="970"/>
      <c r="M733" s="970"/>
      <c r="N733" s="970"/>
      <c r="O733" s="970"/>
      <c r="P733" s="970"/>
      <c r="Q733" s="970"/>
      <c r="R733" s="970"/>
      <c r="S733" s="970"/>
      <c r="T733" s="970"/>
      <c r="U733" s="970"/>
      <c r="V733" s="970"/>
      <c r="W733" s="970"/>
      <c r="X733" s="970"/>
      <c r="Y733" s="970"/>
      <c r="Z733" s="970"/>
      <c r="AA733" s="970"/>
      <c r="AB733" s="970"/>
      <c r="AC733" s="970"/>
      <c r="AD733" s="970"/>
      <c r="AE733" s="970"/>
      <c r="AF733" s="970"/>
      <c r="AG733" s="970"/>
      <c r="AH733" s="970"/>
      <c r="AI733" s="970"/>
      <c r="AJ733" s="970"/>
      <c r="AK733" s="970"/>
      <c r="AL733" s="970"/>
      <c r="AM733" s="97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 customHeight="1">
      <c r="J734" s="1247" t="s">
        <v>57</v>
      </c>
      <c r="K734" s="1248"/>
      <c r="L734" s="1248"/>
      <c r="M734" s="1248"/>
      <c r="N734" s="1249"/>
      <c r="O734" s="1262" t="s">
        <v>269</v>
      </c>
      <c r="P734" s="1262"/>
      <c r="Q734" s="1262"/>
      <c r="R734" s="1262"/>
      <c r="S734" s="1262"/>
      <c r="T734" s="1497" t="s">
        <v>2087</v>
      </c>
      <c r="U734" s="1498"/>
      <c r="V734" s="1498"/>
      <c r="W734" s="1499"/>
      <c r="X734" s="1247" t="s">
        <v>623</v>
      </c>
      <c r="Y734" s="1248"/>
      <c r="Z734" s="1248"/>
      <c r="AA734" s="1248"/>
      <c r="AB734" s="1249"/>
      <c r="AC734" s="1247" t="s">
        <v>270</v>
      </c>
      <c r="AD734" s="1248"/>
      <c r="AE734" s="1248"/>
      <c r="AF734" s="1248"/>
      <c r="AG734" s="1249"/>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 customHeight="1">
      <c r="J735" s="1250"/>
      <c r="K735" s="1251"/>
      <c r="L735" s="1251"/>
      <c r="M735" s="1251"/>
      <c r="N735" s="1252"/>
      <c r="O735" s="1262"/>
      <c r="P735" s="1262"/>
      <c r="Q735" s="1262"/>
      <c r="R735" s="1262"/>
      <c r="S735" s="1262"/>
      <c r="T735" s="1500"/>
      <c r="U735" s="1501"/>
      <c r="V735" s="1501"/>
      <c r="W735" s="1502"/>
      <c r="X735" s="1250"/>
      <c r="Y735" s="1251"/>
      <c r="Z735" s="1251"/>
      <c r="AA735" s="1251"/>
      <c r="AB735" s="1252"/>
      <c r="AC735" s="1250"/>
      <c r="AD735" s="1251"/>
      <c r="AE735" s="1251"/>
      <c r="AF735" s="1251"/>
      <c r="AG735" s="1252"/>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 customHeight="1">
      <c r="J736" s="1250"/>
      <c r="K736" s="1251"/>
      <c r="L736" s="1251"/>
      <c r="M736" s="1251"/>
      <c r="N736" s="1252"/>
      <c r="O736" s="1262"/>
      <c r="P736" s="1262"/>
      <c r="Q736" s="1262"/>
      <c r="R736" s="1262"/>
      <c r="S736" s="1262"/>
      <c r="T736" s="1500"/>
      <c r="U736" s="1501"/>
      <c r="V736" s="1501"/>
      <c r="W736" s="1502"/>
      <c r="X736" s="1250"/>
      <c r="Y736" s="1251"/>
      <c r="Z736" s="1251"/>
      <c r="AA736" s="1251"/>
      <c r="AB736" s="1252"/>
      <c r="AC736" s="1250"/>
      <c r="AD736" s="1251"/>
      <c r="AE736" s="1251"/>
      <c r="AF736" s="1251"/>
      <c r="AG736" s="1252"/>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 customHeight="1">
      <c r="J737" s="1253"/>
      <c r="K737" s="1254"/>
      <c r="L737" s="1254"/>
      <c r="M737" s="1254"/>
      <c r="N737" s="1255"/>
      <c r="O737" s="1262"/>
      <c r="P737" s="1262"/>
      <c r="Q737" s="1262"/>
      <c r="R737" s="1262"/>
      <c r="S737" s="1262"/>
      <c r="T737" s="1506"/>
      <c r="U737" s="1507"/>
      <c r="V737" s="1507"/>
      <c r="W737" s="1508"/>
      <c r="X737" s="1253"/>
      <c r="Y737" s="1254"/>
      <c r="Z737" s="1254"/>
      <c r="AA737" s="1254"/>
      <c r="AB737" s="1255"/>
      <c r="AC737" s="1253"/>
      <c r="AD737" s="1254"/>
      <c r="AE737" s="1254"/>
      <c r="AF737" s="1254"/>
      <c r="AG737" s="1255"/>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 customHeight="1">
      <c r="J738" s="1219" t="s">
        <v>815</v>
      </c>
      <c r="K738" s="1220"/>
      <c r="L738" s="1220"/>
      <c r="M738" s="1220"/>
      <c r="N738" s="1221"/>
      <c r="O738" s="1223">
        <v>1</v>
      </c>
      <c r="P738" s="1223"/>
      <c r="Q738" s="1223"/>
      <c r="R738" s="1223"/>
      <c r="S738" s="1223"/>
      <c r="T738" s="1224">
        <v>807</v>
      </c>
      <c r="U738" s="1225"/>
      <c r="V738" s="1225"/>
      <c r="W738" s="1226"/>
      <c r="X738" s="1227"/>
      <c r="Y738" s="1228"/>
      <c r="Z738" s="1228"/>
      <c r="AA738" s="1228"/>
      <c r="AB738" s="1229"/>
      <c r="AC738" s="1230">
        <f>X738*O738</f>
        <v>0</v>
      </c>
      <c r="AD738" s="1231"/>
      <c r="AE738" s="1231"/>
      <c r="AF738" s="1231"/>
      <c r="AG738" s="1232"/>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J739" s="1219"/>
      <c r="K739" s="1220"/>
      <c r="L739" s="1220"/>
      <c r="M739" s="1220"/>
      <c r="N739" s="1221"/>
      <c r="O739" s="1223"/>
      <c r="P739" s="1223"/>
      <c r="Q739" s="1223"/>
      <c r="R739" s="1223"/>
      <c r="S739" s="1223"/>
      <c r="T739" s="1224"/>
      <c r="U739" s="1225"/>
      <c r="V739" s="1225"/>
      <c r="W739" s="1226"/>
      <c r="X739" s="1227"/>
      <c r="Y739" s="1228"/>
      <c r="Z739" s="1228"/>
      <c r="AA739" s="1228"/>
      <c r="AB739" s="1229"/>
      <c r="AC739" s="1230">
        <f>X739*O739</f>
        <v>0</v>
      </c>
      <c r="AD739" s="1231"/>
      <c r="AE739" s="1231"/>
      <c r="AF739" s="1231"/>
      <c r="AG739" s="1232"/>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J740" s="1219"/>
      <c r="K740" s="1220"/>
      <c r="L740" s="1220"/>
      <c r="M740" s="1220"/>
      <c r="N740" s="1221"/>
      <c r="O740" s="1223"/>
      <c r="P740" s="1223"/>
      <c r="Q740" s="1223"/>
      <c r="R740" s="1223"/>
      <c r="S740" s="1223"/>
      <c r="T740" s="1224"/>
      <c r="U740" s="1225"/>
      <c r="V740" s="1225"/>
      <c r="W740" s="1226"/>
      <c r="X740" s="1227"/>
      <c r="Y740" s="1228"/>
      <c r="Z740" s="1228"/>
      <c r="AA740" s="1228"/>
      <c r="AB740" s="1229"/>
      <c r="AC740" s="1230">
        <f>X740*O740</f>
        <v>0</v>
      </c>
      <c r="AD740" s="1231"/>
      <c r="AE740" s="1231"/>
      <c r="AF740" s="1231"/>
      <c r="AG740" s="1232"/>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J741" s="1219"/>
      <c r="K741" s="1220"/>
      <c r="L741" s="1220"/>
      <c r="M741" s="1220"/>
      <c r="N741" s="1221"/>
      <c r="O741" s="1223"/>
      <c r="P741" s="1223"/>
      <c r="Q741" s="1223"/>
      <c r="R741" s="1223"/>
      <c r="S741" s="1223"/>
      <c r="T741" s="1224"/>
      <c r="U741" s="1225"/>
      <c r="V741" s="1225"/>
      <c r="W741" s="1226"/>
      <c r="X741" s="1227"/>
      <c r="Y741" s="1228"/>
      <c r="Z741" s="1228"/>
      <c r="AA741" s="1228"/>
      <c r="AB741" s="1229"/>
      <c r="AC741" s="1230">
        <f>X741*O741</f>
        <v>0</v>
      </c>
      <c r="AD741" s="1231"/>
      <c r="AE741" s="1231"/>
      <c r="AF741" s="1231"/>
      <c r="AG741" s="1232"/>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J742" s="1089" t="s">
        <v>916</v>
      </c>
      <c r="K742" s="1090"/>
      <c r="L742" s="1090"/>
      <c r="M742" s="1090"/>
      <c r="N742" s="1092"/>
      <c r="O742" s="1241">
        <f>SUM(O738:S741)</f>
        <v>1</v>
      </c>
      <c r="P742" s="1308"/>
      <c r="Q742" s="1308"/>
      <c r="R742" s="1308"/>
      <c r="S742" s="1242"/>
      <c r="X742" s="1089" t="s">
        <v>915</v>
      </c>
      <c r="Y742" s="1090"/>
      <c r="Z742" s="1090"/>
      <c r="AA742" s="1090"/>
      <c r="AB742" s="1092"/>
      <c r="AC742" s="1230">
        <f>SUM(AC738:AG741)</f>
        <v>0</v>
      </c>
      <c r="AD742" s="1231"/>
      <c r="AE742" s="1231"/>
      <c r="AF742" s="1231"/>
      <c r="AG742" s="1232"/>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62"/>
      <c r="C744" s="62"/>
      <c r="D744" s="62"/>
      <c r="E744" s="62"/>
      <c r="F744" s="62"/>
      <c r="G744" s="10"/>
      <c r="H744" s="10"/>
      <c r="I744" s="10"/>
      <c r="J744" s="1111" t="s">
        <v>509</v>
      </c>
      <c r="K744" s="1111"/>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62"/>
      <c r="D745" s="62"/>
      <c r="E745" s="62"/>
      <c r="F745" s="62"/>
      <c r="G745" s="10"/>
      <c r="H745" s="10"/>
      <c r="I745" s="10"/>
      <c r="J745" s="10"/>
      <c r="K745" s="10"/>
      <c r="L745" s="62"/>
      <c r="M745" s="424"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7" t="s">
        <v>57</v>
      </c>
      <c r="K748" s="1248"/>
      <c r="L748" s="1248"/>
      <c r="M748" s="1248"/>
      <c r="N748" s="1249"/>
      <c r="O748" s="1262" t="s">
        <v>269</v>
      </c>
      <c r="P748" s="1262"/>
      <c r="Q748" s="1262"/>
      <c r="R748" s="1262"/>
      <c r="S748" s="1262"/>
      <c r="T748" s="1497" t="s">
        <v>2087</v>
      </c>
      <c r="U748" s="1498"/>
      <c r="V748" s="1498"/>
      <c r="W748" s="1499"/>
      <c r="X748" s="1247" t="s">
        <v>623</v>
      </c>
      <c r="Y748" s="1248"/>
      <c r="Z748" s="1248"/>
      <c r="AA748" s="1248"/>
      <c r="AB748" s="1249"/>
      <c r="AC748" s="1247" t="s">
        <v>270</v>
      </c>
      <c r="AD748" s="1248"/>
      <c r="AE748" s="1248"/>
      <c r="AF748" s="1248"/>
      <c r="AG748" s="1249"/>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50"/>
      <c r="K749" s="1251"/>
      <c r="L749" s="1251"/>
      <c r="M749" s="1251"/>
      <c r="N749" s="1252"/>
      <c r="O749" s="1262"/>
      <c r="P749" s="1262"/>
      <c r="Q749" s="1262"/>
      <c r="R749" s="1262"/>
      <c r="S749" s="1262"/>
      <c r="T749" s="1500"/>
      <c r="U749" s="1501"/>
      <c r="V749" s="1501"/>
      <c r="W749" s="1502"/>
      <c r="X749" s="1250"/>
      <c r="Y749" s="1251"/>
      <c r="Z749" s="1251"/>
      <c r="AA749" s="1251"/>
      <c r="AB749" s="1252"/>
      <c r="AC749" s="1250"/>
      <c r="AD749" s="1251"/>
      <c r="AE749" s="1251"/>
      <c r="AF749" s="1251"/>
      <c r="AG749" s="125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50"/>
      <c r="K750" s="1251"/>
      <c r="L750" s="1251"/>
      <c r="M750" s="1251"/>
      <c r="N750" s="1252"/>
      <c r="O750" s="1262"/>
      <c r="P750" s="1262"/>
      <c r="Q750" s="1262"/>
      <c r="R750" s="1262"/>
      <c r="S750" s="1262"/>
      <c r="T750" s="1500"/>
      <c r="U750" s="1501"/>
      <c r="V750" s="1501"/>
      <c r="W750" s="1502"/>
      <c r="X750" s="1250"/>
      <c r="Y750" s="1251"/>
      <c r="Z750" s="1251"/>
      <c r="AA750" s="1251"/>
      <c r="AB750" s="1252"/>
      <c r="AC750" s="1250"/>
      <c r="AD750" s="1251"/>
      <c r="AE750" s="1251"/>
      <c r="AF750" s="1251"/>
      <c r="AG750" s="1252"/>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J751" s="1253"/>
      <c r="K751" s="1254"/>
      <c r="L751" s="1254"/>
      <c r="M751" s="1254"/>
      <c r="N751" s="1255"/>
      <c r="O751" s="1262"/>
      <c r="P751" s="1262"/>
      <c r="Q751" s="1262"/>
      <c r="R751" s="1262"/>
      <c r="S751" s="1262"/>
      <c r="T751" s="1506"/>
      <c r="U751" s="1507"/>
      <c r="V751" s="1507"/>
      <c r="W751" s="1508"/>
      <c r="X751" s="1253"/>
      <c r="Y751" s="1254"/>
      <c r="Z751" s="1254"/>
      <c r="AA751" s="1254"/>
      <c r="AB751" s="1255"/>
      <c r="AC751" s="1253"/>
      <c r="AD751" s="1254"/>
      <c r="AE751" s="1254"/>
      <c r="AF751" s="1254"/>
      <c r="AG751" s="1255"/>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J752" s="1219"/>
      <c r="K752" s="1220"/>
      <c r="L752" s="1220"/>
      <c r="M752" s="1220"/>
      <c r="N752" s="1221"/>
      <c r="O752" s="1223"/>
      <c r="P752" s="1223"/>
      <c r="Q752" s="1223"/>
      <c r="R752" s="1223"/>
      <c r="S752" s="1223"/>
      <c r="T752" s="1224"/>
      <c r="U752" s="1225"/>
      <c r="V752" s="1225"/>
      <c r="W752" s="1226"/>
      <c r="X752" s="1227"/>
      <c r="Y752" s="1228"/>
      <c r="Z752" s="1228"/>
      <c r="AA752" s="1228"/>
      <c r="AB752" s="1229"/>
      <c r="AC752" s="1230">
        <f t="shared" ref="AC752:AC761" si="34">X752*O752</f>
        <v>0</v>
      </c>
      <c r="AD752" s="1231"/>
      <c r="AE752" s="1231"/>
      <c r="AF752" s="1231"/>
      <c r="AG752" s="1232"/>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219"/>
      <c r="K753" s="1220"/>
      <c r="L753" s="1220"/>
      <c r="M753" s="1220"/>
      <c r="N753" s="1221"/>
      <c r="O753" s="1223"/>
      <c r="P753" s="1223"/>
      <c r="Q753" s="1223"/>
      <c r="R753" s="1223"/>
      <c r="S753" s="1223"/>
      <c r="T753" s="1224"/>
      <c r="U753" s="1225"/>
      <c r="V753" s="1225"/>
      <c r="W753" s="1226"/>
      <c r="X753" s="1227"/>
      <c r="Y753" s="1228"/>
      <c r="Z753" s="1228"/>
      <c r="AA753" s="1228"/>
      <c r="AB753" s="1229"/>
      <c r="AC753" s="1230">
        <f t="shared" si="34"/>
        <v>0</v>
      </c>
      <c r="AD753" s="1231"/>
      <c r="AE753" s="1231"/>
      <c r="AF753" s="1231"/>
      <c r="AG753" s="1232"/>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219"/>
      <c r="K754" s="1220"/>
      <c r="L754" s="1220"/>
      <c r="M754" s="1220"/>
      <c r="N754" s="1221"/>
      <c r="O754" s="1223"/>
      <c r="P754" s="1223"/>
      <c r="Q754" s="1223"/>
      <c r="R754" s="1223"/>
      <c r="S754" s="1223"/>
      <c r="T754" s="1224"/>
      <c r="U754" s="1225"/>
      <c r="V754" s="1225"/>
      <c r="W754" s="1226"/>
      <c r="X754" s="1227"/>
      <c r="Y754" s="1228"/>
      <c r="Z754" s="1228"/>
      <c r="AA754" s="1228"/>
      <c r="AB754" s="1229"/>
      <c r="AC754" s="1230">
        <f t="shared" si="34"/>
        <v>0</v>
      </c>
      <c r="AD754" s="1231"/>
      <c r="AE754" s="1231"/>
      <c r="AF754" s="1231"/>
      <c r="AG754" s="1232"/>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219"/>
      <c r="K755" s="1220"/>
      <c r="L755" s="1220"/>
      <c r="M755" s="1220"/>
      <c r="N755" s="1221"/>
      <c r="O755" s="1223"/>
      <c r="P755" s="1223"/>
      <c r="Q755" s="1223"/>
      <c r="R755" s="1223"/>
      <c r="S755" s="1223"/>
      <c r="T755" s="1224"/>
      <c r="U755" s="1225"/>
      <c r="V755" s="1225"/>
      <c r="W755" s="1226"/>
      <c r="X755" s="1227"/>
      <c r="Y755" s="1228"/>
      <c r="Z755" s="1228"/>
      <c r="AA755" s="1228"/>
      <c r="AB755" s="1229"/>
      <c r="AC755" s="1230">
        <f t="shared" si="34"/>
        <v>0</v>
      </c>
      <c r="AD755" s="1231"/>
      <c r="AE755" s="1231"/>
      <c r="AF755" s="1231"/>
      <c r="AG755" s="1232"/>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219"/>
      <c r="K756" s="1220"/>
      <c r="L756" s="1220"/>
      <c r="M756" s="1220"/>
      <c r="N756" s="1221"/>
      <c r="O756" s="1223"/>
      <c r="P756" s="1223"/>
      <c r="Q756" s="1223"/>
      <c r="R756" s="1223"/>
      <c r="S756" s="1223"/>
      <c r="T756" s="1224"/>
      <c r="U756" s="1225"/>
      <c r="V756" s="1225"/>
      <c r="W756" s="1226"/>
      <c r="X756" s="1227"/>
      <c r="Y756" s="1228"/>
      <c r="Z756" s="1228"/>
      <c r="AA756" s="1228"/>
      <c r="AB756" s="1229"/>
      <c r="AC756" s="1230">
        <f t="shared" si="34"/>
        <v>0</v>
      </c>
      <c r="AD756" s="1231"/>
      <c r="AE756" s="1231"/>
      <c r="AF756" s="1231"/>
      <c r="AG756" s="1232"/>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1219"/>
      <c r="K757" s="1220"/>
      <c r="L757" s="1220"/>
      <c r="M757" s="1220"/>
      <c r="N757" s="1221"/>
      <c r="O757" s="1223"/>
      <c r="P757" s="1223"/>
      <c r="Q757" s="1223"/>
      <c r="R757" s="1223"/>
      <c r="S757" s="1223"/>
      <c r="T757" s="1224"/>
      <c r="U757" s="1225"/>
      <c r="V757" s="1225"/>
      <c r="W757" s="1226"/>
      <c r="X757" s="1227"/>
      <c r="Y757" s="1228"/>
      <c r="Z757" s="1228"/>
      <c r="AA757" s="1228"/>
      <c r="AB757" s="1229"/>
      <c r="AC757" s="1230">
        <f t="shared" si="34"/>
        <v>0</v>
      </c>
      <c r="AD757" s="1231"/>
      <c r="AE757" s="1231"/>
      <c r="AF757" s="1231"/>
      <c r="AG757" s="1232"/>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J758" s="1219"/>
      <c r="K758" s="1220"/>
      <c r="L758" s="1220"/>
      <c r="M758" s="1220"/>
      <c r="N758" s="1221"/>
      <c r="O758" s="1223"/>
      <c r="P758" s="1223"/>
      <c r="Q758" s="1223"/>
      <c r="R758" s="1223"/>
      <c r="S758" s="1223"/>
      <c r="T758" s="1224"/>
      <c r="U758" s="1225"/>
      <c r="V758" s="1225"/>
      <c r="W758" s="1226"/>
      <c r="X758" s="1227"/>
      <c r="Y758" s="1228"/>
      <c r="Z758" s="1228"/>
      <c r="AA758" s="1228"/>
      <c r="AB758" s="1229"/>
      <c r="AC758" s="1230">
        <f t="shared" si="34"/>
        <v>0</v>
      </c>
      <c r="AD758" s="1231"/>
      <c r="AE758" s="1231"/>
      <c r="AF758" s="1231"/>
      <c r="AG758" s="1232"/>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J759" s="1219"/>
      <c r="K759" s="1220"/>
      <c r="L759" s="1220"/>
      <c r="M759" s="1220"/>
      <c r="N759" s="1221"/>
      <c r="O759" s="1223"/>
      <c r="P759" s="1223"/>
      <c r="Q759" s="1223"/>
      <c r="R759" s="1223"/>
      <c r="S759" s="1223"/>
      <c r="T759" s="1224"/>
      <c r="U759" s="1225"/>
      <c r="V759" s="1225"/>
      <c r="W759" s="1226"/>
      <c r="X759" s="1227"/>
      <c r="Y759" s="1228"/>
      <c r="Z759" s="1228"/>
      <c r="AA759" s="1228"/>
      <c r="AB759" s="1229"/>
      <c r="AC759" s="1230">
        <f t="shared" si="34"/>
        <v>0</v>
      </c>
      <c r="AD759" s="1231"/>
      <c r="AE759" s="1231"/>
      <c r="AF759" s="1231"/>
      <c r="AG759" s="1232"/>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J760" s="1219"/>
      <c r="K760" s="1220"/>
      <c r="L760" s="1220"/>
      <c r="M760" s="1220"/>
      <c r="N760" s="1221"/>
      <c r="O760" s="1223"/>
      <c r="P760" s="1223"/>
      <c r="Q760" s="1223"/>
      <c r="R760" s="1223"/>
      <c r="S760" s="1223"/>
      <c r="T760" s="1224"/>
      <c r="U760" s="1225"/>
      <c r="V760" s="1225"/>
      <c r="W760" s="1226"/>
      <c r="X760" s="1227"/>
      <c r="Y760" s="1228"/>
      <c r="Z760" s="1228"/>
      <c r="AA760" s="1228"/>
      <c r="AB760" s="1229"/>
      <c r="AC760" s="1230">
        <f t="shared" si="34"/>
        <v>0</v>
      </c>
      <c r="AD760" s="1231"/>
      <c r="AE760" s="1231"/>
      <c r="AF760" s="1231"/>
      <c r="AG760" s="1232"/>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J761" s="1219"/>
      <c r="K761" s="1220"/>
      <c r="L761" s="1220"/>
      <c r="M761" s="1220"/>
      <c r="N761" s="1221"/>
      <c r="O761" s="1223"/>
      <c r="P761" s="1223"/>
      <c r="Q761" s="1223"/>
      <c r="R761" s="1223"/>
      <c r="S761" s="1223"/>
      <c r="T761" s="1224"/>
      <c r="U761" s="1225"/>
      <c r="V761" s="1225"/>
      <c r="W761" s="1226"/>
      <c r="X761" s="1227"/>
      <c r="Y761" s="1228"/>
      <c r="Z761" s="1228"/>
      <c r="AA761" s="1228"/>
      <c r="AB761" s="1229"/>
      <c r="AC761" s="1230">
        <f t="shared" si="34"/>
        <v>0</v>
      </c>
      <c r="AD761" s="1231"/>
      <c r="AE761" s="1231"/>
      <c r="AF761" s="1231"/>
      <c r="AG761" s="1232"/>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089" t="s">
        <v>916</v>
      </c>
      <c r="K762" s="1090"/>
      <c r="L762" s="1090"/>
      <c r="M762" s="1090"/>
      <c r="N762" s="1092"/>
      <c r="O762" s="1235">
        <f>SUM(O752:S761)</f>
        <v>0</v>
      </c>
      <c r="P762" s="1235"/>
      <c r="Q762" s="1235"/>
      <c r="R762" s="1235"/>
      <c r="S762" s="1235"/>
      <c r="X762" s="434" t="s">
        <v>915</v>
      </c>
      <c r="Y762" s="168"/>
      <c r="Z762" s="168"/>
      <c r="AA762" s="168"/>
      <c r="AB762" s="849"/>
      <c r="AC762" s="1230">
        <f>SUM(AC752:AG761)</f>
        <v>0</v>
      </c>
      <c r="AD762" s="1231"/>
      <c r="AE762" s="1231"/>
      <c r="AF762" s="1231"/>
      <c r="AG762" s="1232"/>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8"/>
      <c r="K764" s="9"/>
      <c r="L764" s="9"/>
      <c r="M764" s="9"/>
      <c r="N764" s="9"/>
      <c r="O764" s="9"/>
      <c r="P764" s="9"/>
      <c r="Q764" s="9"/>
      <c r="R764" s="9"/>
      <c r="S764" s="9"/>
      <c r="T764" s="9"/>
      <c r="U764" s="9"/>
      <c r="V764" s="9"/>
      <c r="W764" s="9"/>
      <c r="X764" s="60" t="s">
        <v>813</v>
      </c>
      <c r="Y764" s="1153">
        <f>T717+AC742+AC762</f>
        <v>29101</v>
      </c>
      <c r="Z764" s="1153"/>
      <c r="AA764" s="1153"/>
      <c r="AB764" s="1153"/>
      <c r="AC764" s="1153"/>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53"/>
      <c r="K765" s="54"/>
      <c r="L765" s="54"/>
      <c r="M765" s="54"/>
      <c r="N765" s="54"/>
      <c r="O765" s="54"/>
      <c r="P765" s="54"/>
      <c r="Q765" s="54"/>
      <c r="R765" s="54"/>
      <c r="S765" s="54"/>
      <c r="T765" s="54"/>
      <c r="U765" s="54"/>
      <c r="V765" s="54"/>
      <c r="W765" s="54"/>
      <c r="X765" s="171" t="s">
        <v>814</v>
      </c>
      <c r="Y765" s="1153">
        <f>(T717+AC742+AC762)*12</f>
        <v>349212</v>
      </c>
      <c r="Z765" s="1153"/>
      <c r="AA765" s="1153"/>
      <c r="AB765" s="1153"/>
      <c r="AC765" s="1153"/>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H770" s="8" t="s">
        <v>346</v>
      </c>
      <c r="I770" s="9"/>
      <c r="J770" s="9"/>
      <c r="K770" s="9"/>
      <c r="L770" s="9"/>
      <c r="M770" s="9"/>
      <c r="N770" s="9"/>
      <c r="O770" s="9"/>
      <c r="P770" s="9"/>
      <c r="Q770" s="9"/>
      <c r="R770" s="9"/>
      <c r="S770" s="9"/>
      <c r="T770" s="9"/>
      <c r="U770" s="9"/>
      <c r="V770" s="9"/>
      <c r="W770" s="9"/>
      <c r="X770" s="9"/>
      <c r="Y770" s="9"/>
      <c r="Z770" s="1259"/>
      <c r="AA770" s="1260"/>
      <c r="AB770" s="1260"/>
      <c r="AC770" s="1260"/>
      <c r="AD770" s="1260"/>
      <c r="AE770" s="126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H771" s="8" t="s">
        <v>347</v>
      </c>
      <c r="I771" s="9"/>
      <c r="J771" s="9"/>
      <c r="K771" s="9"/>
      <c r="L771" s="9"/>
      <c r="M771" s="9"/>
      <c r="N771" s="9"/>
      <c r="O771" s="9"/>
      <c r="P771" s="9"/>
      <c r="Q771" s="9"/>
      <c r="R771" s="9"/>
      <c r="S771" s="9"/>
      <c r="T771" s="9"/>
      <c r="U771" s="9"/>
      <c r="V771" s="9"/>
      <c r="W771" s="9"/>
      <c r="X771" s="9"/>
      <c r="Y771" s="9"/>
      <c r="Z771" s="1443"/>
      <c r="AA771" s="1260"/>
      <c r="AB771" s="1260"/>
      <c r="AC771" s="1260"/>
      <c r="AD771" s="1260"/>
      <c r="AE771" s="126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H772" s="8" t="s">
        <v>723</v>
      </c>
      <c r="I772" s="9"/>
      <c r="J772" s="9"/>
      <c r="K772" s="9"/>
      <c r="L772" s="9"/>
      <c r="M772" s="9"/>
      <c r="N772" s="9"/>
      <c r="O772" s="9"/>
      <c r="P772" s="9"/>
      <c r="Q772" s="9"/>
      <c r="R772" s="9"/>
      <c r="S772" s="9"/>
      <c r="T772" s="9"/>
      <c r="U772" s="9"/>
      <c r="V772" s="9"/>
      <c r="W772" s="9"/>
      <c r="X772" s="9"/>
      <c r="Y772" s="9"/>
      <c r="Z772" s="1444"/>
      <c r="AA772" s="1202"/>
      <c r="AB772" s="1202"/>
      <c r="AC772" s="1202"/>
      <c r="AD772" s="1202"/>
      <c r="AE772" s="120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H773" s="8"/>
      <c r="I773" s="9"/>
      <c r="J773" s="9"/>
      <c r="K773" s="9"/>
      <c r="L773" s="9"/>
      <c r="M773" s="9"/>
      <c r="N773" s="9"/>
      <c r="O773" s="9"/>
      <c r="P773" s="9"/>
      <c r="Q773" s="9"/>
      <c r="R773" s="9"/>
      <c r="S773" s="9"/>
      <c r="T773" s="9"/>
      <c r="U773" s="9"/>
      <c r="V773" s="9"/>
      <c r="W773" s="9"/>
      <c r="X773" s="9"/>
      <c r="Y773" s="59" t="s">
        <v>811</v>
      </c>
      <c r="Z773" s="1150">
        <f>'Subsidy Contract Calculation'!I30</f>
        <v>0</v>
      </c>
      <c r="AA773" s="1151"/>
      <c r="AB773" s="1151"/>
      <c r="AC773" s="1151"/>
      <c r="AD773" s="1151"/>
      <c r="AE773" s="115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H777" s="8" t="s">
        <v>724</v>
      </c>
      <c r="I777" s="9"/>
      <c r="J777" s="9"/>
      <c r="K777" s="9"/>
      <c r="L777" s="9"/>
      <c r="M777" s="9"/>
      <c r="N777" s="9"/>
      <c r="O777" s="9"/>
      <c r="P777" s="9"/>
      <c r="Q777" s="9"/>
      <c r="R777" s="9"/>
      <c r="S777" s="9"/>
      <c r="T777" s="9"/>
      <c r="U777" s="9"/>
      <c r="V777" s="9"/>
      <c r="W777" s="9"/>
      <c r="X777" s="9"/>
      <c r="Y777" s="9"/>
      <c r="Z777" s="1141">
        <v>2900</v>
      </c>
      <c r="AA777" s="1142"/>
      <c r="AB777" s="1142"/>
      <c r="AC777" s="1142"/>
      <c r="AD777" s="1142"/>
      <c r="AE777" s="1143"/>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H778" s="8" t="s">
        <v>725</v>
      </c>
      <c r="I778" s="9"/>
      <c r="J778" s="9"/>
      <c r="K778" s="9"/>
      <c r="L778" s="9"/>
      <c r="M778" s="9"/>
      <c r="N778" s="9"/>
      <c r="O778" s="9"/>
      <c r="P778" s="9"/>
      <c r="Q778" s="9"/>
      <c r="R778" s="9"/>
      <c r="S778" s="9"/>
      <c r="T778" s="9"/>
      <c r="U778" s="9"/>
      <c r="V778" s="9"/>
      <c r="W778" s="9"/>
      <c r="X778" s="9"/>
      <c r="Y778" s="9"/>
      <c r="Z778" s="1141">
        <v>1449</v>
      </c>
      <c r="AA778" s="1142"/>
      <c r="AB778" s="1142"/>
      <c r="AC778" s="1142"/>
      <c r="AD778" s="1142"/>
      <c r="AE778" s="1143"/>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H779" s="8" t="s">
        <v>726</v>
      </c>
      <c r="I779" s="9"/>
      <c r="J779" s="9"/>
      <c r="K779" s="9"/>
      <c r="L779" s="9"/>
      <c r="M779" s="9"/>
      <c r="N779" s="9"/>
      <c r="O779" s="9"/>
      <c r="P779" s="9"/>
      <c r="Q779" s="9"/>
      <c r="R779" s="9"/>
      <c r="S779" s="9"/>
      <c r="T779" s="9"/>
      <c r="U779" s="9"/>
      <c r="V779" s="9"/>
      <c r="W779" s="9"/>
      <c r="X779" s="9"/>
      <c r="Y779" s="9"/>
      <c r="Z779" s="1141"/>
      <c r="AA779" s="1142"/>
      <c r="AB779" s="1142"/>
      <c r="AC779" s="1142"/>
      <c r="AD779" s="1142"/>
      <c r="AE779" s="1143"/>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H780" s="8" t="s">
        <v>727</v>
      </c>
      <c r="I780" s="9"/>
      <c r="J780" s="9"/>
      <c r="K780" s="9"/>
      <c r="L780" s="9"/>
      <c r="M780" s="9"/>
      <c r="N780" s="9"/>
      <c r="O780" s="9"/>
      <c r="P780" s="1138" t="s">
        <v>591</v>
      </c>
      <c r="Q780" s="1139"/>
      <c r="R780" s="1139"/>
      <c r="S780" s="1139"/>
      <c r="T780" s="1139"/>
      <c r="U780" s="1139"/>
      <c r="V780" s="1139"/>
      <c r="W780" s="1139"/>
      <c r="X780" s="1139"/>
      <c r="Y780" s="1140"/>
      <c r="Z780" s="1141"/>
      <c r="AA780" s="1142"/>
      <c r="AB780" s="1142"/>
      <c r="AC780" s="1142"/>
      <c r="AD780" s="1142"/>
      <c r="AE780" s="1143"/>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H781" s="8"/>
      <c r="I781" s="9"/>
      <c r="J781" s="9"/>
      <c r="K781" s="9"/>
      <c r="L781" s="9"/>
      <c r="M781" s="9"/>
      <c r="N781" s="9"/>
      <c r="O781" s="9"/>
      <c r="P781" s="9"/>
      <c r="Q781" s="9"/>
      <c r="R781" s="9"/>
      <c r="S781" s="9"/>
      <c r="T781" s="9"/>
      <c r="U781" s="9"/>
      <c r="V781" s="9"/>
      <c r="W781" s="9"/>
      <c r="X781" s="9"/>
      <c r="Y781" s="59" t="s">
        <v>812</v>
      </c>
      <c r="Z781" s="1147">
        <f>SUM(Z777:AE780)</f>
        <v>4349</v>
      </c>
      <c r="AA781" s="1148"/>
      <c r="AB781" s="1148"/>
      <c r="AC781" s="1148"/>
      <c r="AD781" s="1148"/>
      <c r="AE781" s="1149"/>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H782" s="8"/>
      <c r="I782" s="9"/>
      <c r="J782" s="9"/>
      <c r="K782" s="9"/>
      <c r="L782" s="9"/>
      <c r="M782" s="9"/>
      <c r="N782" s="9"/>
      <c r="O782" s="9"/>
      <c r="P782" s="9"/>
      <c r="Q782" s="9"/>
      <c r="R782" s="9"/>
      <c r="S782" s="9"/>
      <c r="T782" s="9"/>
      <c r="U782" s="9"/>
      <c r="V782" s="9"/>
      <c r="W782" s="9"/>
      <c r="X782" s="9"/>
      <c r="Y782" s="59" t="s">
        <v>689</v>
      </c>
      <c r="Z782" s="1147">
        <f>Z781+Y765+Z773</f>
        <v>353561</v>
      </c>
      <c r="AA782" s="1148"/>
      <c r="AB782" s="1148"/>
      <c r="AC782" s="1148"/>
      <c r="AD782" s="1148"/>
      <c r="AE782" s="1149"/>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 customHeight="1">
      <c r="C787" s="6"/>
      <c r="D787" s="7"/>
      <c r="E787" s="7"/>
      <c r="F787" s="7"/>
      <c r="G787" s="7"/>
      <c r="H787" s="7"/>
      <c r="I787" s="7"/>
      <c r="J787" s="7"/>
      <c r="K787" s="7"/>
      <c r="L787" s="64"/>
      <c r="M787" s="1169" t="s">
        <v>917</v>
      </c>
      <c r="N787" s="1169"/>
      <c r="O787" s="1169"/>
      <c r="P787" s="1511"/>
      <c r="Q787" s="1222" t="s">
        <v>276</v>
      </c>
      <c r="R787" s="1222"/>
      <c r="S787" s="1222"/>
      <c r="T787" s="1222"/>
      <c r="U787" s="1222" t="s">
        <v>277</v>
      </c>
      <c r="V787" s="1222"/>
      <c r="W787" s="1222"/>
      <c r="X787" s="1222"/>
      <c r="Y787" s="1222" t="s">
        <v>278</v>
      </c>
      <c r="Z787" s="1222"/>
      <c r="AA787" s="1222"/>
      <c r="AB787" s="1222"/>
      <c r="AC787" s="1222" t="s">
        <v>35</v>
      </c>
      <c r="AD787" s="1222"/>
      <c r="AE787" s="1222"/>
      <c r="AF787" s="1222"/>
      <c r="AG787" s="1510" t="s">
        <v>592</v>
      </c>
      <c r="AH787" s="1510"/>
      <c r="AI787" s="1510"/>
      <c r="AJ787" s="151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 customHeight="1">
      <c r="C788" s="53"/>
      <c r="D788" s="54"/>
      <c r="E788" s="54"/>
      <c r="F788" s="54"/>
      <c r="G788" s="54"/>
      <c r="H788" s="54"/>
      <c r="I788" s="54"/>
      <c r="J788" s="54"/>
      <c r="K788" s="54"/>
      <c r="L788" s="55"/>
      <c r="M788" s="1173"/>
      <c r="N788" s="1173"/>
      <c r="O788" s="1173"/>
      <c r="P788" s="1267"/>
      <c r="Q788" s="1222"/>
      <c r="R788" s="1222"/>
      <c r="S788" s="1222"/>
      <c r="T788" s="1222"/>
      <c r="U788" s="1222"/>
      <c r="V788" s="1222"/>
      <c r="W788" s="1222"/>
      <c r="X788" s="1222"/>
      <c r="Y788" s="1222"/>
      <c r="Z788" s="1222"/>
      <c r="AA788" s="1222"/>
      <c r="AB788" s="1222"/>
      <c r="AC788" s="1222"/>
      <c r="AD788" s="1222"/>
      <c r="AE788" s="1222"/>
      <c r="AF788" s="1222"/>
      <c r="AG788" s="1510"/>
      <c r="AH788" s="1510"/>
      <c r="AI788" s="1510"/>
      <c r="AJ788" s="151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 customHeight="1">
      <c r="C789" s="1331" t="s">
        <v>728</v>
      </c>
      <c r="D789" s="1291"/>
      <c r="E789" s="1291"/>
      <c r="F789" s="1291"/>
      <c r="G789" s="1291"/>
      <c r="H789" s="1291"/>
      <c r="I789" s="54"/>
      <c r="J789" s="54"/>
      <c r="K789" s="54"/>
      <c r="L789" s="55"/>
      <c r="M789" s="1236"/>
      <c r="N789" s="1236"/>
      <c r="O789" s="1236"/>
      <c r="P789" s="1236"/>
      <c r="Q789" s="1236">
        <v>14</v>
      </c>
      <c r="R789" s="1236"/>
      <c r="S789" s="1236"/>
      <c r="T789" s="1236"/>
      <c r="U789" s="1236">
        <v>17</v>
      </c>
      <c r="V789" s="1236"/>
      <c r="W789" s="1236"/>
      <c r="X789" s="1236"/>
      <c r="Y789" s="1236">
        <v>21</v>
      </c>
      <c r="Z789" s="1236"/>
      <c r="AA789" s="1236"/>
      <c r="AB789" s="1236"/>
      <c r="AC789" s="1058"/>
      <c r="AD789" s="1059"/>
      <c r="AE789" s="1059"/>
      <c r="AF789" s="1060"/>
      <c r="AG789" s="1058"/>
      <c r="AH789" s="1059"/>
      <c r="AI789" s="1059"/>
      <c r="AJ789" s="1060"/>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 customHeight="1">
      <c r="C790" s="1233" t="s">
        <v>729</v>
      </c>
      <c r="D790" s="1234"/>
      <c r="E790" s="1234"/>
      <c r="F790" s="1234"/>
      <c r="G790" s="1234"/>
      <c r="H790" s="1234"/>
      <c r="I790" s="9"/>
      <c r="J790" s="9"/>
      <c r="K790" s="9"/>
      <c r="L790" s="52"/>
      <c r="M790" s="1236"/>
      <c r="N790" s="1236"/>
      <c r="O790" s="1236"/>
      <c r="P790" s="1236"/>
      <c r="Q790" s="1236">
        <v>15</v>
      </c>
      <c r="R790" s="1236"/>
      <c r="S790" s="1236"/>
      <c r="T790" s="1236"/>
      <c r="U790" s="1236">
        <v>19</v>
      </c>
      <c r="V790" s="1236"/>
      <c r="W790" s="1236"/>
      <c r="X790" s="1236"/>
      <c r="Y790" s="1236">
        <v>23</v>
      </c>
      <c r="Z790" s="1236"/>
      <c r="AA790" s="1236"/>
      <c r="AB790" s="1236"/>
      <c r="AC790" s="1058"/>
      <c r="AD790" s="1059"/>
      <c r="AE790" s="1059"/>
      <c r="AF790" s="1060"/>
      <c r="AG790" s="1058"/>
      <c r="AH790" s="1059"/>
      <c r="AI790" s="1059"/>
      <c r="AJ790" s="1060"/>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 customHeight="1">
      <c r="C791" s="1233" t="s">
        <v>75</v>
      </c>
      <c r="D791" s="1234"/>
      <c r="E791" s="1234"/>
      <c r="F791" s="1234"/>
      <c r="G791" s="1234"/>
      <c r="H791" s="1234"/>
      <c r="I791" s="66"/>
      <c r="J791" s="66"/>
      <c r="K791" s="66"/>
      <c r="L791" s="67"/>
      <c r="M791" s="1236"/>
      <c r="N791" s="1236"/>
      <c r="O791" s="1236"/>
      <c r="P791" s="1236"/>
      <c r="Q791" s="1236">
        <v>6</v>
      </c>
      <c r="R791" s="1236"/>
      <c r="S791" s="1236"/>
      <c r="T791" s="1236"/>
      <c r="U791" s="1236">
        <v>9</v>
      </c>
      <c r="V791" s="1236"/>
      <c r="W791" s="1236"/>
      <c r="X791" s="1236"/>
      <c r="Y791" s="1236">
        <v>12</v>
      </c>
      <c r="Z791" s="1236"/>
      <c r="AA791" s="1236"/>
      <c r="AB791" s="1236"/>
      <c r="AC791" s="1058"/>
      <c r="AD791" s="1059"/>
      <c r="AE791" s="1059"/>
      <c r="AF791" s="1060"/>
      <c r="AG791" s="1058"/>
      <c r="AH791" s="1059"/>
      <c r="AI791" s="1059"/>
      <c r="AJ791" s="1060"/>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 customHeight="1">
      <c r="C792" s="1233" t="s">
        <v>188</v>
      </c>
      <c r="D792" s="1234"/>
      <c r="E792" s="1234"/>
      <c r="F792" s="1234"/>
      <c r="G792" s="1234"/>
      <c r="H792" s="1234"/>
      <c r="I792" s="66"/>
      <c r="J792" s="66"/>
      <c r="K792" s="66"/>
      <c r="L792" s="67"/>
      <c r="M792" s="1236"/>
      <c r="N792" s="1236"/>
      <c r="O792" s="1236"/>
      <c r="P792" s="1236"/>
      <c r="Q792" s="1236"/>
      <c r="R792" s="1236"/>
      <c r="S792" s="1236"/>
      <c r="T792" s="1236"/>
      <c r="U792" s="1236"/>
      <c r="V792" s="1236"/>
      <c r="W792" s="1236"/>
      <c r="X792" s="1236"/>
      <c r="Y792" s="1236"/>
      <c r="Z792" s="1236"/>
      <c r="AA792" s="1236"/>
      <c r="AB792" s="1236"/>
      <c r="AC792" s="1058"/>
      <c r="AD792" s="1059"/>
      <c r="AE792" s="1059"/>
      <c r="AF792" s="1060"/>
      <c r="AG792" s="1058"/>
      <c r="AH792" s="1059"/>
      <c r="AI792" s="1059"/>
      <c r="AJ792" s="106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 customHeight="1">
      <c r="C793" s="1233" t="s">
        <v>826</v>
      </c>
      <c r="D793" s="1234"/>
      <c r="E793" s="1234"/>
      <c r="F793" s="1234"/>
      <c r="G793" s="1234"/>
      <c r="H793" s="1234"/>
      <c r="I793" s="66"/>
      <c r="J793" s="66"/>
      <c r="K793" s="66"/>
      <c r="L793" s="67"/>
      <c r="M793" s="1236"/>
      <c r="N793" s="1236"/>
      <c r="O793" s="1236"/>
      <c r="P793" s="1236"/>
      <c r="Q793" s="1236">
        <v>24</v>
      </c>
      <c r="R793" s="1236"/>
      <c r="S793" s="1236"/>
      <c r="T793" s="1236"/>
      <c r="U793" s="1236">
        <v>33</v>
      </c>
      <c r="V793" s="1236"/>
      <c r="W793" s="1236"/>
      <c r="X793" s="1236"/>
      <c r="Y793" s="1236">
        <v>43</v>
      </c>
      <c r="Z793" s="1236"/>
      <c r="AA793" s="1236"/>
      <c r="AB793" s="1236"/>
      <c r="AC793" s="1058"/>
      <c r="AD793" s="1059"/>
      <c r="AE793" s="1059"/>
      <c r="AF793" s="1060"/>
      <c r="AG793" s="1058"/>
      <c r="AH793" s="1059"/>
      <c r="AI793" s="1059"/>
      <c r="AJ793" s="106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 customHeight="1">
      <c r="C794" s="1387" t="s">
        <v>985</v>
      </c>
      <c r="D794" s="1234"/>
      <c r="E794" s="1234"/>
      <c r="F794" s="1234"/>
      <c r="G794" s="1234"/>
      <c r="H794" s="1234"/>
      <c r="I794" s="66"/>
      <c r="J794" s="66"/>
      <c r="K794" s="66"/>
      <c r="L794" s="67"/>
      <c r="M794" s="1236"/>
      <c r="N794" s="1236"/>
      <c r="O794" s="1236"/>
      <c r="P794" s="1236"/>
      <c r="Q794" s="1236"/>
      <c r="R794" s="1236"/>
      <c r="S794" s="1236"/>
      <c r="T794" s="1236"/>
      <c r="U794" s="1236"/>
      <c r="V794" s="1236"/>
      <c r="W794" s="1236"/>
      <c r="X794" s="1236"/>
      <c r="Y794" s="1236"/>
      <c r="Z794" s="1236"/>
      <c r="AA794" s="1236"/>
      <c r="AB794" s="1236"/>
      <c r="AC794" s="1058"/>
      <c r="AD794" s="1059"/>
      <c r="AE794" s="1059"/>
      <c r="AF794" s="1060"/>
      <c r="AG794" s="1058"/>
      <c r="AH794" s="1059"/>
      <c r="AI794" s="1059"/>
      <c r="AJ794" s="106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 customHeight="1">
      <c r="C795" s="65" t="s">
        <v>279</v>
      </c>
      <c r="D795" s="66"/>
      <c r="E795" s="66"/>
      <c r="F795" s="1192" t="s">
        <v>2394</v>
      </c>
      <c r="G795" s="1139"/>
      <c r="H795" s="1139"/>
      <c r="I795" s="1139"/>
      <c r="J795" s="1139"/>
      <c r="K795" s="1139"/>
      <c r="L795" s="1139"/>
      <c r="M795" s="1236"/>
      <c r="N795" s="1236"/>
      <c r="O795" s="1236"/>
      <c r="P795" s="1236"/>
      <c r="Q795" s="1236">
        <v>32</v>
      </c>
      <c r="R795" s="1236"/>
      <c r="S795" s="1236"/>
      <c r="T795" s="1236"/>
      <c r="U795" s="1236">
        <v>36</v>
      </c>
      <c r="V795" s="1236"/>
      <c r="W795" s="1236"/>
      <c r="X795" s="1236"/>
      <c r="Y795" s="1236">
        <v>40</v>
      </c>
      <c r="Z795" s="1236"/>
      <c r="AA795" s="1236"/>
      <c r="AB795" s="1236"/>
      <c r="AC795" s="1058"/>
      <c r="AD795" s="1059"/>
      <c r="AE795" s="1059"/>
      <c r="AF795" s="1060"/>
      <c r="AG795" s="1058"/>
      <c r="AH795" s="1059"/>
      <c r="AI795" s="1059"/>
      <c r="AJ795" s="106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 customHeight="1">
      <c r="C796" s="1089" t="s">
        <v>915</v>
      </c>
      <c r="D796" s="1090"/>
      <c r="E796" s="1090"/>
      <c r="F796" s="1090"/>
      <c r="G796" s="1090"/>
      <c r="H796" s="1090"/>
      <c r="I796" s="1090"/>
      <c r="J796" s="1090"/>
      <c r="K796" s="1090"/>
      <c r="L796" s="1092"/>
      <c r="M796" s="1307">
        <f>SUM(M789:P795)</f>
        <v>0</v>
      </c>
      <c r="N796" s="1307"/>
      <c r="O796" s="1307"/>
      <c r="P796" s="1307"/>
      <c r="Q796" s="1307">
        <f>SUM(Q789:T795)</f>
        <v>91</v>
      </c>
      <c r="R796" s="1307"/>
      <c r="S796" s="1307"/>
      <c r="T796" s="1307"/>
      <c r="U796" s="1307">
        <f>SUM(U789:X795)</f>
        <v>114</v>
      </c>
      <c r="V796" s="1307"/>
      <c r="W796" s="1307"/>
      <c r="X796" s="1307"/>
      <c r="Y796" s="1307">
        <f>SUM(Y789:AB795)</f>
        <v>139</v>
      </c>
      <c r="Z796" s="1307"/>
      <c r="AA796" s="1307"/>
      <c r="AB796" s="1307"/>
      <c r="AC796" s="1307">
        <f>SUM(AC789:AF795)</f>
        <v>0</v>
      </c>
      <c r="AD796" s="1307"/>
      <c r="AE796" s="1307"/>
      <c r="AF796" s="1307"/>
      <c r="AG796" s="1307">
        <f>SUM(AG789:AJ795)</f>
        <v>0</v>
      </c>
      <c r="AH796" s="1307"/>
      <c r="AI796" s="1307"/>
      <c r="AJ796" s="130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s="1518" t="s">
        <v>2464</v>
      </c>
      <c r="D801" s="1519"/>
      <c r="E801" s="1519"/>
      <c r="F801" s="1519"/>
      <c r="G801" s="1519"/>
      <c r="H801" s="1519"/>
      <c r="I801" s="1519"/>
      <c r="J801" s="1519"/>
      <c r="K801" s="1519"/>
      <c r="L801" s="1519"/>
      <c r="M801" s="1519"/>
      <c r="N801" s="1519"/>
      <c r="O801" s="1519"/>
      <c r="P801" s="1519"/>
      <c r="Q801" s="1519"/>
      <c r="R801" s="1519"/>
      <c r="S801" s="1519"/>
      <c r="T801" s="1519"/>
      <c r="U801" s="1519"/>
      <c r="V801" s="1519"/>
      <c r="W801" s="1519"/>
      <c r="X801" s="1519"/>
      <c r="Y801" s="1519"/>
      <c r="Z801" s="1519"/>
      <c r="AA801" s="1519"/>
      <c r="AB801" s="1519"/>
      <c r="AC801" s="1519"/>
      <c r="AD801" s="1519"/>
      <c r="AE801" s="1519"/>
      <c r="AF801" s="1519"/>
      <c r="AG801" s="1519"/>
      <c r="AH801" s="1519"/>
      <c r="AI801" s="1519"/>
      <c r="AJ801" s="152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A804" s="3" t="s">
        <v>390</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AM805" s="41"/>
      <c r="AO805" s="21"/>
      <c r="AP805" s="21"/>
      <c r="AQ805" s="21"/>
      <c r="AR805" s="21"/>
      <c r="AS805" s="21"/>
      <c r="AT805" s="21"/>
      <c r="AU805" s="21"/>
      <c r="AV805" s="21"/>
      <c r="AW805" s="21" t="s">
        <v>445</v>
      </c>
      <c r="AY805" s="21"/>
      <c r="AZ805" s="21"/>
      <c r="BA805" s="1177" t="s">
        <v>391</v>
      </c>
      <c r="BB805" s="1178"/>
      <c r="BC805" s="41"/>
      <c r="BD805" s="41"/>
      <c r="BE805" s="41"/>
      <c r="BF805" s="21" t="s">
        <v>447</v>
      </c>
      <c r="BG805" s="21"/>
      <c r="BH805" s="21"/>
      <c r="BI805" s="21"/>
      <c r="BJ805" s="21"/>
      <c r="BK805" s="21"/>
      <c r="BL805" s="21"/>
      <c r="BM805" s="21"/>
      <c r="BN805" s="21"/>
      <c r="BO805" s="1174" t="str">
        <f>T189</f>
        <v>Sacramento</v>
      </c>
      <c r="BP805" s="1175"/>
      <c r="BQ805" s="1175"/>
      <c r="BR805" s="1175"/>
      <c r="BS805" s="1175"/>
      <c r="BT805" s="1175"/>
      <c r="BU805" s="1176"/>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s="3" t="s">
        <v>494</v>
      </c>
      <c r="J806" s="8" t="s">
        <v>345</v>
      </c>
      <c r="K806" s="9"/>
      <c r="L806" s="9"/>
      <c r="M806" s="9"/>
      <c r="N806" s="9"/>
      <c r="O806" s="9"/>
      <c r="P806" s="9"/>
      <c r="Q806" s="9"/>
      <c r="R806" s="9"/>
      <c r="S806" s="9"/>
      <c r="T806" s="9"/>
      <c r="U806" s="9"/>
      <c r="V806" s="52"/>
      <c r="W806" s="1191">
        <v>975</v>
      </c>
      <c r="X806" s="1191"/>
      <c r="Y806" s="1191"/>
      <c r="Z806" s="1191"/>
      <c r="AA806" s="1191"/>
      <c r="AB806" s="1191"/>
      <c r="AC806" s="1191"/>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 customHeight="1">
      <c r="A807"/>
      <c r="B807"/>
      <c r="C807"/>
      <c r="D807"/>
      <c r="E807"/>
      <c r="F807"/>
      <c r="G807"/>
      <c r="H807"/>
      <c r="I807"/>
      <c r="J807" s="8" t="s">
        <v>344</v>
      </c>
      <c r="K807" s="9"/>
      <c r="L807" s="9"/>
      <c r="M807" s="9"/>
      <c r="N807" s="9"/>
      <c r="O807" s="9"/>
      <c r="P807" s="9"/>
      <c r="Q807" s="9"/>
      <c r="R807" s="9"/>
      <c r="S807" s="9"/>
      <c r="T807" s="9"/>
      <c r="U807" s="9"/>
      <c r="V807" s="52"/>
      <c r="W807" s="1191">
        <v>1475</v>
      </c>
      <c r="X807" s="1191"/>
      <c r="Y807" s="1191"/>
      <c r="Z807" s="1191"/>
      <c r="AA807" s="1191"/>
      <c r="AB807" s="1191"/>
      <c r="AC807" s="1191"/>
      <c r="AD807"/>
      <c r="AE807"/>
      <c r="AF807"/>
      <c r="AG807"/>
      <c r="AH807"/>
      <c r="AI807"/>
      <c r="AJ807"/>
      <c r="AK807"/>
      <c r="AL807"/>
      <c r="AM807" s="38"/>
      <c r="AN807" s="38"/>
      <c r="BA807" s="75" t="s">
        <v>393</v>
      </c>
      <c r="BC807" s="40"/>
      <c r="BD807" s="40"/>
      <c r="BE807" s="40"/>
      <c r="BF807" s="40"/>
      <c r="BG807" s="40"/>
    </row>
    <row r="808" spans="1:97" s="21" customFormat="1" ht="12.9" customHeight="1">
      <c r="A808"/>
      <c r="B808"/>
      <c r="C808"/>
      <c r="D808"/>
      <c r="E808"/>
      <c r="F808"/>
      <c r="G808"/>
      <c r="H808"/>
      <c r="I808"/>
      <c r="J808" s="8" t="s">
        <v>343</v>
      </c>
      <c r="K808" s="9"/>
      <c r="L808" s="9"/>
      <c r="M808" s="9"/>
      <c r="N808" s="9"/>
      <c r="O808" s="9"/>
      <c r="P808" s="9"/>
      <c r="Q808" s="9"/>
      <c r="R808" s="9"/>
      <c r="S808" s="9"/>
      <c r="T808" s="9"/>
      <c r="U808" s="9"/>
      <c r="V808" s="52"/>
      <c r="W808" s="1191">
        <v>1475</v>
      </c>
      <c r="X808" s="1191"/>
      <c r="Y808" s="1191"/>
      <c r="Z808" s="1191"/>
      <c r="AA808" s="1191"/>
      <c r="AB808" s="1191"/>
      <c r="AC808" s="1191"/>
      <c r="AD808"/>
      <c r="AE808"/>
      <c r="AF808"/>
      <c r="AG808"/>
      <c r="AH808"/>
      <c r="AI808"/>
      <c r="AJ808"/>
      <c r="AK808"/>
      <c r="AL808"/>
      <c r="AM808" s="38"/>
      <c r="AN808" s="38"/>
      <c r="BA808" s="75"/>
      <c r="BC808" s="40"/>
      <c r="BD808" s="40"/>
      <c r="BE808" s="40"/>
      <c r="BF808" s="40"/>
      <c r="BG808" s="40"/>
    </row>
    <row r="809" spans="1:97" s="21" customFormat="1" ht="12.9" customHeight="1">
      <c r="A809"/>
      <c r="B809"/>
      <c r="C809"/>
      <c r="D809"/>
      <c r="E809"/>
      <c r="F809"/>
      <c r="G809"/>
      <c r="H809"/>
      <c r="I809"/>
      <c r="J809" s="8" t="s">
        <v>342</v>
      </c>
      <c r="K809" s="9"/>
      <c r="L809" s="9"/>
      <c r="M809" s="9"/>
      <c r="N809" s="9"/>
      <c r="O809" s="9"/>
      <c r="P809" s="9"/>
      <c r="Q809" s="9"/>
      <c r="R809" s="9"/>
      <c r="S809" s="9"/>
      <c r="T809" s="9"/>
      <c r="U809" s="9"/>
      <c r="V809" s="52"/>
      <c r="W809" s="1191"/>
      <c r="X809" s="1191"/>
      <c r="Y809" s="1191"/>
      <c r="Z809" s="1191"/>
      <c r="AA809" s="1191"/>
      <c r="AB809" s="1191"/>
      <c r="AC809" s="1191"/>
      <c r="AD809"/>
      <c r="AE809"/>
      <c r="AF809"/>
      <c r="AG809"/>
      <c r="AH809"/>
      <c r="AI809"/>
      <c r="AJ809"/>
      <c r="AK809"/>
      <c r="AL809"/>
      <c r="AM809" s="38"/>
      <c r="AN809" s="38"/>
      <c r="BA809" s="75" t="s">
        <v>391</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 customHeight="1">
      <c r="A810"/>
      <c r="B810"/>
      <c r="C810"/>
      <c r="D810"/>
      <c r="E810"/>
      <c r="F810"/>
      <c r="G810"/>
      <c r="H810"/>
      <c r="I810"/>
      <c r="J810" s="8" t="s">
        <v>296</v>
      </c>
      <c r="K810" s="9"/>
      <c r="L810" s="9"/>
      <c r="M810" s="1192" t="s">
        <v>2386</v>
      </c>
      <c r="N810" s="1139"/>
      <c r="O810" s="1139"/>
      <c r="P810" s="1139"/>
      <c r="Q810" s="1139"/>
      <c r="R810" s="1139"/>
      <c r="S810" s="1139"/>
      <c r="T810" s="1139"/>
      <c r="U810" s="1139"/>
      <c r="V810" s="1140"/>
      <c r="W810" s="1191">
        <v>600</v>
      </c>
      <c r="X810" s="1191"/>
      <c r="Y810" s="1191"/>
      <c r="Z810" s="1191"/>
      <c r="AA810" s="1191"/>
      <c r="AB810" s="1191"/>
      <c r="AC810" s="1191"/>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 customHeight="1">
      <c r="A811"/>
      <c r="B811"/>
      <c r="C811"/>
      <c r="D811"/>
      <c r="E811"/>
      <c r="F811"/>
      <c r="G811"/>
      <c r="H811"/>
      <c r="I811"/>
      <c r="J811" s="8"/>
      <c r="K811" s="9"/>
      <c r="L811" s="9"/>
      <c r="M811" s="9"/>
      <c r="N811" s="9"/>
      <c r="O811" s="9"/>
      <c r="P811" s="9"/>
      <c r="Q811" s="9"/>
      <c r="R811" s="9"/>
      <c r="S811" s="9"/>
      <c r="T811" s="9"/>
      <c r="U811" s="9"/>
      <c r="V811" s="60" t="s">
        <v>493</v>
      </c>
      <c r="W811" s="1147">
        <f>SUM(W806:AC810)</f>
        <v>4525</v>
      </c>
      <c r="X811" s="1148"/>
      <c r="Y811" s="1148"/>
      <c r="Z811" s="1148"/>
      <c r="AA811" s="1148"/>
      <c r="AB811" s="1148"/>
      <c r="AC811" s="1149"/>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 customHeight="1">
      <c r="A813"/>
      <c r="B813"/>
      <c r="C813" s="3" t="s">
        <v>495</v>
      </c>
      <c r="D813"/>
      <c r="E813"/>
      <c r="F813"/>
      <c r="G813"/>
      <c r="H813"/>
      <c r="I813"/>
      <c r="J813" s="1089" t="s">
        <v>496</v>
      </c>
      <c r="K813" s="1090"/>
      <c r="L813" s="1090"/>
      <c r="M813" s="1090"/>
      <c r="N813" s="1090"/>
      <c r="O813" s="1090"/>
      <c r="P813" s="1090"/>
      <c r="Q813" s="1090"/>
      <c r="R813" s="1090"/>
      <c r="S813" s="1090"/>
      <c r="T813" s="1090"/>
      <c r="U813" s="1090"/>
      <c r="V813" s="1092"/>
      <c r="W813" s="1141">
        <v>17400</v>
      </c>
      <c r="X813" s="1142"/>
      <c r="Y813" s="1142"/>
      <c r="Z813" s="1142"/>
      <c r="AA813" s="1142"/>
      <c r="AB813" s="1142"/>
      <c r="AC813" s="1143"/>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 customHeight="1">
      <c r="A815"/>
      <c r="B815"/>
      <c r="C815" s="3" t="s">
        <v>768</v>
      </c>
      <c r="D815"/>
      <c r="E815"/>
      <c r="F815"/>
      <c r="G815"/>
      <c r="H815"/>
      <c r="I815"/>
      <c r="J815" s="8" t="s">
        <v>341</v>
      </c>
      <c r="K815" s="9"/>
      <c r="L815" s="9"/>
      <c r="M815" s="9"/>
      <c r="N815" s="9"/>
      <c r="O815" s="9"/>
      <c r="P815" s="9"/>
      <c r="Q815" s="9"/>
      <c r="R815" s="9"/>
      <c r="S815" s="9"/>
      <c r="T815" s="9"/>
      <c r="U815" s="9"/>
      <c r="V815" s="52"/>
      <c r="W815" s="1215"/>
      <c r="X815" s="1215"/>
      <c r="Y815" s="1215"/>
      <c r="Z815" s="1215"/>
      <c r="AA815" s="1215"/>
      <c r="AB815" s="1215"/>
      <c r="AC815" s="1215"/>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 customHeight="1">
      <c r="A816"/>
      <c r="B816"/>
      <c r="C816"/>
      <c r="D816"/>
      <c r="E816"/>
      <c r="F816"/>
      <c r="G816"/>
      <c r="H816"/>
      <c r="I816"/>
      <c r="J816" s="8" t="s">
        <v>340</v>
      </c>
      <c r="K816" s="9"/>
      <c r="L816" s="9"/>
      <c r="M816" s="9"/>
      <c r="N816" s="9"/>
      <c r="O816" s="9"/>
      <c r="P816" s="9"/>
      <c r="Q816" s="9"/>
      <c r="R816" s="9"/>
      <c r="S816" s="9"/>
      <c r="T816" s="9"/>
      <c r="U816" s="9"/>
      <c r="V816" s="52"/>
      <c r="W816" s="1215">
        <v>2030</v>
      </c>
      <c r="X816" s="1215"/>
      <c r="Y816" s="1215"/>
      <c r="Z816" s="1215"/>
      <c r="AA816" s="1215"/>
      <c r="AB816" s="1215"/>
      <c r="AC816" s="1215"/>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 customHeight="1">
      <c r="A817"/>
      <c r="B817"/>
      <c r="C817"/>
      <c r="D817"/>
      <c r="E817"/>
      <c r="F817"/>
      <c r="G817"/>
      <c r="H817"/>
      <c r="I817"/>
      <c r="J817" s="8" t="s">
        <v>826</v>
      </c>
      <c r="K817" s="9"/>
      <c r="L817" s="9"/>
      <c r="M817" s="9"/>
      <c r="N817" s="9"/>
      <c r="O817" s="9"/>
      <c r="P817" s="9"/>
      <c r="Q817" s="9"/>
      <c r="R817" s="9"/>
      <c r="S817" s="9"/>
      <c r="T817" s="9"/>
      <c r="U817" s="9"/>
      <c r="V817" s="52"/>
      <c r="W817" s="1215">
        <v>4085</v>
      </c>
      <c r="X817" s="1215"/>
      <c r="Y817" s="1215"/>
      <c r="Z817" s="1215"/>
      <c r="AA817" s="1215"/>
      <c r="AB817" s="1215"/>
      <c r="AC817" s="1215"/>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 customHeight="1">
      <c r="A818"/>
      <c r="B818"/>
      <c r="C818"/>
      <c r="D818"/>
      <c r="E818"/>
      <c r="F818"/>
      <c r="G818"/>
      <c r="H818"/>
      <c r="I818"/>
      <c r="J818" s="68" t="s">
        <v>489</v>
      </c>
      <c r="K818" s="9"/>
      <c r="L818" s="9"/>
      <c r="M818" s="9"/>
      <c r="N818" s="9"/>
      <c r="O818" s="9"/>
      <c r="P818" s="9"/>
      <c r="Q818" s="9"/>
      <c r="R818" s="9"/>
      <c r="S818" s="9"/>
      <c r="T818" s="9"/>
      <c r="U818" s="9"/>
      <c r="V818" s="52"/>
      <c r="W818" s="1215">
        <v>10070</v>
      </c>
      <c r="X818" s="1215"/>
      <c r="Y818" s="1215"/>
      <c r="Z818" s="1215"/>
      <c r="AA818" s="1215"/>
      <c r="AB818" s="1215"/>
      <c r="AC818" s="1215"/>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 customHeight="1">
      <c r="A819"/>
      <c r="B819"/>
      <c r="C819"/>
      <c r="D819"/>
      <c r="E819"/>
      <c r="F819"/>
      <c r="G819"/>
      <c r="H819"/>
      <c r="I819"/>
      <c r="J819" s="69"/>
      <c r="K819" s="54"/>
      <c r="L819" s="54"/>
      <c r="M819" s="54"/>
      <c r="N819" s="54"/>
      <c r="O819" s="54"/>
      <c r="P819" s="54"/>
      <c r="Q819" s="54"/>
      <c r="R819" s="54"/>
      <c r="S819" s="54"/>
      <c r="T819" s="54"/>
      <c r="U819" s="54"/>
      <c r="V819" s="60" t="s">
        <v>13</v>
      </c>
      <c r="W819" s="1214">
        <f>SUM(W815:AC818)</f>
        <v>16185</v>
      </c>
      <c r="X819" s="1214"/>
      <c r="Y819" s="1214"/>
      <c r="Z819" s="1214"/>
      <c r="AA819" s="1214"/>
      <c r="AB819" s="1214"/>
      <c r="AC819" s="1214"/>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 customHeight="1">
      <c r="A821"/>
      <c r="B821"/>
      <c r="C821" s="3" t="s">
        <v>497</v>
      </c>
      <c r="D821"/>
      <c r="E821"/>
      <c r="F821"/>
      <c r="G821"/>
      <c r="H821"/>
      <c r="I821"/>
      <c r="J821" s="8" t="s">
        <v>488</v>
      </c>
      <c r="K821" s="9"/>
      <c r="L821" s="9"/>
      <c r="M821" s="9"/>
      <c r="N821" s="9"/>
      <c r="O821" s="9"/>
      <c r="P821" s="9"/>
      <c r="Q821" s="9"/>
      <c r="R821" s="9"/>
      <c r="S821" s="9"/>
      <c r="T821" s="9"/>
      <c r="U821" s="9"/>
      <c r="V821" s="52"/>
      <c r="W821" s="1513">
        <v>26000</v>
      </c>
      <c r="X821" s="1514"/>
      <c r="Y821" s="1514"/>
      <c r="Z821" s="1514"/>
      <c r="AA821" s="1514"/>
      <c r="AB821" s="1514"/>
      <c r="AC821" s="1515"/>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 customHeight="1">
      <c r="A822"/>
      <c r="B822"/>
      <c r="C822" s="3"/>
      <c r="D822"/>
      <c r="E822"/>
      <c r="F822"/>
      <c r="G822"/>
      <c r="H822"/>
      <c r="I822"/>
      <c r="J822" s="214" t="s">
        <v>2025</v>
      </c>
      <c r="K822" s="9"/>
      <c r="L822" s="9"/>
      <c r="M822" s="9"/>
      <c r="N822" s="9"/>
      <c r="O822" s="9"/>
      <c r="P822" s="9"/>
      <c r="Q822" s="9"/>
      <c r="R822" s="9"/>
      <c r="S822" s="9"/>
      <c r="T822" s="1263">
        <v>1</v>
      </c>
      <c r="U822" s="1264"/>
      <c r="V822" s="1265"/>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 customHeight="1">
      <c r="A823"/>
      <c r="B823"/>
      <c r="C823" s="3" t="s">
        <v>906</v>
      </c>
      <c r="D823"/>
      <c r="E823"/>
      <c r="F823"/>
      <c r="G823"/>
      <c r="H823"/>
      <c r="I823"/>
      <c r="J823" s="8" t="s">
        <v>487</v>
      </c>
      <c r="K823" s="9"/>
      <c r="L823" s="9"/>
      <c r="M823" s="9"/>
      <c r="N823" s="9"/>
      <c r="O823" s="9"/>
      <c r="P823" s="9"/>
      <c r="Q823" s="9"/>
      <c r="R823" s="9"/>
      <c r="S823" s="9"/>
      <c r="T823" s="9"/>
      <c r="U823" s="9"/>
      <c r="V823" s="52"/>
      <c r="W823" s="1513">
        <v>23400</v>
      </c>
      <c r="X823" s="1514"/>
      <c r="Y823" s="1514"/>
      <c r="Z823" s="1514"/>
      <c r="AA823" s="1514"/>
      <c r="AB823" s="1514"/>
      <c r="AC823" s="1515"/>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 customHeight="1">
      <c r="A824"/>
      <c r="B824"/>
      <c r="C824" s="3"/>
      <c r="D824"/>
      <c r="E824"/>
      <c r="F824"/>
      <c r="G824"/>
      <c r="H824"/>
      <c r="I824"/>
      <c r="J824" s="214" t="s">
        <v>2026</v>
      </c>
      <c r="K824" s="9"/>
      <c r="L824" s="9"/>
      <c r="M824" s="9"/>
      <c r="N824" s="9"/>
      <c r="O824" s="9"/>
      <c r="P824" s="9"/>
      <c r="Q824" s="9"/>
      <c r="R824" s="9"/>
      <c r="S824" s="9"/>
      <c r="T824" s="1263"/>
      <c r="U824" s="1264"/>
      <c r="V824" s="1265"/>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 customHeight="1">
      <c r="A825"/>
      <c r="B825"/>
      <c r="C825"/>
      <c r="D825"/>
      <c r="E825"/>
      <c r="F825"/>
      <c r="G825"/>
      <c r="H825"/>
      <c r="I825"/>
      <c r="J825" s="8" t="s">
        <v>296</v>
      </c>
      <c r="K825" s="9"/>
      <c r="L825" s="9"/>
      <c r="M825" s="1192" t="s">
        <v>2387</v>
      </c>
      <c r="N825" s="1139"/>
      <c r="O825" s="1139"/>
      <c r="P825" s="1139"/>
      <c r="Q825" s="1139"/>
      <c r="R825" s="1139"/>
      <c r="S825" s="1139"/>
      <c r="T825" s="1139"/>
      <c r="U825" s="1139"/>
      <c r="V825" s="1140"/>
      <c r="W825" s="1513">
        <v>5850</v>
      </c>
      <c r="X825" s="1514"/>
      <c r="Y825" s="1514"/>
      <c r="Z825" s="1514"/>
      <c r="AA825" s="1514"/>
      <c r="AB825" s="1514"/>
      <c r="AC825" s="1515"/>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 customHeight="1">
      <c r="A826"/>
      <c r="B826"/>
      <c r="C826"/>
      <c r="D826"/>
      <c r="E826"/>
      <c r="F826"/>
      <c r="G826"/>
      <c r="H826"/>
      <c r="I826"/>
      <c r="J826" s="8"/>
      <c r="K826" s="9"/>
      <c r="L826" s="9"/>
      <c r="M826" s="9"/>
      <c r="N826" s="9"/>
      <c r="O826" s="9"/>
      <c r="P826" s="9"/>
      <c r="Q826" s="9"/>
      <c r="R826" s="9"/>
      <c r="S826" s="9"/>
      <c r="T826" s="9"/>
      <c r="U826" s="9"/>
      <c r="V826" s="60" t="s">
        <v>14</v>
      </c>
      <c r="W826" s="1209">
        <f>SUM(W821:AC825)</f>
        <v>55250</v>
      </c>
      <c r="X826" s="1210"/>
      <c r="Y826" s="1210"/>
      <c r="Z826" s="1210"/>
      <c r="AA826" s="1210"/>
      <c r="AB826" s="1210"/>
      <c r="AC826" s="1211"/>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 customHeight="1">
      <c r="A827"/>
      <c r="B827"/>
      <c r="C827"/>
      <c r="D827"/>
      <c r="E827"/>
      <c r="F827"/>
      <c r="G827"/>
      <c r="H827"/>
      <c r="I827"/>
      <c r="J827" s="8"/>
      <c r="K827" s="9"/>
      <c r="L827" s="9"/>
      <c r="M827" s="9"/>
      <c r="N827" s="9"/>
      <c r="O827" s="9"/>
      <c r="P827" s="9"/>
      <c r="Q827" s="9"/>
      <c r="R827" s="9"/>
      <c r="S827" s="9"/>
      <c r="T827" s="9"/>
      <c r="U827" s="9"/>
      <c r="V827" s="60" t="s">
        <v>15</v>
      </c>
      <c r="W827" s="1513">
        <v>11615</v>
      </c>
      <c r="X827" s="1514"/>
      <c r="Y827" s="1514"/>
      <c r="Z827" s="1514"/>
      <c r="AA827" s="1514"/>
      <c r="AB827" s="1514"/>
      <c r="AC827" s="1515"/>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 customHeight="1">
      <c r="A829"/>
      <c r="B829"/>
      <c r="C829" s="3" t="s">
        <v>58</v>
      </c>
      <c r="D829"/>
      <c r="E829"/>
      <c r="F829"/>
      <c r="G829"/>
      <c r="H829"/>
      <c r="I829"/>
      <c r="J829" s="8" t="s">
        <v>759</v>
      </c>
      <c r="K829" s="9"/>
      <c r="L829" s="9"/>
      <c r="M829" s="9"/>
      <c r="N829" s="9"/>
      <c r="O829" s="9"/>
      <c r="P829" s="9"/>
      <c r="Q829" s="9"/>
      <c r="R829" s="9"/>
      <c r="S829" s="9"/>
      <c r="T829" s="9"/>
      <c r="U829" s="9"/>
      <c r="V829" s="52"/>
      <c r="W829" s="1191">
        <v>6050</v>
      </c>
      <c r="X829" s="1191"/>
      <c r="Y829" s="1191"/>
      <c r="Z829" s="1191"/>
      <c r="AA829" s="1191"/>
      <c r="AB829" s="1191"/>
      <c r="AC829" s="1191"/>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 customHeight="1">
      <c r="A830"/>
      <c r="B830"/>
      <c r="C830"/>
      <c r="D830"/>
      <c r="E830"/>
      <c r="F830"/>
      <c r="G830"/>
      <c r="H830"/>
      <c r="I830"/>
      <c r="J830" s="8" t="s">
        <v>656</v>
      </c>
      <c r="K830" s="9"/>
      <c r="L830" s="9"/>
      <c r="M830" s="9"/>
      <c r="N830" s="9"/>
      <c r="O830" s="9"/>
      <c r="P830" s="9"/>
      <c r="Q830" s="9"/>
      <c r="R830" s="9"/>
      <c r="S830" s="9"/>
      <c r="T830" s="9"/>
      <c r="U830" s="9"/>
      <c r="V830" s="52"/>
      <c r="W830" s="1191">
        <v>16300</v>
      </c>
      <c r="X830" s="1191"/>
      <c r="Y830" s="1191"/>
      <c r="Z830" s="1191"/>
      <c r="AA830" s="1191"/>
      <c r="AB830" s="1191"/>
      <c r="AC830" s="1191"/>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 customHeight="1">
      <c r="A831"/>
      <c r="B831"/>
      <c r="C831"/>
      <c r="D831"/>
      <c r="E831"/>
      <c r="F831"/>
      <c r="G831"/>
      <c r="H831"/>
      <c r="I831"/>
      <c r="J831" s="8" t="s">
        <v>655</v>
      </c>
      <c r="K831" s="9"/>
      <c r="L831" s="9"/>
      <c r="M831" s="9"/>
      <c r="N831" s="9"/>
      <c r="O831" s="9"/>
      <c r="P831" s="9"/>
      <c r="Q831" s="9"/>
      <c r="R831" s="9"/>
      <c r="S831" s="9"/>
      <c r="T831" s="9"/>
      <c r="U831" s="9"/>
      <c r="V831" s="52"/>
      <c r="W831" s="1191">
        <v>10125</v>
      </c>
      <c r="X831" s="1191"/>
      <c r="Y831" s="1191"/>
      <c r="Z831" s="1191"/>
      <c r="AA831" s="1191"/>
      <c r="AB831" s="1191"/>
      <c r="AC831" s="1191"/>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 customHeight="1">
      <c r="A832"/>
      <c r="B832"/>
      <c r="C832"/>
      <c r="D832"/>
      <c r="E832"/>
      <c r="F832"/>
      <c r="G832"/>
      <c r="H832"/>
      <c r="I832"/>
      <c r="J832" s="8" t="s">
        <v>654</v>
      </c>
      <c r="K832" s="9"/>
      <c r="L832" s="9"/>
      <c r="M832" s="9"/>
      <c r="N832" s="9"/>
      <c r="O832" s="9"/>
      <c r="P832" s="9"/>
      <c r="Q832" s="9"/>
      <c r="R832" s="9"/>
      <c r="S832" s="9"/>
      <c r="T832" s="9"/>
      <c r="U832" s="9"/>
      <c r="V832" s="52"/>
      <c r="W832" s="1191">
        <v>850</v>
      </c>
      <c r="X832" s="1191"/>
      <c r="Y832" s="1191"/>
      <c r="Z832" s="1191"/>
      <c r="AA832" s="1191"/>
      <c r="AB832" s="1191"/>
      <c r="AC832" s="1191"/>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 customHeight="1">
      <c r="A833"/>
      <c r="B833"/>
      <c r="C833"/>
      <c r="D833"/>
      <c r="E833"/>
      <c r="F833"/>
      <c r="G833"/>
      <c r="H833"/>
      <c r="I833"/>
      <c r="J833" s="8" t="s">
        <v>653</v>
      </c>
      <c r="K833" s="9"/>
      <c r="L833" s="9"/>
      <c r="M833" s="9"/>
      <c r="N833" s="9"/>
      <c r="O833" s="9"/>
      <c r="P833" s="9"/>
      <c r="Q833" s="9"/>
      <c r="R833" s="9"/>
      <c r="S833" s="9"/>
      <c r="T833" s="9"/>
      <c r="U833" s="9"/>
      <c r="V833" s="52"/>
      <c r="W833" s="1191">
        <v>16215</v>
      </c>
      <c r="X833" s="1191"/>
      <c r="Y833" s="1191"/>
      <c r="Z833" s="1191"/>
      <c r="AA833" s="1191"/>
      <c r="AB833" s="1191"/>
      <c r="AC833" s="1191"/>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 customHeight="1">
      <c r="J834" s="8" t="s">
        <v>652</v>
      </c>
      <c r="K834" s="9"/>
      <c r="L834" s="9"/>
      <c r="M834" s="9"/>
      <c r="N834" s="9"/>
      <c r="O834" s="9"/>
      <c r="P834" s="9"/>
      <c r="Q834" s="9"/>
      <c r="R834" s="9"/>
      <c r="S834" s="9"/>
      <c r="T834" s="9"/>
      <c r="U834" s="9"/>
      <c r="V834" s="52"/>
      <c r="W834" s="1191">
        <v>2900</v>
      </c>
      <c r="X834" s="1191"/>
      <c r="Y834" s="1191"/>
      <c r="Z834" s="1191"/>
      <c r="AA834" s="1191"/>
      <c r="AB834" s="1191"/>
      <c r="AC834" s="1191"/>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 customHeight="1">
      <c r="J835" s="8" t="s">
        <v>296</v>
      </c>
      <c r="K835" s="9"/>
      <c r="L835" s="9"/>
      <c r="M835" s="1192" t="s">
        <v>2388</v>
      </c>
      <c r="N835" s="1139"/>
      <c r="O835" s="1139"/>
      <c r="P835" s="1139"/>
      <c r="Q835" s="1139"/>
      <c r="R835" s="1139"/>
      <c r="S835" s="1139"/>
      <c r="T835" s="1139"/>
      <c r="U835" s="1139"/>
      <c r="V835" s="1140"/>
      <c r="W835" s="1191">
        <v>11860</v>
      </c>
      <c r="X835" s="1191"/>
      <c r="Y835" s="1191"/>
      <c r="Z835" s="1191"/>
      <c r="AA835" s="1191"/>
      <c r="AB835" s="1191"/>
      <c r="AC835" s="1191"/>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 customHeight="1">
      <c r="J836" s="8"/>
      <c r="K836" s="9"/>
      <c r="L836" s="9"/>
      <c r="M836" s="9"/>
      <c r="N836" s="9"/>
      <c r="O836" s="9"/>
      <c r="P836" s="9"/>
      <c r="Q836" s="9"/>
      <c r="R836" s="9"/>
      <c r="S836" s="9"/>
      <c r="T836" s="9"/>
      <c r="U836" s="9"/>
      <c r="V836" s="60" t="s">
        <v>16</v>
      </c>
      <c r="W836" s="1153">
        <f>SUM(W829:AC835)</f>
        <v>64300</v>
      </c>
      <c r="X836" s="1153"/>
      <c r="Y836" s="1153"/>
      <c r="Z836" s="1153"/>
      <c r="AA836" s="1153"/>
      <c r="AB836" s="1153"/>
      <c r="AC836" s="1153"/>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 customHeight="1">
      <c r="C838" s="3" t="s">
        <v>1952</v>
      </c>
      <c r="J838" s="8" t="s">
        <v>296</v>
      </c>
      <c r="K838" s="9"/>
      <c r="L838" s="9"/>
      <c r="M838" s="1138" t="s">
        <v>591</v>
      </c>
      <c r="N838" s="1139"/>
      <c r="O838" s="1139"/>
      <c r="P838" s="1139"/>
      <c r="Q838" s="1139"/>
      <c r="R838" s="1139"/>
      <c r="S838" s="1139"/>
      <c r="T838" s="1139"/>
      <c r="U838" s="1139"/>
      <c r="V838" s="1140"/>
      <c r="W838" s="1141"/>
      <c r="X838" s="1142"/>
      <c r="Y838" s="1142"/>
      <c r="Z838" s="1142"/>
      <c r="AA838" s="1142"/>
      <c r="AB838" s="1142"/>
      <c r="AC838" s="1143"/>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 customHeight="1">
      <c r="C839" s="3" t="s">
        <v>1953</v>
      </c>
      <c r="J839" s="8" t="s">
        <v>296</v>
      </c>
      <c r="K839" s="9"/>
      <c r="L839" s="9"/>
      <c r="M839" s="1138" t="s">
        <v>591</v>
      </c>
      <c r="N839" s="1139"/>
      <c r="O839" s="1139"/>
      <c r="P839" s="1139"/>
      <c r="Q839" s="1139"/>
      <c r="R839" s="1139"/>
      <c r="S839" s="1139"/>
      <c r="T839" s="1139"/>
      <c r="U839" s="1139"/>
      <c r="V839" s="1140"/>
      <c r="W839" s="1141"/>
      <c r="X839" s="1142"/>
      <c r="Y839" s="1142"/>
      <c r="Z839" s="1142"/>
      <c r="AA839" s="1142"/>
      <c r="AB839" s="1142"/>
      <c r="AC839" s="1143"/>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 customHeight="1">
      <c r="A840"/>
      <c r="B840"/>
      <c r="C840"/>
      <c r="D840"/>
      <c r="E840"/>
      <c r="F840"/>
      <c r="G840"/>
      <c r="H840"/>
      <c r="I840"/>
      <c r="J840" s="8" t="s">
        <v>296</v>
      </c>
      <c r="K840" s="9"/>
      <c r="L840" s="9"/>
      <c r="M840" s="1138" t="s">
        <v>591</v>
      </c>
      <c r="N840" s="1139"/>
      <c r="O840" s="1139"/>
      <c r="P840" s="1139"/>
      <c r="Q840" s="1139"/>
      <c r="R840" s="1139"/>
      <c r="S840" s="1139"/>
      <c r="T840" s="1139"/>
      <c r="U840" s="1139"/>
      <c r="V840" s="1140"/>
      <c r="W840" s="1141"/>
      <c r="X840" s="1142"/>
      <c r="Y840" s="1142"/>
      <c r="Z840" s="1142"/>
      <c r="AA840" s="1142"/>
      <c r="AB840" s="1142"/>
      <c r="AC840" s="1143"/>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 customHeight="1">
      <c r="A841"/>
      <c r="B841"/>
      <c r="C841"/>
      <c r="D841"/>
      <c r="E841"/>
      <c r="F841"/>
      <c r="G841"/>
      <c r="H841"/>
      <c r="I841"/>
      <c r="J841" s="8" t="s">
        <v>296</v>
      </c>
      <c r="K841" s="9"/>
      <c r="L841" s="9"/>
      <c r="M841" s="1138" t="s">
        <v>591</v>
      </c>
      <c r="N841" s="1139"/>
      <c r="O841" s="1139"/>
      <c r="P841" s="1139"/>
      <c r="Q841" s="1139"/>
      <c r="R841" s="1139"/>
      <c r="S841" s="1139"/>
      <c r="T841" s="1139"/>
      <c r="U841" s="1139"/>
      <c r="V841" s="1140"/>
      <c r="W841" s="1141"/>
      <c r="X841" s="1142"/>
      <c r="Y841" s="1142"/>
      <c r="Z841" s="1142"/>
      <c r="AA841" s="1142"/>
      <c r="AB841" s="1142"/>
      <c r="AC841" s="1143"/>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 customHeight="1">
      <c r="A842"/>
      <c r="B842"/>
      <c r="C842"/>
      <c r="D842"/>
      <c r="E842"/>
      <c r="F842"/>
      <c r="G842"/>
      <c r="H842"/>
      <c r="I842"/>
      <c r="J842" s="8" t="s">
        <v>296</v>
      </c>
      <c r="K842" s="9"/>
      <c r="L842" s="9"/>
      <c r="M842" s="1138" t="s">
        <v>591</v>
      </c>
      <c r="N842" s="1139"/>
      <c r="O842" s="1139"/>
      <c r="P842" s="1139"/>
      <c r="Q842" s="1139"/>
      <c r="R842" s="1139"/>
      <c r="S842" s="1139"/>
      <c r="T842" s="1139"/>
      <c r="U842" s="1139"/>
      <c r="V842" s="1140"/>
      <c r="W842" s="1141"/>
      <c r="X842" s="1142"/>
      <c r="Y842" s="1142"/>
      <c r="Z842" s="1142"/>
      <c r="AA842" s="1142"/>
      <c r="AB842" s="1142"/>
      <c r="AC842" s="1143"/>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 customHeight="1">
      <c r="A843"/>
      <c r="B843"/>
      <c r="C843"/>
      <c r="D843"/>
      <c r="E843"/>
      <c r="F843"/>
      <c r="G843"/>
      <c r="H843"/>
      <c r="I843"/>
      <c r="J843" s="8"/>
      <c r="K843" s="9"/>
      <c r="L843" s="9"/>
      <c r="M843" s="9"/>
      <c r="N843" s="9"/>
      <c r="O843" s="9"/>
      <c r="P843" s="9"/>
      <c r="Q843" s="9"/>
      <c r="R843" s="9"/>
      <c r="S843" s="9"/>
      <c r="T843" s="9"/>
      <c r="U843" s="9"/>
      <c r="V843" s="60" t="s">
        <v>17</v>
      </c>
      <c r="W843" s="1147">
        <f>SUM(W838:AC842)</f>
        <v>0</v>
      </c>
      <c r="X843" s="1148"/>
      <c r="Y843" s="1148"/>
      <c r="Z843" s="1148"/>
      <c r="AA843" s="1148"/>
      <c r="AB843" s="1148"/>
      <c r="AC843" s="1149"/>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7">
        <f>W811+W819+W826+W827+W836+W843+W813</f>
        <v>169275</v>
      </c>
      <c r="AD847" s="1148"/>
      <c r="AE847" s="1148"/>
      <c r="AF847" s="1148"/>
      <c r="AG847" s="1148"/>
      <c r="AH847" s="1149"/>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526">
        <f>O762+O742+G717</f>
        <v>29</v>
      </c>
      <c r="AD848" s="1527"/>
      <c r="AE848" s="1527"/>
      <c r="AF848" s="1527"/>
      <c r="AG848" s="1527"/>
      <c r="AH848" s="1528"/>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 customHeight="1" thickBot="1">
      <c r="A849"/>
      <c r="B849"/>
      <c r="C849"/>
      <c r="D849"/>
      <c r="E849" s="1269" t="s">
        <v>366</v>
      </c>
      <c r="F849" s="1270"/>
      <c r="G849" s="1270"/>
      <c r="H849" s="1270"/>
      <c r="I849" s="1270"/>
      <c r="J849" s="1270"/>
      <c r="K849" s="1270"/>
      <c r="L849" s="1270"/>
      <c r="M849" s="1270"/>
      <c r="N849" s="1270"/>
      <c r="O849" s="1270"/>
      <c r="P849" s="1270"/>
      <c r="Q849" s="1270"/>
      <c r="R849" s="1270"/>
      <c r="S849" s="1270"/>
      <c r="T849" s="1270"/>
      <c r="U849" s="1270"/>
      <c r="V849" s="1270"/>
      <c r="W849" s="1270"/>
      <c r="X849" s="1270"/>
      <c r="Y849" s="1270"/>
      <c r="Z849" s="1270"/>
      <c r="AA849" s="1270"/>
      <c r="AB849" s="1271"/>
      <c r="AC849" s="1516">
        <f>IF(ISERROR((ROUNDDOWN(AC847/AC848,0))),0,(ROUNDDOWN(AC847/AC848,0)))</f>
        <v>5837</v>
      </c>
      <c r="AD849" s="1517"/>
      <c r="AE849" s="1517"/>
      <c r="AF849" s="1517"/>
      <c r="AG849" s="1517"/>
      <c r="AH849" s="1517"/>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90">
        <v>228429</v>
      </c>
      <c r="AD850" s="1522"/>
      <c r="AE850" s="1522"/>
      <c r="AF850" s="1522"/>
      <c r="AG850" s="1522"/>
      <c r="AH850" s="1522"/>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43"/>
      <c r="AD851" s="1191"/>
      <c r="AE851" s="1191"/>
      <c r="AF851" s="1191"/>
      <c r="AG851" s="1191"/>
      <c r="AH851" s="1191"/>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41">
        <v>10000</v>
      </c>
      <c r="AD852" s="1142"/>
      <c r="AE852" s="1142"/>
      <c r="AF852" s="1142"/>
      <c r="AG852" s="1142"/>
      <c r="AH852" s="1143"/>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41">
        <v>7250</v>
      </c>
      <c r="AD853" s="1142"/>
      <c r="AE853" s="1142"/>
      <c r="AF853" s="1142"/>
      <c r="AG853" s="1142"/>
      <c r="AH853" s="1143"/>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41"/>
      <c r="AD854" s="1142"/>
      <c r="AE854" s="1142"/>
      <c r="AF854" s="1142"/>
      <c r="AG854" s="1142"/>
      <c r="AH854" s="1143"/>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41">
        <v>5000</v>
      </c>
      <c r="AD855" s="1142"/>
      <c r="AE855" s="1142"/>
      <c r="AF855" s="1142"/>
      <c r="AG855" s="1142"/>
      <c r="AH855" s="1143"/>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46"/>
      <c r="AD856" s="1191"/>
      <c r="AE856" s="1191"/>
      <c r="AF856" s="1191"/>
      <c r="AG856" s="1191"/>
      <c r="AH856" s="1191"/>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 customHeight="1">
      <c r="A857"/>
      <c r="B857"/>
      <c r="C857"/>
      <c r="D857"/>
      <c r="E857" s="1440" t="s">
        <v>1259</v>
      </c>
      <c r="F857" s="1441"/>
      <c r="G857" s="1441"/>
      <c r="H857" s="1441"/>
      <c r="I857" s="1441"/>
      <c r="J857" s="1441"/>
      <c r="K857" s="1441"/>
      <c r="L857" s="1441"/>
      <c r="M857" s="1441"/>
      <c r="N857" s="1441"/>
      <c r="O857" s="1441"/>
      <c r="P857" s="1441"/>
      <c r="Q857" s="1441"/>
      <c r="R857" s="1441"/>
      <c r="S857" s="1441"/>
      <c r="T857" s="1441"/>
      <c r="U857" s="1441"/>
      <c r="V857" s="1441"/>
      <c r="W857" s="1441"/>
      <c r="X857" s="1441"/>
      <c r="Y857" s="1441"/>
      <c r="Z857" s="1441"/>
      <c r="AA857" s="1441"/>
      <c r="AB857" s="1442"/>
      <c r="AC857" s="1191"/>
      <c r="AD857" s="1191"/>
      <c r="AE857" s="1191"/>
      <c r="AF857" s="1191"/>
      <c r="AG857" s="1191"/>
      <c r="AH857" s="1191"/>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 customHeight="1">
      <c r="A858"/>
      <c r="B858"/>
      <c r="C858"/>
      <c r="D858"/>
      <c r="E858" s="1440" t="s">
        <v>1259</v>
      </c>
      <c r="F858" s="1441"/>
      <c r="G858" s="1441"/>
      <c r="H858" s="1441"/>
      <c r="I858" s="1441"/>
      <c r="J858" s="1441"/>
      <c r="K858" s="1441"/>
      <c r="L858" s="1441"/>
      <c r="M858" s="1441"/>
      <c r="N858" s="1441"/>
      <c r="O858" s="1441"/>
      <c r="P858" s="1441"/>
      <c r="Q858" s="1441"/>
      <c r="R858" s="1441"/>
      <c r="S858" s="1441"/>
      <c r="T858" s="1441"/>
      <c r="U858" s="1441"/>
      <c r="V858" s="1441"/>
      <c r="W858" s="1441"/>
      <c r="X858" s="1441"/>
      <c r="Y858" s="1441"/>
      <c r="Z858" s="1441"/>
      <c r="AA858" s="1441"/>
      <c r="AB858" s="1442"/>
      <c r="AC858" s="1191"/>
      <c r="AD858" s="1191"/>
      <c r="AE858" s="1191"/>
      <c r="AF858" s="1191"/>
      <c r="AG858" s="1191"/>
      <c r="AH858" s="1191"/>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 customHeight="1">
      <c r="A859"/>
      <c r="B859"/>
      <c r="C859"/>
      <c r="D859"/>
      <c r="E859"/>
      <c r="F859"/>
      <c r="G859"/>
      <c r="H859"/>
      <c r="I859"/>
      <c r="J859"/>
      <c r="K859"/>
      <c r="L859"/>
      <c r="M859"/>
      <c r="N859"/>
      <c r="O859"/>
      <c r="P859"/>
      <c r="Q859"/>
      <c r="R859"/>
      <c r="S859"/>
      <c r="T859"/>
      <c r="U859"/>
      <c r="V859"/>
      <c r="W859"/>
      <c r="X859"/>
      <c r="Y859"/>
      <c r="Z859"/>
      <c r="AA859"/>
      <c r="AB859" s="62"/>
      <c r="AC859" s="1521"/>
      <c r="AD859" s="1521"/>
      <c r="AE859" s="1521"/>
      <c r="AF859" s="1521"/>
      <c r="AG859" s="1521"/>
      <c r="AH859" s="1521"/>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2"/>
      <c r="AO860" s="1512"/>
      <c r="AP860" s="1212"/>
      <c r="AQ860" s="1212"/>
      <c r="AR860" s="1212"/>
      <c r="AS860" s="1212"/>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2"/>
      <c r="AQ861" s="1212"/>
      <c r="AR861" s="1212"/>
      <c r="AS861" s="1212"/>
      <c r="AV861" s="1212"/>
      <c r="AW861" s="1212"/>
      <c r="AX861" s="1212"/>
      <c r="AY861" s="1212"/>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41"/>
      <c r="AA862" s="1142"/>
      <c r="AB862" s="1142"/>
      <c r="AC862" s="1142"/>
      <c r="AD862" s="1142"/>
      <c r="AE862" s="1143"/>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41"/>
      <c r="AA863" s="1142"/>
      <c r="AB863" s="1142"/>
      <c r="AC863" s="1142"/>
      <c r="AD863" s="1142"/>
      <c r="AE863" s="1143"/>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41"/>
      <c r="AA864" s="1142"/>
      <c r="AB864" s="1142"/>
      <c r="AC864" s="1142"/>
      <c r="AD864" s="1142"/>
      <c r="AE864" s="1143"/>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47">
        <f>Z862-(Z863+Z864)</f>
        <v>0</v>
      </c>
      <c r="AA865" s="1148"/>
      <c r="AB865" s="1148"/>
      <c r="AC865" s="1148"/>
      <c r="AD865" s="1148"/>
      <c r="AE865" s="1149"/>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 customHeight="1">
      <c r="A872" s="1144" t="s">
        <v>135</v>
      </c>
      <c r="B872" s="1144"/>
      <c r="C872" s="1144"/>
      <c r="D872" s="1144"/>
      <c r="E872" s="1144"/>
      <c r="F872" s="1144"/>
      <c r="G872" s="1144"/>
      <c r="H872" s="1144"/>
      <c r="I872" s="1144"/>
      <c r="J872" s="1144"/>
      <c r="K872" s="1144"/>
      <c r="L872" s="1144"/>
      <c r="M872" s="1144"/>
      <c r="N872" s="1144"/>
      <c r="O872" s="1144"/>
      <c r="P872" s="1144"/>
      <c r="Q872" s="1144"/>
      <c r="R872" s="1144"/>
      <c r="S872" s="1144"/>
      <c r="T872" s="1144"/>
      <c r="U872" s="1144"/>
      <c r="V872" s="1144"/>
      <c r="W872" s="1144"/>
      <c r="X872" s="1144"/>
      <c r="Y872" s="1144"/>
      <c r="Z872" s="1144"/>
      <c r="AA872" s="1144"/>
      <c r="AB872" s="1144"/>
      <c r="AC872" s="1144"/>
      <c r="AD872" s="1144"/>
      <c r="AE872" s="1144"/>
      <c r="AF872" s="1144"/>
      <c r="AG872" s="1144"/>
      <c r="AH872" s="1144"/>
      <c r="AI872" s="1144"/>
      <c r="AJ872" s="1144"/>
      <c r="AK872" s="1144"/>
      <c r="AL872" s="1144"/>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 customHeight="1">
      <c r="A873" s="1144"/>
      <c r="B873" s="1144"/>
      <c r="C873" s="1144"/>
      <c r="D873" s="1144"/>
      <c r="E873" s="1144"/>
      <c r="F873" s="1144"/>
      <c r="G873" s="1144"/>
      <c r="H873" s="1144"/>
      <c r="I873" s="1144"/>
      <c r="J873" s="1144"/>
      <c r="K873" s="1144"/>
      <c r="L873" s="1144"/>
      <c r="M873" s="1144"/>
      <c r="N873" s="1144"/>
      <c r="O873" s="1144"/>
      <c r="P873" s="1144"/>
      <c r="Q873" s="1144"/>
      <c r="R873" s="1144"/>
      <c r="S873" s="1144"/>
      <c r="T873" s="1144"/>
      <c r="U873" s="1144"/>
      <c r="V873" s="1144"/>
      <c r="W873" s="1144"/>
      <c r="X873" s="1144"/>
      <c r="Y873" s="1144"/>
      <c r="Z873" s="1144"/>
      <c r="AA873" s="1144"/>
      <c r="AB873" s="1144"/>
      <c r="AC873" s="1144"/>
      <c r="AD873" s="1144"/>
      <c r="AE873" s="1144"/>
      <c r="AF873" s="1144"/>
      <c r="AG873" s="1144"/>
      <c r="AH873" s="1144"/>
      <c r="AI873" s="1144"/>
      <c r="AJ873" s="1144"/>
      <c r="AK873" s="1144"/>
      <c r="AL873" s="1144"/>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 customHeight="1">
      <c r="F877" s="1523" t="s">
        <v>1003</v>
      </c>
      <c r="G877" s="1524"/>
      <c r="H877" s="1524"/>
      <c r="I877" s="1524"/>
      <c r="J877" s="1524"/>
      <c r="K877" s="1524"/>
      <c r="L877" s="1524"/>
      <c r="M877" s="1524"/>
      <c r="N877" s="1524"/>
      <c r="O877" s="1524"/>
      <c r="P877" s="1524"/>
      <c r="Q877" s="1524"/>
      <c r="R877" s="1524"/>
      <c r="S877" s="1524"/>
      <c r="T877" s="1525"/>
      <c r="U877" s="1168" t="s">
        <v>365</v>
      </c>
      <c r="V877" s="1169"/>
      <c r="W877" s="1169"/>
      <c r="X877" s="1169"/>
      <c r="Y877" s="1169"/>
      <c r="Z877" s="1169"/>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 customHeight="1">
      <c r="B878" s="3"/>
      <c r="F878" s="1170" t="s">
        <v>1084</v>
      </c>
      <c r="G878" s="1171"/>
      <c r="H878" s="1171"/>
      <c r="I878" s="1171"/>
      <c r="J878" s="1171"/>
      <c r="K878" s="1171"/>
      <c r="L878" s="1171"/>
      <c r="M878" s="1171"/>
      <c r="N878" s="1171"/>
      <c r="O878" s="1171"/>
      <c r="P878" s="1171"/>
      <c r="Q878" s="1171"/>
      <c r="R878" s="1171"/>
      <c r="S878" s="1171"/>
      <c r="T878" s="1266"/>
      <c r="U878" s="1170"/>
      <c r="V878" s="1171"/>
      <c r="W878" s="1171"/>
      <c r="X878" s="1171"/>
      <c r="Y878" s="1171"/>
      <c r="Z878" s="1171"/>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 customHeight="1">
      <c r="B879" s="3"/>
      <c r="F879" s="1172"/>
      <c r="G879" s="1173"/>
      <c r="H879" s="1173"/>
      <c r="I879" s="1173"/>
      <c r="J879" s="1173"/>
      <c r="K879" s="1173"/>
      <c r="L879" s="1173"/>
      <c r="M879" s="1173"/>
      <c r="N879" s="1173"/>
      <c r="O879" s="1173"/>
      <c r="P879" s="1173"/>
      <c r="Q879" s="1173"/>
      <c r="R879" s="1173"/>
      <c r="S879" s="1173"/>
      <c r="T879" s="1267"/>
      <c r="U879" s="1172"/>
      <c r="V879" s="1173"/>
      <c r="W879" s="1173"/>
      <c r="X879" s="1173"/>
      <c r="Y879" s="1173"/>
      <c r="Z879" s="1173"/>
      <c r="AA879" s="198"/>
      <c r="AB879" s="1529" t="s">
        <v>59</v>
      </c>
      <c r="AC879" s="1529"/>
      <c r="AD879" s="1529"/>
      <c r="AE879" s="1529"/>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 customHeight="1">
      <c r="F880" s="8" t="s">
        <v>168</v>
      </c>
      <c r="G880" s="9"/>
      <c r="H880" s="9"/>
      <c r="I880" s="9"/>
      <c r="J880" s="9"/>
      <c r="K880" s="9"/>
      <c r="L880" s="9"/>
      <c r="M880" s="9"/>
      <c r="N880" s="9"/>
      <c r="O880" s="9"/>
      <c r="P880" s="9"/>
      <c r="Q880" s="9"/>
      <c r="R880" s="9"/>
      <c r="S880" s="9"/>
      <c r="T880" s="52"/>
      <c r="U880" s="1163" t="s">
        <v>131</v>
      </c>
      <c r="V880" s="1099"/>
      <c r="W880" s="1099"/>
      <c r="X880" s="1099"/>
      <c r="Y880" s="1099"/>
      <c r="Z880" s="1164"/>
      <c r="AA880" s="1189"/>
      <c r="AB880" s="1130"/>
      <c r="AC880" s="1130"/>
      <c r="AD880" s="1130"/>
      <c r="AE880" s="1130"/>
      <c r="AF880" s="1190"/>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 customHeight="1">
      <c r="F881" s="8" t="s">
        <v>170</v>
      </c>
      <c r="G881" s="9"/>
      <c r="H881" s="9"/>
      <c r="I881" s="9"/>
      <c r="J881" s="9"/>
      <c r="K881" s="9"/>
      <c r="L881" s="9"/>
      <c r="M881" s="9"/>
      <c r="N881" s="9"/>
      <c r="O881" s="9"/>
      <c r="P881" s="9"/>
      <c r="Q881" s="9"/>
      <c r="R881" s="9"/>
      <c r="S881" s="9"/>
      <c r="T881" s="52"/>
      <c r="U881" s="1163" t="s">
        <v>131</v>
      </c>
      <c r="V881" s="1099"/>
      <c r="W881" s="1099"/>
      <c r="X881" s="1099"/>
      <c r="Y881" s="1099"/>
      <c r="Z881" s="1164"/>
      <c r="AA881" s="1189"/>
      <c r="AB881" s="1130"/>
      <c r="AC881" s="1130"/>
      <c r="AD881" s="1130"/>
      <c r="AE881" s="1130"/>
      <c r="AF881" s="1190"/>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 customHeight="1">
      <c r="F882" s="72" t="s">
        <v>988</v>
      </c>
      <c r="G882" s="9"/>
      <c r="H882" s="9"/>
      <c r="I882" s="9"/>
      <c r="J882" s="9"/>
      <c r="K882" s="9"/>
      <c r="L882" s="9"/>
      <c r="M882" s="9"/>
      <c r="N882" s="9"/>
      <c r="O882" s="9"/>
      <c r="P882" s="9"/>
      <c r="Q882" s="9"/>
      <c r="R882" s="9"/>
      <c r="S882" s="9"/>
      <c r="T882" s="52"/>
      <c r="U882" s="1163" t="s">
        <v>131</v>
      </c>
      <c r="V882" s="1099"/>
      <c r="W882" s="1099"/>
      <c r="X882" s="1099"/>
      <c r="Y882" s="1099"/>
      <c r="Z882" s="1164"/>
      <c r="AA882" s="1189"/>
      <c r="AB882" s="1130"/>
      <c r="AC882" s="1130"/>
      <c r="AD882" s="1130"/>
      <c r="AE882" s="1130"/>
      <c r="AF882" s="1190"/>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 customHeight="1">
      <c r="F883" s="72" t="s">
        <v>989</v>
      </c>
      <c r="G883" s="9"/>
      <c r="H883" s="9"/>
      <c r="I883" s="9"/>
      <c r="J883" s="9"/>
      <c r="K883" s="9"/>
      <c r="L883" s="9"/>
      <c r="M883" s="9"/>
      <c r="N883" s="9"/>
      <c r="O883" s="9"/>
      <c r="P883" s="9"/>
      <c r="Q883" s="9"/>
      <c r="R883" s="9"/>
      <c r="S883" s="9"/>
      <c r="T883" s="52"/>
      <c r="U883" s="1163" t="s">
        <v>131</v>
      </c>
      <c r="V883" s="1099"/>
      <c r="W883" s="1099"/>
      <c r="X883" s="1099"/>
      <c r="Y883" s="1099"/>
      <c r="Z883" s="1164"/>
      <c r="AA883" s="1189"/>
      <c r="AB883" s="1130"/>
      <c r="AC883" s="1130"/>
      <c r="AD883" s="1130"/>
      <c r="AE883" s="1130"/>
      <c r="AF883" s="1190"/>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 customHeight="1">
      <c r="F884" s="72" t="s">
        <v>990</v>
      </c>
      <c r="G884" s="9"/>
      <c r="H884" s="9"/>
      <c r="I884" s="9"/>
      <c r="J884" s="9"/>
      <c r="K884" s="9"/>
      <c r="L884" s="9"/>
      <c r="M884" s="9"/>
      <c r="N884" s="9"/>
      <c r="O884" s="9"/>
      <c r="P884" s="9"/>
      <c r="Q884" s="9"/>
      <c r="R884" s="9"/>
      <c r="S884" s="9"/>
      <c r="T884" s="52"/>
      <c r="U884" s="1163" t="s">
        <v>131</v>
      </c>
      <c r="V884" s="1099"/>
      <c r="W884" s="1099"/>
      <c r="X884" s="1099"/>
      <c r="Y884" s="1099"/>
      <c r="Z884" s="1164"/>
      <c r="AA884" s="1189"/>
      <c r="AB884" s="1130"/>
      <c r="AC884" s="1130"/>
      <c r="AD884" s="1130"/>
      <c r="AE884" s="1130"/>
      <c r="AF884" s="1190"/>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 customHeight="1">
      <c r="F885" s="8" t="s">
        <v>169</v>
      </c>
      <c r="G885" s="9"/>
      <c r="H885" s="9"/>
      <c r="I885" s="9"/>
      <c r="J885" s="9"/>
      <c r="K885" s="9"/>
      <c r="L885" s="9"/>
      <c r="M885" s="9"/>
      <c r="N885" s="9"/>
      <c r="O885" s="9"/>
      <c r="P885" s="9"/>
      <c r="Q885" s="9"/>
      <c r="R885" s="9"/>
      <c r="S885" s="9"/>
      <c r="T885" s="52"/>
      <c r="U885" s="1163" t="s">
        <v>131</v>
      </c>
      <c r="V885" s="1099"/>
      <c r="W885" s="1099"/>
      <c r="X885" s="1099"/>
      <c r="Y885" s="1099"/>
      <c r="Z885" s="1164"/>
      <c r="AA885" s="1189"/>
      <c r="AB885" s="1130"/>
      <c r="AC885" s="1130"/>
      <c r="AD885" s="1130"/>
      <c r="AE885" s="1130"/>
      <c r="AF885" s="1190"/>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 customHeight="1">
      <c r="F886" s="8" t="s">
        <v>171</v>
      </c>
      <c r="G886" s="9"/>
      <c r="H886" s="9"/>
      <c r="I886" s="9"/>
      <c r="J886" s="9"/>
      <c r="K886" s="9"/>
      <c r="L886" s="9"/>
      <c r="M886" s="9"/>
      <c r="N886" s="9"/>
      <c r="O886" s="9"/>
      <c r="P886" s="9"/>
      <c r="Q886" s="9"/>
      <c r="R886" s="9"/>
      <c r="S886" s="9"/>
      <c r="T886" s="52"/>
      <c r="U886" s="1163" t="s">
        <v>131</v>
      </c>
      <c r="V886" s="1099"/>
      <c r="W886" s="1099"/>
      <c r="X886" s="1099"/>
      <c r="Y886" s="1099"/>
      <c r="Z886" s="1164"/>
      <c r="AA886" s="1189"/>
      <c r="AB886" s="1130"/>
      <c r="AC886" s="1130"/>
      <c r="AD886" s="1130"/>
      <c r="AE886" s="1130"/>
      <c r="AF886" s="1190"/>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 customHeight="1">
      <c r="F887" s="305" t="s">
        <v>167</v>
      </c>
      <c r="G887" s="9"/>
      <c r="H887" s="9"/>
      <c r="I887" s="9"/>
      <c r="J887" s="9"/>
      <c r="K887" s="9"/>
      <c r="L887" s="9"/>
      <c r="M887" s="9"/>
      <c r="N887" s="9"/>
      <c r="O887" s="9"/>
      <c r="P887" s="9"/>
      <c r="Q887" s="9"/>
      <c r="R887" s="9"/>
      <c r="S887" s="9"/>
      <c r="T887" s="52"/>
      <c r="U887" s="1163" t="s">
        <v>131</v>
      </c>
      <c r="V887" s="1099"/>
      <c r="W887" s="1099"/>
      <c r="X887" s="1099"/>
      <c r="Y887" s="1099"/>
      <c r="Z887" s="1164"/>
      <c r="AA887" s="1189"/>
      <c r="AB887" s="1130"/>
      <c r="AC887" s="1130"/>
      <c r="AD887" s="1130"/>
      <c r="AE887" s="1130"/>
      <c r="AF887" s="1190"/>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 customHeight="1">
      <c r="F888" s="8" t="s">
        <v>1994</v>
      </c>
      <c r="G888" s="9"/>
      <c r="H888" s="9"/>
      <c r="I888" s="9"/>
      <c r="J888" s="9"/>
      <c r="K888" s="9"/>
      <c r="L888" s="9"/>
      <c r="M888" s="9"/>
      <c r="N888" s="9"/>
      <c r="O888" s="9"/>
      <c r="P888" s="9"/>
      <c r="Q888" s="9"/>
      <c r="R888" s="9"/>
      <c r="S888" s="9"/>
      <c r="T888" s="52"/>
      <c r="U888" s="1163" t="s">
        <v>131</v>
      </c>
      <c r="V888" s="1099"/>
      <c r="W888" s="1099"/>
      <c r="X888" s="1099"/>
      <c r="Y888" s="1099"/>
      <c r="Z888" s="1164"/>
      <c r="AA888" s="1189"/>
      <c r="AB888" s="1130"/>
      <c r="AC888" s="1130"/>
      <c r="AD888" s="1130"/>
      <c r="AE888" s="1130"/>
      <c r="AF888" s="1190"/>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 customHeight="1">
      <c r="F889" s="72" t="s">
        <v>1050</v>
      </c>
      <c r="G889" s="9"/>
      <c r="H889" s="9"/>
      <c r="I889" s="9"/>
      <c r="J889" s="9"/>
      <c r="K889" s="9"/>
      <c r="L889" s="9"/>
      <c r="M889" s="9"/>
      <c r="N889" s="9"/>
      <c r="O889" s="9"/>
      <c r="P889" s="9"/>
      <c r="Q889" s="9"/>
      <c r="R889" s="9"/>
      <c r="S889" s="9"/>
      <c r="T889" s="52"/>
      <c r="U889" s="1163" t="s">
        <v>131</v>
      </c>
      <c r="V889" s="1099"/>
      <c r="W889" s="1099"/>
      <c r="X889" s="1099"/>
      <c r="Y889" s="1099"/>
      <c r="Z889" s="1164"/>
      <c r="AA889" s="1189"/>
      <c r="AB889" s="1130"/>
      <c r="AC889" s="1130"/>
      <c r="AD889" s="1130"/>
      <c r="AE889" s="1130"/>
      <c r="AF889" s="1190"/>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 customHeight="1">
      <c r="F890" s="8" t="s">
        <v>1051</v>
      </c>
      <c r="G890" s="9"/>
      <c r="H890" s="9"/>
      <c r="I890" s="9"/>
      <c r="J890" s="9"/>
      <c r="K890" s="9"/>
      <c r="L890" s="9"/>
      <c r="M890" s="9"/>
      <c r="N890" s="9"/>
      <c r="O890" s="9"/>
      <c r="P890" s="9"/>
      <c r="Q890" s="9"/>
      <c r="R890" s="9"/>
      <c r="S890" s="9"/>
      <c r="T890" s="52"/>
      <c r="U890" s="1272" t="s">
        <v>131</v>
      </c>
      <c r="V890" s="1273"/>
      <c r="W890" s="1273"/>
      <c r="X890" s="1273"/>
      <c r="Y890" s="1273"/>
      <c r="Z890" s="1274"/>
      <c r="AA890" s="1206"/>
      <c r="AB890" s="1207"/>
      <c r="AC890" s="1207"/>
      <c r="AD890" s="1207"/>
      <c r="AE890" s="1207"/>
      <c r="AF890" s="1208"/>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 customHeight="1">
      <c r="F891" s="214" t="s">
        <v>1992</v>
      </c>
      <c r="G891" s="9"/>
      <c r="H891" s="9"/>
      <c r="I891" s="9"/>
      <c r="J891" s="9"/>
      <c r="K891" s="9"/>
      <c r="L891" s="9"/>
      <c r="M891" s="9"/>
      <c r="N891" s="9"/>
      <c r="O891" s="9"/>
      <c r="P891" s="9"/>
      <c r="Q891" s="9"/>
      <c r="R891" s="9"/>
      <c r="S891" s="9"/>
      <c r="T891" s="52"/>
      <c r="U891" s="1163" t="s">
        <v>131</v>
      </c>
      <c r="V891" s="1099"/>
      <c r="W891" s="1099"/>
      <c r="X891" s="1099"/>
      <c r="Y891" s="1099"/>
      <c r="Z891" s="1164"/>
      <c r="AA891" s="1189"/>
      <c r="AB891" s="1130"/>
      <c r="AC891" s="1130"/>
      <c r="AD891" s="1130"/>
      <c r="AE891" s="1130"/>
      <c r="AF891" s="1190"/>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 customHeight="1">
      <c r="F892" s="214" t="s">
        <v>1993</v>
      </c>
      <c r="G892" s="9"/>
      <c r="H892" s="9"/>
      <c r="I892" s="9"/>
      <c r="J892" s="9"/>
      <c r="K892" s="9"/>
      <c r="L892" s="9"/>
      <c r="M892" s="9"/>
      <c r="N892" s="9"/>
      <c r="O892" s="9"/>
      <c r="P892" s="9"/>
      <c r="Q892" s="9"/>
      <c r="R892" s="9"/>
      <c r="S892" s="9"/>
      <c r="T892" s="52"/>
      <c r="U892" s="1163" t="s">
        <v>131</v>
      </c>
      <c r="V892" s="1099"/>
      <c r="W892" s="1099"/>
      <c r="X892" s="1099"/>
      <c r="Y892" s="1099"/>
      <c r="Z892" s="1164"/>
      <c r="AA892" s="1189"/>
      <c r="AB892" s="1130"/>
      <c r="AC892" s="1130"/>
      <c r="AD892" s="1130"/>
      <c r="AE892" s="1130"/>
      <c r="AF892" s="1190"/>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 customHeight="1">
      <c r="F893" s="214" t="s">
        <v>166</v>
      </c>
      <c r="G893" s="9"/>
      <c r="H893" s="9"/>
      <c r="I893" s="9"/>
      <c r="J893" s="9"/>
      <c r="K893" s="9"/>
      <c r="L893" s="9"/>
      <c r="M893" s="9"/>
      <c r="N893" s="9"/>
      <c r="O893" s="9"/>
      <c r="P893" s="9"/>
      <c r="Q893" s="9"/>
      <c r="R893" s="9"/>
      <c r="S893" s="9"/>
      <c r="T893" s="52"/>
      <c r="U893" s="1163" t="s">
        <v>131</v>
      </c>
      <c r="V893" s="1099"/>
      <c r="W893" s="1099"/>
      <c r="X893" s="1099"/>
      <c r="Y893" s="1099"/>
      <c r="Z893" s="1164"/>
      <c r="AA893" s="1189"/>
      <c r="AB893" s="1130"/>
      <c r="AC893" s="1130"/>
      <c r="AD893" s="1130"/>
      <c r="AE893" s="1130"/>
      <c r="AF893" s="1190"/>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 customHeight="1">
      <c r="F894" s="8" t="s">
        <v>1062</v>
      </c>
      <c r="G894" s="9"/>
      <c r="H894" s="9"/>
      <c r="I894" s="9"/>
      <c r="J894" s="9"/>
      <c r="K894" s="9"/>
      <c r="L894" s="9"/>
      <c r="M894" s="9"/>
      <c r="N894" s="9"/>
      <c r="O894" s="9"/>
      <c r="P894" s="1219" t="s">
        <v>509</v>
      </c>
      <c r="Q894" s="1099"/>
      <c r="R894" s="1099"/>
      <c r="S894" s="1099"/>
      <c r="T894" s="1164"/>
      <c r="U894" s="1163" t="s">
        <v>131</v>
      </c>
      <c r="V894" s="1099"/>
      <c r="W894" s="1099"/>
      <c r="X894" s="1099"/>
      <c r="Y894" s="1099"/>
      <c r="Z894" s="1164"/>
      <c r="AA894" s="1189"/>
      <c r="AB894" s="1130"/>
      <c r="AC894" s="1130"/>
      <c r="AD894" s="1130"/>
      <c r="AE894" s="1130"/>
      <c r="AF894" s="1190"/>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 customHeight="1">
      <c r="F895" s="8" t="s">
        <v>396</v>
      </c>
      <c r="G895" s="54"/>
      <c r="H895" s="54"/>
      <c r="I895" s="1192" t="s">
        <v>591</v>
      </c>
      <c r="J895" s="1193"/>
      <c r="K895" s="1193"/>
      <c r="L895" s="1193"/>
      <c r="M895" s="1193"/>
      <c r="N895" s="1193"/>
      <c r="O895" s="1193"/>
      <c r="P895" s="1193"/>
      <c r="Q895" s="1193"/>
      <c r="R895" s="1193"/>
      <c r="S895" s="1193"/>
      <c r="T895" s="1194"/>
      <c r="U895" s="1163" t="s">
        <v>131</v>
      </c>
      <c r="V895" s="1099"/>
      <c r="W895" s="1099"/>
      <c r="X895" s="1099"/>
      <c r="Y895" s="1099"/>
      <c r="Z895" s="1164"/>
      <c r="AA895" s="1189"/>
      <c r="AB895" s="1130"/>
      <c r="AC895" s="1130"/>
      <c r="AD895" s="1130"/>
      <c r="AE895" s="1130"/>
      <c r="AF895" s="1190"/>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 customHeight="1">
      <c r="F896" s="8" t="s">
        <v>865</v>
      </c>
      <c r="G896" s="54"/>
      <c r="H896" s="54"/>
      <c r="I896" s="1192" t="s">
        <v>591</v>
      </c>
      <c r="J896" s="1193"/>
      <c r="K896" s="1193"/>
      <c r="L896" s="1193"/>
      <c r="M896" s="1193"/>
      <c r="N896" s="1193"/>
      <c r="O896" s="1193"/>
      <c r="P896" s="1193"/>
      <c r="Q896" s="1193"/>
      <c r="R896" s="1193"/>
      <c r="S896" s="1193"/>
      <c r="T896" s="1194"/>
      <c r="U896" s="1163" t="s">
        <v>131</v>
      </c>
      <c r="V896" s="1099"/>
      <c r="W896" s="1099"/>
      <c r="X896" s="1099"/>
      <c r="Y896" s="1099"/>
      <c r="Z896" s="1164"/>
      <c r="AA896" s="1189"/>
      <c r="AB896" s="1130"/>
      <c r="AC896" s="1130"/>
      <c r="AD896" s="1130"/>
      <c r="AE896" s="1130"/>
      <c r="AF896" s="1190"/>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 customHeight="1">
      <c r="F897" s="53" t="s">
        <v>296</v>
      </c>
      <c r="G897" s="54"/>
      <c r="H897" s="54"/>
      <c r="I897" s="1192" t="s">
        <v>591</v>
      </c>
      <c r="J897" s="1193"/>
      <c r="K897" s="1193"/>
      <c r="L897" s="1193"/>
      <c r="M897" s="1193"/>
      <c r="N897" s="1193"/>
      <c r="O897" s="1193"/>
      <c r="P897" s="1193"/>
      <c r="Q897" s="1193"/>
      <c r="R897" s="1193"/>
      <c r="S897" s="1193"/>
      <c r="T897" s="1194"/>
      <c r="U897" s="1163" t="s">
        <v>131</v>
      </c>
      <c r="V897" s="1099"/>
      <c r="W897" s="1099"/>
      <c r="X897" s="1099"/>
      <c r="Y897" s="1099"/>
      <c r="Z897" s="1164"/>
      <c r="AA897" s="1189"/>
      <c r="AB897" s="1130"/>
      <c r="AC897" s="1130"/>
      <c r="AD897" s="1130"/>
      <c r="AE897" s="1130"/>
      <c r="AF897" s="1190"/>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21"/>
      <c r="F898" s="53" t="s">
        <v>296</v>
      </c>
      <c r="G898" s="54"/>
      <c r="H898" s="54"/>
      <c r="I898" s="1192" t="s">
        <v>591</v>
      </c>
      <c r="J898" s="1193"/>
      <c r="K898" s="1193"/>
      <c r="L898" s="1193"/>
      <c r="M898" s="1193"/>
      <c r="N898" s="1193"/>
      <c r="O898" s="1193"/>
      <c r="P898" s="1193"/>
      <c r="Q898" s="1193"/>
      <c r="R898" s="1193"/>
      <c r="S898" s="1193"/>
      <c r="T898" s="1194"/>
      <c r="U898" s="1163" t="s">
        <v>131</v>
      </c>
      <c r="V898" s="1099"/>
      <c r="W898" s="1099"/>
      <c r="X898" s="1099"/>
      <c r="Y898" s="1099"/>
      <c r="Z898" s="1164"/>
      <c r="AA898" s="1189"/>
      <c r="AB898" s="1130"/>
      <c r="AC898" s="1130"/>
      <c r="AD898" s="1130"/>
      <c r="AE898" s="1130"/>
      <c r="AF898" s="1190"/>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s="72" t="s">
        <v>866</v>
      </c>
      <c r="D903" s="9"/>
      <c r="E903" s="9"/>
      <c r="F903" s="9"/>
      <c r="G903" s="9"/>
      <c r="H903" s="9"/>
      <c r="I903" s="9"/>
      <c r="J903" s="9"/>
      <c r="K903" s="9"/>
      <c r="L903" s="1337"/>
      <c r="M903" s="1306"/>
      <c r="N903" s="1306"/>
      <c r="O903" s="1306"/>
      <c r="P903" s="1306"/>
      <c r="Q903" s="1306"/>
      <c r="R903" s="1306"/>
      <c r="S903" s="1338"/>
      <c r="U903" s="72" t="s">
        <v>866</v>
      </c>
      <c r="V903" s="9"/>
      <c r="W903" s="9"/>
      <c r="X903" s="9"/>
      <c r="Y903" s="9"/>
      <c r="Z903" s="9"/>
      <c r="AA903" s="9"/>
      <c r="AB903" s="9"/>
      <c r="AC903" s="9"/>
      <c r="AD903" s="52"/>
      <c r="AE903" s="1201"/>
      <c r="AF903" s="1202"/>
      <c r="AG903" s="1202"/>
      <c r="AH903" s="1202"/>
      <c r="AI903" s="1202"/>
      <c r="AJ903" s="1202"/>
      <c r="AK903" s="1203"/>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s="72" t="s">
        <v>867</v>
      </c>
      <c r="D904" s="9"/>
      <c r="E904" s="9"/>
      <c r="F904" s="9"/>
      <c r="G904" s="9"/>
      <c r="H904" s="9"/>
      <c r="I904" s="9"/>
      <c r="J904" s="9"/>
      <c r="K904" s="9"/>
      <c r="L904" s="1337"/>
      <c r="M904" s="1306"/>
      <c r="N904" s="1306"/>
      <c r="O904" s="1306"/>
      <c r="P904" s="1306"/>
      <c r="Q904" s="1306"/>
      <c r="R904" s="1306"/>
      <c r="S904" s="1338"/>
      <c r="U904" s="72" t="s">
        <v>867</v>
      </c>
      <c r="V904" s="9"/>
      <c r="W904" s="9"/>
      <c r="X904" s="9"/>
      <c r="Y904" s="9"/>
      <c r="Z904" s="9"/>
      <c r="AA904" s="9"/>
      <c r="AB904" s="9"/>
      <c r="AC904" s="9"/>
      <c r="AD904" s="52"/>
      <c r="AE904" s="1204"/>
      <c r="AF904" s="1129"/>
      <c r="AG904" s="1129"/>
      <c r="AH904" s="1129"/>
      <c r="AI904" s="1129"/>
      <c r="AJ904" s="1129"/>
      <c r="AK904" s="1205"/>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s="72" t="s">
        <v>1153</v>
      </c>
      <c r="D905" s="9"/>
      <c r="E905" s="9"/>
      <c r="L905" s="1165" t="s">
        <v>83</v>
      </c>
      <c r="M905" s="1166"/>
      <c r="N905" s="1166"/>
      <c r="O905" s="1166"/>
      <c r="P905" s="1166"/>
      <c r="Q905" s="1166"/>
      <c r="R905" s="1166"/>
      <c r="S905" s="1167"/>
      <c r="U905" s="72" t="s">
        <v>1153</v>
      </c>
      <c r="V905" s="9"/>
      <c r="W905" s="9"/>
      <c r="AE905" s="1165" t="s">
        <v>83</v>
      </c>
      <c r="AF905" s="1166"/>
      <c r="AG905" s="1166"/>
      <c r="AH905" s="1166"/>
      <c r="AI905" s="1166"/>
      <c r="AJ905" s="1166"/>
      <c r="AK905" s="1167"/>
      <c r="AL905" s="74"/>
      <c r="AM905" s="43"/>
      <c r="AN905" s="43"/>
      <c r="AO905" s="43"/>
      <c r="AP905" s="43"/>
      <c r="AQ905" s="43"/>
      <c r="AR905" s="43"/>
      <c r="AS905" s="43"/>
      <c r="AT905" s="43"/>
      <c r="AU905" s="43"/>
      <c r="AV905" s="43"/>
      <c r="AW905" s="38" t="s">
        <v>618</v>
      </c>
      <c r="AX905" s="206">
        <v>20</v>
      </c>
      <c r="AY905" s="1213">
        <f>IF(AD941&gt;0,0.2,0)</f>
        <v>0</v>
      </c>
      <c r="AZ905" s="1213"/>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s="72" t="s">
        <v>868</v>
      </c>
      <c r="D906" s="9"/>
      <c r="E906" s="9"/>
      <c r="F906" s="9"/>
      <c r="G906" s="9"/>
      <c r="H906" s="9"/>
      <c r="I906" s="9"/>
      <c r="J906" s="9"/>
      <c r="K906" s="9"/>
      <c r="L906" s="1198"/>
      <c r="M906" s="1199"/>
      <c r="N906" s="1199"/>
      <c r="O906" s="1199"/>
      <c r="P906" s="1199"/>
      <c r="Q906" s="1199"/>
      <c r="R906" s="1199"/>
      <c r="S906" s="1200"/>
      <c r="U906" s="72" t="s">
        <v>868</v>
      </c>
      <c r="V906" s="9"/>
      <c r="W906" s="9"/>
      <c r="X906" s="9"/>
      <c r="Y906" s="9"/>
      <c r="Z906" s="9"/>
      <c r="AA906" s="9"/>
      <c r="AB906" s="9"/>
      <c r="AC906" s="9"/>
      <c r="AD906" s="52"/>
      <c r="AE906" s="1198"/>
      <c r="AF906" s="1199"/>
      <c r="AG906" s="1199"/>
      <c r="AH906" s="1199"/>
      <c r="AI906" s="1199"/>
      <c r="AJ906" s="1199"/>
      <c r="AK906" s="1200"/>
      <c r="AL906" s="74"/>
      <c r="AM906" s="43"/>
      <c r="AN906" s="43"/>
      <c r="AO906" s="43"/>
      <c r="AP906" s="43"/>
      <c r="AQ906" s="43"/>
      <c r="AR906" s="43"/>
      <c r="AS906" s="43"/>
      <c r="AT906" s="43"/>
      <c r="AU906" s="43"/>
      <c r="AV906" s="43"/>
      <c r="AX906">
        <v>5</v>
      </c>
      <c r="AY906" s="1213">
        <f>IF(AD944&gt;0,0.05,0)</f>
        <v>0</v>
      </c>
      <c r="AZ906" s="121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s="72" t="s">
        <v>869</v>
      </c>
      <c r="D907" s="9"/>
      <c r="E907" s="9"/>
      <c r="F907" s="9"/>
      <c r="G907" s="9"/>
      <c r="H907" s="9"/>
      <c r="I907" s="9"/>
      <c r="J907" s="9"/>
      <c r="K907" s="9"/>
      <c r="L907" s="1328"/>
      <c r="M907" s="1329"/>
      <c r="N907" s="1329"/>
      <c r="O907" s="1329"/>
      <c r="P907" s="1329"/>
      <c r="Q907" s="1329"/>
      <c r="R907" s="1329"/>
      <c r="S907" s="1330"/>
      <c r="U907" s="72" t="s">
        <v>869</v>
      </c>
      <c r="V907" s="9"/>
      <c r="W907" s="9"/>
      <c r="X907" s="9"/>
      <c r="Y907" s="9"/>
      <c r="Z907" s="9"/>
      <c r="AA907" s="9"/>
      <c r="AB907" s="9"/>
      <c r="AC907" s="9"/>
      <c r="AD907" s="52"/>
      <c r="AE907" s="1259"/>
      <c r="AF907" s="1260"/>
      <c r="AG907" s="1260"/>
      <c r="AH907" s="1260"/>
      <c r="AI907" s="1260"/>
      <c r="AJ907" s="1260"/>
      <c r="AK907" s="1261"/>
      <c r="AL907" s="74"/>
      <c r="AM907" s="43"/>
      <c r="AN907" s="43"/>
      <c r="AO907" s="43"/>
      <c r="AP907" s="43"/>
      <c r="AQ907" s="43"/>
      <c r="AR907" s="43"/>
      <c r="AS907" s="43"/>
      <c r="AT907" s="43"/>
      <c r="AU907" s="43"/>
      <c r="AV907" s="43"/>
      <c r="AW907" s="38" t="s">
        <v>619</v>
      </c>
      <c r="AX907" s="206">
        <v>7</v>
      </c>
      <c r="AY907" s="1311">
        <f>IF(AD948&gt;0,0.07,0)</f>
        <v>0</v>
      </c>
      <c r="AZ907" s="131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s="72" t="s">
        <v>870</v>
      </c>
      <c r="D908" s="9"/>
      <c r="E908" s="9"/>
      <c r="F908" s="9"/>
      <c r="G908" s="9"/>
      <c r="H908" s="9"/>
      <c r="I908" s="9"/>
      <c r="J908" s="9"/>
      <c r="K908" s="9"/>
      <c r="L908" s="1141"/>
      <c r="M908" s="1142"/>
      <c r="N908" s="1142"/>
      <c r="O908" s="1142"/>
      <c r="P908" s="1142"/>
      <c r="Q908" s="1142"/>
      <c r="R908" s="1142"/>
      <c r="S908" s="1143"/>
      <c r="U908" s="72" t="s">
        <v>870</v>
      </c>
      <c r="V908" s="9"/>
      <c r="W908" s="9"/>
      <c r="X908" s="9"/>
      <c r="Y908" s="9"/>
      <c r="Z908" s="9"/>
      <c r="AA908" s="9"/>
      <c r="AB908" s="9"/>
      <c r="AC908" s="9"/>
      <c r="AD908" s="52"/>
      <c r="AE908" s="1189"/>
      <c r="AF908" s="1130"/>
      <c r="AG908" s="1130"/>
      <c r="AH908" s="1130"/>
      <c r="AI908" s="1130"/>
      <c r="AJ908" s="1130"/>
      <c r="AK908" s="1190"/>
      <c r="AL908" s="74"/>
      <c r="AM908" s="43"/>
      <c r="AN908" s="43"/>
      <c r="AO908" s="43"/>
      <c r="AP908" s="43"/>
      <c r="AQ908" s="43"/>
      <c r="AR908" s="43"/>
      <c r="AS908" s="43"/>
      <c r="AT908" s="43"/>
      <c r="AU908" s="43"/>
      <c r="AV908" s="43"/>
      <c r="AW908" s="38" t="s">
        <v>157</v>
      </c>
      <c r="AX908" s="206">
        <v>2</v>
      </c>
      <c r="AY908" s="1185">
        <f>IF(AD952&gt;0,0.02,0)</f>
        <v>0</v>
      </c>
      <c r="AZ908" s="1187"/>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s="72" t="s">
        <v>871</v>
      </c>
      <c r="D909" s="9"/>
      <c r="E909" s="9"/>
      <c r="F909" s="9"/>
      <c r="G909" s="9"/>
      <c r="H909" s="9"/>
      <c r="I909" s="9"/>
      <c r="J909" s="9"/>
      <c r="K909" s="9"/>
      <c r="L909" s="1141" t="s">
        <v>2349</v>
      </c>
      <c r="M909" s="1142"/>
      <c r="N909" s="1142"/>
      <c r="O909" s="1142"/>
      <c r="P909" s="1142"/>
      <c r="Q909" s="1142"/>
      <c r="R909" s="1142"/>
      <c r="S909" s="1143"/>
      <c r="U909" s="72" t="s">
        <v>871</v>
      </c>
      <c r="V909" s="9"/>
      <c r="W909" s="9"/>
      <c r="X909" s="9"/>
      <c r="Y909" s="9"/>
      <c r="Z909" s="9"/>
      <c r="AA909" s="9"/>
      <c r="AB909" s="9"/>
      <c r="AC909" s="9"/>
      <c r="AD909" s="52"/>
      <c r="AE909" s="1189"/>
      <c r="AF909" s="1130"/>
      <c r="AG909" s="1130"/>
      <c r="AH909" s="1130"/>
      <c r="AI909" s="1130"/>
      <c r="AJ909" s="1130"/>
      <c r="AK909" s="1190"/>
      <c r="AL909" s="74"/>
      <c r="AM909" s="43"/>
      <c r="AN909" s="43"/>
      <c r="AO909" s="43"/>
      <c r="AP909" s="43"/>
      <c r="AQ909" s="43"/>
      <c r="AR909" s="43"/>
      <c r="AS909" s="43"/>
      <c r="AT909" s="43"/>
      <c r="AU909" s="43"/>
      <c r="AV909" s="43"/>
      <c r="AW909" s="38" t="s">
        <v>620</v>
      </c>
      <c r="AX909" s="206">
        <v>2</v>
      </c>
      <c r="AY909" s="1185">
        <f>IF(AD954&gt;0,0.02,0)</f>
        <v>0</v>
      </c>
      <c r="AZ909" s="1187"/>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s="214" t="s">
        <v>2065</v>
      </c>
      <c r="D910" s="9"/>
      <c r="E910" s="9"/>
      <c r="F910" s="9"/>
      <c r="G910" s="9"/>
      <c r="H910" s="9"/>
      <c r="I910" s="9"/>
      <c r="J910" s="9"/>
      <c r="K910" s="9"/>
      <c r="L910" s="1328"/>
      <c r="M910" s="1329"/>
      <c r="N910" s="1329"/>
      <c r="O910" s="1329"/>
      <c r="P910" s="1329"/>
      <c r="Q910" s="1329"/>
      <c r="R910" s="1329"/>
      <c r="S910" s="1330"/>
      <c r="U910" s="214" t="s">
        <v>2065</v>
      </c>
      <c r="V910" s="9"/>
      <c r="W910" s="9"/>
      <c r="X910" s="9"/>
      <c r="Y910" s="9"/>
      <c r="Z910" s="9"/>
      <c r="AA910" s="9"/>
      <c r="AB910" s="9"/>
      <c r="AC910" s="9"/>
      <c r="AD910" s="52"/>
      <c r="AE910" s="1328"/>
      <c r="AF910" s="1329"/>
      <c r="AG910" s="1329"/>
      <c r="AH910" s="1329"/>
      <c r="AI910" s="1329"/>
      <c r="AJ910" s="1329"/>
      <c r="AK910" s="1330"/>
      <c r="AL910" s="74"/>
      <c r="AM910" s="43"/>
      <c r="AN910" s="43"/>
      <c r="AO910" s="43"/>
      <c r="AP910" s="43"/>
      <c r="AQ910" s="43"/>
      <c r="AR910" s="43"/>
      <c r="AS910" s="43"/>
      <c r="AT910" s="43"/>
      <c r="AU910" s="43"/>
      <c r="AV910" s="43"/>
      <c r="AW910" s="38" t="s">
        <v>621</v>
      </c>
      <c r="AX910" s="206">
        <v>10</v>
      </c>
      <c r="AY910" s="1318">
        <f>AY918</f>
        <v>0</v>
      </c>
      <c r="AZ910" s="131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AL911" s="74"/>
      <c r="AM911" s="43"/>
      <c r="AN911" s="43"/>
      <c r="AO911" s="43"/>
      <c r="AP911" s="43"/>
      <c r="AQ911" s="43"/>
      <c r="AR911" s="43"/>
      <c r="AS911" s="43"/>
      <c r="AT911" s="43"/>
      <c r="AU911" s="43"/>
      <c r="AV911" s="43"/>
      <c r="AW911" s="38" t="s">
        <v>622</v>
      </c>
      <c r="AX911" s="206">
        <v>15</v>
      </c>
      <c r="AY911" s="1185"/>
      <c r="AZ911" s="1187"/>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369"/>
      <c r="AZ912" s="1370"/>
      <c r="BA912" s="1371"/>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185">
        <f>IF(AD971&gt;0,0.1,0)</f>
        <v>0</v>
      </c>
      <c r="AZ913" s="1187"/>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8">
        <f>SUM(AY905:AY913)</f>
        <v>0</v>
      </c>
      <c r="AZ914" s="1319"/>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8" t="s">
        <v>886</v>
      </c>
      <c r="G915" s="9"/>
      <c r="H915" s="9"/>
      <c r="I915" s="9"/>
      <c r="J915" s="9"/>
      <c r="K915" s="9"/>
      <c r="L915" s="52"/>
      <c r="M915" s="1145"/>
      <c r="N915" s="1114"/>
      <c r="O915" s="1114"/>
      <c r="P915" s="1114"/>
      <c r="Q915" s="1114"/>
      <c r="R915" s="1114"/>
      <c r="S915" s="1146"/>
      <c r="T915" s="72" t="s">
        <v>992</v>
      </c>
      <c r="U915" s="9"/>
      <c r="V915" s="9"/>
      <c r="W915" s="9"/>
      <c r="X915" s="9"/>
      <c r="Y915" s="9"/>
      <c r="Z915" s="52"/>
      <c r="AA915" s="1145"/>
      <c r="AB915" s="1114"/>
      <c r="AC915" s="1114"/>
      <c r="AD915" s="1114"/>
      <c r="AE915" s="1114"/>
      <c r="AF915" s="1114"/>
      <c r="AG915" s="1146"/>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8" t="s">
        <v>887</v>
      </c>
      <c r="G916" s="9"/>
      <c r="H916" s="9"/>
      <c r="I916" s="9"/>
      <c r="J916" s="9"/>
      <c r="K916" s="9"/>
      <c r="L916" s="52"/>
      <c r="M916" s="1145"/>
      <c r="N916" s="1114"/>
      <c r="O916" s="1114"/>
      <c r="P916" s="1114"/>
      <c r="Q916" s="1114"/>
      <c r="R916" s="1114"/>
      <c r="S916" s="1146"/>
      <c r="T916" s="72" t="s">
        <v>991</v>
      </c>
      <c r="U916" s="9"/>
      <c r="V916" s="9"/>
      <c r="W916" s="9"/>
      <c r="X916" s="9"/>
      <c r="Y916" s="9"/>
      <c r="Z916" s="52"/>
      <c r="AA916" s="1145"/>
      <c r="AB916" s="1114"/>
      <c r="AC916" s="1114"/>
      <c r="AD916" s="1114"/>
      <c r="AE916" s="1114"/>
      <c r="AF916" s="1114"/>
      <c r="AG916" s="1146"/>
      <c r="AL916" s="74"/>
      <c r="AM916" s="43"/>
      <c r="AN916" s="43"/>
      <c r="AO916" s="43"/>
      <c r="AP916" s="43"/>
      <c r="AQ916" s="43"/>
      <c r="AR916" s="43"/>
      <c r="AS916" s="43"/>
      <c r="AT916" s="43"/>
      <c r="AU916" s="43"/>
      <c r="AV916" s="43"/>
      <c r="AW916" s="38"/>
      <c r="AX916" s="38"/>
      <c r="AY916" s="1318">
        <f>SUM(AY905:AZ909)+AY913</f>
        <v>0</v>
      </c>
      <c r="AZ916" s="1319"/>
      <c r="BA916" s="1309">
        <v>0.39</v>
      </c>
      <c r="BB916" s="131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72" t="s">
        <v>1186</v>
      </c>
      <c r="G917" s="9"/>
      <c r="H917" s="9"/>
      <c r="I917" s="9"/>
      <c r="J917" s="9"/>
      <c r="K917" s="9"/>
      <c r="L917" s="52"/>
      <c r="M917" s="1161" t="s">
        <v>131</v>
      </c>
      <c r="N917" s="1085"/>
      <c r="O917" s="1085"/>
      <c r="P917" s="1085"/>
      <c r="Q917" s="1085"/>
      <c r="R917" s="1085"/>
      <c r="S917" s="1162"/>
      <c r="T917" s="8" t="s">
        <v>595</v>
      </c>
      <c r="U917" s="9"/>
      <c r="V917" s="9"/>
      <c r="W917" s="9"/>
      <c r="X917" s="9"/>
      <c r="Y917" s="9"/>
      <c r="Z917" s="52"/>
      <c r="AA917" s="1145"/>
      <c r="AB917" s="1114"/>
      <c r="AC917" s="1114"/>
      <c r="AD917" s="1114"/>
      <c r="AE917" s="1114"/>
      <c r="AF917" s="1114"/>
      <c r="AG917" s="1146"/>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8" t="s">
        <v>888</v>
      </c>
      <c r="G918" s="9"/>
      <c r="H918" s="9"/>
      <c r="I918" s="9"/>
      <c r="J918" s="9"/>
      <c r="K918" s="9"/>
      <c r="L918" s="52"/>
      <c r="M918" s="1145"/>
      <c r="N918" s="1114"/>
      <c r="O918" s="1114"/>
      <c r="P918" s="1114"/>
      <c r="Q918" s="1114"/>
      <c r="R918" s="1114"/>
      <c r="S918" s="1146"/>
      <c r="T918" s="8" t="s">
        <v>596</v>
      </c>
      <c r="U918" s="9"/>
      <c r="V918" s="9"/>
      <c r="W918" s="9"/>
      <c r="X918" s="9"/>
      <c r="Y918" s="9"/>
      <c r="Z918" s="52"/>
      <c r="AA918" s="1145"/>
      <c r="AB918" s="1114"/>
      <c r="AC918" s="1114"/>
      <c r="AD918" s="1114"/>
      <c r="AE918" s="1114"/>
      <c r="AF918" s="1114"/>
      <c r="AG918" s="1146"/>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8" t="s">
        <v>90</v>
      </c>
      <c r="G919" s="9"/>
      <c r="H919" s="9"/>
      <c r="I919" s="9"/>
      <c r="J919" s="9"/>
      <c r="K919" s="9"/>
      <c r="L919" s="52"/>
      <c r="M919" s="1145"/>
      <c r="N919" s="1114"/>
      <c r="O919" s="1114"/>
      <c r="P919" s="1114"/>
      <c r="Q919" s="1114"/>
      <c r="R919" s="1114"/>
      <c r="S919" s="1146"/>
      <c r="T919" s="8" t="s">
        <v>520</v>
      </c>
      <c r="U919" s="9"/>
      <c r="V919" s="9"/>
      <c r="W919" s="9"/>
      <c r="X919" s="9"/>
      <c r="Y919" s="9"/>
      <c r="Z919" s="52"/>
      <c r="AA919" s="1145"/>
      <c r="AB919" s="1114"/>
      <c r="AC919" s="1114"/>
      <c r="AD919" s="1114"/>
      <c r="AE919" s="1114"/>
      <c r="AF919" s="1114"/>
      <c r="AG919" s="1146"/>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418" t="s">
        <v>1153</v>
      </c>
      <c r="G920" s="7"/>
      <c r="H920" s="7"/>
      <c r="I920" s="7"/>
      <c r="J920" s="7"/>
      <c r="K920" s="7"/>
      <c r="L920" s="64"/>
      <c r="M920" s="1165" t="s">
        <v>83</v>
      </c>
      <c r="N920" s="1166"/>
      <c r="O920" s="1166"/>
      <c r="P920" s="1166"/>
      <c r="Q920" s="1166"/>
      <c r="R920" s="1166"/>
      <c r="S920" s="1167"/>
      <c r="T920" s="1325"/>
      <c r="U920" s="1326"/>
      <c r="V920" s="1326"/>
      <c r="W920" s="1326"/>
      <c r="X920" s="1326"/>
      <c r="Y920" s="1326"/>
      <c r="Z920" s="1327"/>
      <c r="AA920" s="1145"/>
      <c r="AB920" s="1114"/>
      <c r="AC920" s="1114"/>
      <c r="AD920" s="1114"/>
      <c r="AE920" s="1114"/>
      <c r="AF920" s="1114"/>
      <c r="AG920" s="1146"/>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6" t="s">
        <v>91</v>
      </c>
      <c r="G921" s="7"/>
      <c r="H921" s="7"/>
      <c r="I921" s="7"/>
      <c r="J921" s="7"/>
      <c r="K921" s="7"/>
      <c r="L921" s="64"/>
      <c r="M921" s="1145"/>
      <c r="N921" s="1114"/>
      <c r="O921" s="1114"/>
      <c r="P921" s="1114"/>
      <c r="Q921" s="1114"/>
      <c r="R921" s="1114"/>
      <c r="S921" s="1146"/>
      <c r="T921" s="1325"/>
      <c r="U921" s="1326"/>
      <c r="V921" s="1326"/>
      <c r="W921" s="1326"/>
      <c r="X921" s="1326"/>
      <c r="Y921" s="1326"/>
      <c r="Z921" s="1327"/>
      <c r="AA921" s="1145"/>
      <c r="AB921" s="1114"/>
      <c r="AC921" s="1114"/>
      <c r="AD921" s="1114"/>
      <c r="AE921" s="1114"/>
      <c r="AF921" s="1114"/>
      <c r="AG921" s="1146"/>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6" t="s">
        <v>594</v>
      </c>
      <c r="G922" s="7"/>
      <c r="H922" s="7"/>
      <c r="I922" s="7"/>
      <c r="J922" s="7"/>
      <c r="K922" s="7"/>
      <c r="L922" s="7"/>
      <c r="M922" s="7"/>
      <c r="N922" s="7"/>
      <c r="O922" s="1161" t="s">
        <v>509</v>
      </c>
      <c r="P922" s="1162"/>
      <c r="Q922" s="146"/>
      <c r="R922" s="146"/>
      <c r="S922" s="147"/>
      <c r="T922" s="6" t="s">
        <v>296</v>
      </c>
      <c r="U922" s="7"/>
      <c r="V922" s="7"/>
      <c r="W922" s="1320" t="s">
        <v>591</v>
      </c>
      <c r="X922" s="1321"/>
      <c r="Y922" s="1321"/>
      <c r="Z922" s="1321"/>
      <c r="AA922" s="1321"/>
      <c r="AB922" s="1321"/>
      <c r="AC922" s="1321"/>
      <c r="AD922" s="1321"/>
      <c r="AE922" s="1321"/>
      <c r="AF922" s="1321"/>
      <c r="AG922" s="132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31" t="s">
        <v>239</v>
      </c>
      <c r="G923" s="1291"/>
      <c r="H923" s="1291"/>
      <c r="I923" s="1291"/>
      <c r="J923" s="1291"/>
      <c r="K923" s="1291"/>
      <c r="L923" s="1291"/>
      <c r="M923" s="1145"/>
      <c r="N923" s="1114"/>
      <c r="O923" s="1114"/>
      <c r="P923" s="1114"/>
      <c r="Q923" s="1114"/>
      <c r="R923" s="1114"/>
      <c r="S923" s="1146"/>
      <c r="T923" s="53"/>
      <c r="U923" s="54"/>
      <c r="V923" s="54"/>
      <c r="W923" s="54"/>
      <c r="X923" s="54"/>
      <c r="Y923" s="54"/>
      <c r="Z923" s="226" t="s">
        <v>240</v>
      </c>
      <c r="AA923" s="1323"/>
      <c r="AB923" s="1288"/>
      <c r="AC923" s="1288"/>
      <c r="AD923" s="1288"/>
      <c r="AE923" s="1288"/>
      <c r="AF923" s="1288"/>
      <c r="AG923" s="1324"/>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927" s="1144" t="s">
        <v>136</v>
      </c>
      <c r="B927" s="1144"/>
      <c r="C927" s="1144"/>
      <c r="D927" s="1144"/>
      <c r="E927" s="1144"/>
      <c r="F927" s="1144"/>
      <c r="G927" s="1144"/>
      <c r="H927" s="1144"/>
      <c r="I927" s="1144"/>
      <c r="J927" s="1144"/>
      <c r="K927" s="1144"/>
      <c r="L927" s="1144"/>
      <c r="M927" s="1144"/>
      <c r="N927" s="1144"/>
      <c r="O927" s="1144"/>
      <c r="P927" s="1144"/>
      <c r="Q927" s="1144"/>
      <c r="R927" s="1144"/>
      <c r="S927" s="1144"/>
      <c r="T927" s="1144"/>
      <c r="U927" s="1144"/>
      <c r="V927" s="1144"/>
      <c r="W927" s="1144"/>
      <c r="X927" s="1144"/>
      <c r="Y927" s="1144"/>
      <c r="Z927" s="1144"/>
      <c r="AA927" s="1144"/>
      <c r="AB927" s="1144"/>
      <c r="AC927" s="1144"/>
      <c r="AD927" s="1144"/>
      <c r="AE927" s="1144"/>
      <c r="AF927" s="1144"/>
      <c r="AG927" s="1144"/>
      <c r="AH927" s="1144"/>
      <c r="AI927" s="1144"/>
      <c r="AJ927" s="1144"/>
      <c r="AK927" s="1144"/>
      <c r="AL927" s="1144"/>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1144"/>
      <c r="B928" s="1144"/>
      <c r="C928" s="1144"/>
      <c r="D928" s="1144"/>
      <c r="E928" s="1144"/>
      <c r="F928" s="1144"/>
      <c r="G928" s="1144"/>
      <c r="H928" s="1144"/>
      <c r="I928" s="1144"/>
      <c r="J928" s="1144"/>
      <c r="K928" s="1144"/>
      <c r="L928" s="1144"/>
      <c r="M928" s="1144"/>
      <c r="N928" s="1144"/>
      <c r="O928" s="1144"/>
      <c r="P928" s="1144"/>
      <c r="Q928" s="1144"/>
      <c r="R928" s="1144"/>
      <c r="S928" s="1144"/>
      <c r="T928" s="1144"/>
      <c r="U928" s="1144"/>
      <c r="V928" s="1144"/>
      <c r="W928" s="1144"/>
      <c r="X928" s="1144"/>
      <c r="Y928" s="1144"/>
      <c r="Z928" s="1144"/>
      <c r="AA928" s="1144"/>
      <c r="AB928" s="1144"/>
      <c r="AC928" s="1144"/>
      <c r="AD928" s="1144"/>
      <c r="AE928" s="1144"/>
      <c r="AF928" s="1144"/>
      <c r="AG928" s="1144"/>
      <c r="AH928" s="1144"/>
      <c r="AI928" s="1144"/>
      <c r="AJ928" s="1144"/>
      <c r="AK928" s="1144"/>
      <c r="AL928" s="1144"/>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930" s="3" t="s">
        <v>687</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A932" s="21"/>
      <c r="B932" s="82"/>
      <c r="C932" s="864"/>
      <c r="D932" s="1195" t="s">
        <v>451</v>
      </c>
      <c r="E932" s="1196"/>
      <c r="F932" s="1196"/>
      <c r="G932" s="1196"/>
      <c r="H932" s="1196"/>
      <c r="I932" s="1196"/>
      <c r="J932" s="1196"/>
      <c r="K932" s="1196"/>
      <c r="L932" s="1196"/>
      <c r="M932" s="1196"/>
      <c r="N932" s="1196"/>
      <c r="O932" s="1196"/>
      <c r="P932" s="1196"/>
      <c r="Q932" s="1197"/>
      <c r="R932" s="1195" t="s">
        <v>452</v>
      </c>
      <c r="S932" s="1196"/>
      <c r="T932" s="1196"/>
      <c r="U932" s="1196"/>
      <c r="V932" s="1196"/>
      <c r="W932" s="1196"/>
      <c r="X932" s="1196"/>
      <c r="Y932" s="1196"/>
      <c r="Z932" s="1196"/>
      <c r="AA932" s="1197"/>
      <c r="AB932" s="1195" t="s">
        <v>453</v>
      </c>
      <c r="AC932" s="1196"/>
      <c r="AD932" s="1196"/>
      <c r="AE932" s="1196"/>
      <c r="AF932" s="1196"/>
      <c r="AG932" s="1196"/>
      <c r="AH932" s="1196"/>
      <c r="AI932" s="1197"/>
      <c r="AJ932" s="1195" t="s">
        <v>454</v>
      </c>
      <c r="AK932" s="1196"/>
      <c r="AL932" s="1196"/>
      <c r="AM932" s="1196"/>
      <c r="AN932" s="1196"/>
      <c r="AO932" s="1196"/>
      <c r="AP932" s="1196"/>
      <c r="AQ932" s="1197"/>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A933" s="21"/>
      <c r="B933" s="79"/>
      <c r="C933" s="865"/>
      <c r="D933" s="1185" t="s">
        <v>446</v>
      </c>
      <c r="E933" s="1186"/>
      <c r="F933" s="1186"/>
      <c r="G933" s="1186"/>
      <c r="H933" s="1186"/>
      <c r="I933" s="1186"/>
      <c r="J933" s="1186"/>
      <c r="K933" s="1186"/>
      <c r="L933" s="1186"/>
      <c r="M933" s="1186"/>
      <c r="N933" s="1186"/>
      <c r="O933" s="1186"/>
      <c r="P933" s="1186"/>
      <c r="Q933" s="1187"/>
      <c r="R933" s="1188">
        <f>IF(ISNA(IF($BA$805="4%",(INDEX($BC$819:$BG$876,MATCH($BO$805,$BB$819:$BB$876,0),MATCH(D933,$BC$817:$BG$817,0))),(INDEX($BJ$819:$BN$876,MATCH($BO$805,$BI$819:$BI$876,0),MATCH(D933,$BJ$817:$BN$817,0))))),0,IF($BA$805="4%",(INDEX($BC$819:$BG$876,MATCH($BO$805,$BB$819:$BB$876,0),MATCH(D933,$BC$817:$BG$817,0))),(INDEX($BJ$819:$BN$876,MATCH($BO$805,$BI$819:$BI$876,0),MATCH(D933,$BJ$817:$BN$817,0)))))</f>
        <v>331890</v>
      </c>
      <c r="S933" s="1188"/>
      <c r="T933" s="1188"/>
      <c r="U933" s="1188"/>
      <c r="V933" s="1188"/>
      <c r="W933" s="1188"/>
      <c r="X933" s="1188"/>
      <c r="Y933" s="1188"/>
      <c r="Z933" s="1188"/>
      <c r="AA933" s="1188"/>
      <c r="AB933" s="1312">
        <f>BN638</f>
        <v>0</v>
      </c>
      <c r="AC933" s="1313"/>
      <c r="AD933" s="1313"/>
      <c r="AE933" s="1313"/>
      <c r="AF933" s="1313"/>
      <c r="AG933" s="1313"/>
      <c r="AH933" s="1313"/>
      <c r="AI933" s="1314"/>
      <c r="AJ933" s="1315">
        <f>IF(ISERROR((R933*AB933)),0,(R933*AB933))</f>
        <v>0</v>
      </c>
      <c r="AK933" s="1316"/>
      <c r="AL933" s="1316"/>
      <c r="AM933" s="1316"/>
      <c r="AN933" s="1316"/>
      <c r="AO933" s="1316"/>
      <c r="AP933" s="1316"/>
      <c r="AQ933" s="1317"/>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B934" s="79"/>
      <c r="C934" s="83"/>
      <c r="D934" s="1185" t="s">
        <v>469</v>
      </c>
      <c r="E934" s="1186"/>
      <c r="F934" s="1186"/>
      <c r="G934" s="1186"/>
      <c r="H934" s="1186"/>
      <c r="I934" s="1186"/>
      <c r="J934" s="1186"/>
      <c r="K934" s="1186"/>
      <c r="L934" s="1186"/>
      <c r="M934" s="1186"/>
      <c r="N934" s="1186"/>
      <c r="O934" s="1186"/>
      <c r="P934" s="1186"/>
      <c r="Q934" s="1187"/>
      <c r="R934" s="1188">
        <f>IF(ISNA(IF($BA$805="4%",(INDEX($BC$819:$BG$876,MATCH($BO$805,$BB$819:$BB$876,0),MATCH(D934,$BC$817:$BG$817,0))),(INDEX($BJ$819:$BN$876,MATCH($BO$805,$BI$819:$BI$876,0),MATCH(D934,$BJ$817:$BN$817,0))))),0,IF($BA$805="4%",(INDEX($BC$819:$BG$876,MATCH($BO$805,$BB$819:$BB$876,0),MATCH(D934,$BC$817:$BG$817,0))),(INDEX($BJ$819:$BN$876,MATCH($BO$805,$BI$819:$BI$876,0),MATCH(D934,$BJ$817:$BN$817,0)))))</f>
        <v>382666</v>
      </c>
      <c r="S934" s="1188"/>
      <c r="T934" s="1188"/>
      <c r="U934" s="1188"/>
      <c r="V934" s="1188"/>
      <c r="W934" s="1188"/>
      <c r="X934" s="1188"/>
      <c r="Y934" s="1188"/>
      <c r="Z934" s="1188"/>
      <c r="AA934" s="1188"/>
      <c r="AB934" s="1312">
        <f>BS638</f>
        <v>12</v>
      </c>
      <c r="AC934" s="1313"/>
      <c r="AD934" s="1313"/>
      <c r="AE934" s="1313"/>
      <c r="AF934" s="1313"/>
      <c r="AG934" s="1313"/>
      <c r="AH934" s="1313"/>
      <c r="AI934" s="1314"/>
      <c r="AJ934" s="1315">
        <f>IF(ISERROR((R934*AB934)),0,(R934*AB934))</f>
        <v>4591992</v>
      </c>
      <c r="AK934" s="1316"/>
      <c r="AL934" s="1316"/>
      <c r="AM934" s="1316"/>
      <c r="AN934" s="1316"/>
      <c r="AO934" s="1316"/>
      <c r="AP934" s="1316"/>
      <c r="AQ934" s="131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B935" s="79"/>
      <c r="C935" s="83"/>
      <c r="D935" s="1185" t="s">
        <v>815</v>
      </c>
      <c r="E935" s="1186"/>
      <c r="F935" s="1186"/>
      <c r="G935" s="1186"/>
      <c r="H935" s="1186"/>
      <c r="I935" s="1186"/>
      <c r="J935" s="1186"/>
      <c r="K935" s="1186"/>
      <c r="L935" s="1186"/>
      <c r="M935" s="1186"/>
      <c r="N935" s="1186"/>
      <c r="O935" s="1186"/>
      <c r="P935" s="1186"/>
      <c r="Q935" s="1187"/>
      <c r="R935" s="1188">
        <f>IF(ISNA(IF($BA$805="4%",(INDEX($BC$819:$BG$876,MATCH($BO$805,$BB$819:$BB$876,0),MATCH(D935,$BC$817:$BG$817,0))),(INDEX($BJ$819:$BN$876,MATCH($BO$805,$BI$819:$BI$876,0),MATCH(D935,$BJ$817:$BN$817,0))))),0,IF($BA$805="4%",(INDEX($BC$819:$BG$876,MATCH($BO$805,$BB$819:$BB$876,0),MATCH(D935,$BC$817:$BG$817,0))),(INDEX($BJ$819:$BN$876,MATCH($BO$805,$BI$819:$BI$876,0),MATCH(D935,$BJ$817:$BN$817,0)))))</f>
        <v>461600</v>
      </c>
      <c r="S935" s="1188"/>
      <c r="T935" s="1188"/>
      <c r="U935" s="1188"/>
      <c r="V935" s="1188"/>
      <c r="W935" s="1188"/>
      <c r="X935" s="1188"/>
      <c r="Y935" s="1188"/>
      <c r="Z935" s="1188"/>
      <c r="AA935" s="1188"/>
      <c r="AB935" s="1312">
        <f>BX638</f>
        <v>8</v>
      </c>
      <c r="AC935" s="1313"/>
      <c r="AD935" s="1313"/>
      <c r="AE935" s="1313"/>
      <c r="AF935" s="1313"/>
      <c r="AG935" s="1313"/>
      <c r="AH935" s="1313"/>
      <c r="AI935" s="1314"/>
      <c r="AJ935" s="1315">
        <f>IF(ISERROR((R935*AB935)),0,(R935*AB935))</f>
        <v>3692800</v>
      </c>
      <c r="AK935" s="1316"/>
      <c r="AL935" s="1316"/>
      <c r="AM935" s="1316"/>
      <c r="AN935" s="1316"/>
      <c r="AO935" s="1316"/>
      <c r="AP935" s="1316"/>
      <c r="AQ935" s="131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21"/>
      <c r="B936" s="79"/>
      <c r="C936" s="83"/>
      <c r="D936" s="1185" t="s">
        <v>816</v>
      </c>
      <c r="E936" s="1186"/>
      <c r="F936" s="1186"/>
      <c r="G936" s="1186"/>
      <c r="H936" s="1186"/>
      <c r="I936" s="1186"/>
      <c r="J936" s="1186"/>
      <c r="K936" s="1186"/>
      <c r="L936" s="1186"/>
      <c r="M936" s="1186"/>
      <c r="N936" s="1186"/>
      <c r="O936" s="1186"/>
      <c r="P936" s="1186"/>
      <c r="Q936" s="1187"/>
      <c r="R936" s="1188">
        <f>IF(ISNA(IF($BA$805="4%",(INDEX($BC$819:$BG$876,MATCH($BO$805,$BB$819:$BB$876,0),MATCH(D936,$BC$817:$BG$817,0))),(INDEX($BJ$819:$BN$876,MATCH($BO$805,$BI$819:$BI$876,0),MATCH(D936,$BJ$817:$BN$817,0))))),0,IF($BA$805="4%",(INDEX($BC$819:$BG$876,MATCH($BO$805,$BB$819:$BB$876,0),MATCH(D936,$BC$817:$BG$817,0))),(INDEX($BJ$819:$BN$876,MATCH($BO$805,$BI$819:$BI$876,0),MATCH(D936,$BJ$817:$BN$817,0)))))</f>
        <v>590848</v>
      </c>
      <c r="S936" s="1188"/>
      <c r="T936" s="1188"/>
      <c r="U936" s="1188"/>
      <c r="V936" s="1188"/>
      <c r="W936" s="1188"/>
      <c r="X936" s="1188"/>
      <c r="Y936" s="1188"/>
      <c r="Z936" s="1188"/>
      <c r="AA936" s="1188"/>
      <c r="AB936" s="1312">
        <f>CC638</f>
        <v>9</v>
      </c>
      <c r="AC936" s="1313"/>
      <c r="AD936" s="1313"/>
      <c r="AE936" s="1313"/>
      <c r="AF936" s="1313"/>
      <c r="AG936" s="1313"/>
      <c r="AH936" s="1313"/>
      <c r="AI936" s="1314"/>
      <c r="AJ936" s="1315">
        <f>IF(ISERROR((R936*AB936)),0,(R936*AB936))</f>
        <v>5317632</v>
      </c>
      <c r="AK936" s="1316"/>
      <c r="AL936" s="1316"/>
      <c r="AM936" s="1316"/>
      <c r="AN936" s="1316"/>
      <c r="AO936" s="1316"/>
      <c r="AP936" s="1316"/>
      <c r="AQ936" s="1317"/>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21"/>
      <c r="B937" s="53"/>
      <c r="C937" s="81"/>
      <c r="D937" s="1185" t="s">
        <v>827</v>
      </c>
      <c r="E937" s="1186"/>
      <c r="F937" s="1186"/>
      <c r="G937" s="1186"/>
      <c r="H937" s="1186"/>
      <c r="I937" s="1186"/>
      <c r="J937" s="1186"/>
      <c r="K937" s="1186"/>
      <c r="L937" s="1186"/>
      <c r="M937" s="1186"/>
      <c r="N937" s="1186"/>
      <c r="O937" s="1186"/>
      <c r="P937" s="1186"/>
      <c r="Q937" s="1187"/>
      <c r="R937" s="1188">
        <f>IF(ISNA(IF($BA$805="4%",(INDEX($BC$819:$BG$876,MATCH($BO$805,$BB$819:$BB$876,0),MATCH(D937,$BC$817:$BG$817,0))),(INDEX($BJ$819:$BN$876,MATCH($BO$805,$BI$819:$BI$876,0),MATCH(D937,$BJ$817:$BN$817,0))))),0,IF($BA$805="4%",(INDEX($BC$819:$BG$876,MATCH($BO$805,$BB$819:$BB$876,0),MATCH(D937,$BC$817:$BG$817,0))),(INDEX($BJ$819:$BN$876,MATCH($BO$805,$BI$819:$BI$876,0),MATCH(D937,$BJ$817:$BN$817,0)))))</f>
        <v>658242</v>
      </c>
      <c r="S937" s="1188"/>
      <c r="T937" s="1188"/>
      <c r="U937" s="1188"/>
      <c r="V937" s="1188"/>
      <c r="W937" s="1188"/>
      <c r="X937" s="1188"/>
      <c r="Y937" s="1188"/>
      <c r="Z937" s="1188"/>
      <c r="AA937" s="1188"/>
      <c r="AB937" s="1312">
        <f>CM638+CH638</f>
        <v>0</v>
      </c>
      <c r="AC937" s="1313"/>
      <c r="AD937" s="1313"/>
      <c r="AE937" s="1313"/>
      <c r="AF937" s="1313"/>
      <c r="AG937" s="1313"/>
      <c r="AH937" s="1313"/>
      <c r="AI937" s="1314"/>
      <c r="AJ937" s="1315">
        <f>IF(ISERROR((R937*AB937)),0,(R937*AB937))</f>
        <v>0</v>
      </c>
      <c r="AK937" s="1316"/>
      <c r="AL937" s="1316"/>
      <c r="AM937" s="1316"/>
      <c r="AN937" s="1316"/>
      <c r="AO937" s="1316"/>
      <c r="AP937" s="1316"/>
      <c r="AQ937" s="1317"/>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A938" s="21"/>
      <c r="B938" s="1550" t="s">
        <v>1002</v>
      </c>
      <c r="C938" s="1551"/>
      <c r="D938" s="1551"/>
      <c r="E938" s="1551"/>
      <c r="F938" s="1551"/>
      <c r="G938" s="1551"/>
      <c r="H938" s="1551"/>
      <c r="I938" s="1551"/>
      <c r="J938" s="1551"/>
      <c r="K938" s="1551"/>
      <c r="L938" s="1551"/>
      <c r="M938" s="1551"/>
      <c r="N938" s="1551"/>
      <c r="O938" s="1551"/>
      <c r="P938" s="1551"/>
      <c r="Q938" s="1551"/>
      <c r="R938" s="1551"/>
      <c r="S938" s="1551"/>
      <c r="T938" s="1551"/>
      <c r="U938" s="1551"/>
      <c r="V938" s="1551"/>
      <c r="W938" s="1551"/>
      <c r="X938" s="1551"/>
      <c r="Y938" s="1551"/>
      <c r="Z938" s="1551"/>
      <c r="AA938" s="1552"/>
      <c r="AB938" s="1312">
        <f>SUM(AB933:AI937)</f>
        <v>29</v>
      </c>
      <c r="AC938" s="1313"/>
      <c r="AD938" s="1313"/>
      <c r="AE938" s="1313"/>
      <c r="AF938" s="1313"/>
      <c r="AG938" s="1313"/>
      <c r="AH938" s="1313"/>
      <c r="AI938" s="1314"/>
      <c r="AJ938" s="1315"/>
      <c r="AK938" s="1316"/>
      <c r="AL938" s="1316"/>
      <c r="AM938" s="1316"/>
      <c r="AN938" s="1316"/>
      <c r="AO938" s="1316"/>
      <c r="AP938" s="1316"/>
      <c r="AQ938" s="1317"/>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939" s="21"/>
      <c r="B939" s="1553" t="s">
        <v>782</v>
      </c>
      <c r="C939" s="1554"/>
      <c r="D939" s="1554"/>
      <c r="E939" s="1554"/>
      <c r="F939" s="1554"/>
      <c r="G939" s="1554"/>
      <c r="H939" s="1554"/>
      <c r="I939" s="1554"/>
      <c r="J939" s="1554"/>
      <c r="K939" s="1554"/>
      <c r="L939" s="1554"/>
      <c r="M939" s="1554"/>
      <c r="N939" s="1554"/>
      <c r="O939" s="1554"/>
      <c r="P939" s="1554"/>
      <c r="Q939" s="1554"/>
      <c r="R939" s="1554"/>
      <c r="S939" s="1554"/>
      <c r="T939" s="1554"/>
      <c r="U939" s="1554"/>
      <c r="V939" s="1554"/>
      <c r="W939" s="1554"/>
      <c r="X939" s="1554"/>
      <c r="Y939" s="1554"/>
      <c r="Z939" s="1554"/>
      <c r="AA939" s="1554"/>
      <c r="AB939" s="1554"/>
      <c r="AC939" s="1554"/>
      <c r="AD939" s="1554"/>
      <c r="AE939" s="1554"/>
      <c r="AF939" s="1554"/>
      <c r="AG939" s="1554"/>
      <c r="AH939" s="1554"/>
      <c r="AI939" s="1555"/>
      <c r="AJ939" s="1315">
        <f>SUM(AJ933:AQ937)</f>
        <v>13602424</v>
      </c>
      <c r="AK939" s="1316"/>
      <c r="AL939" s="1316"/>
      <c r="AM939" s="1316"/>
      <c r="AN939" s="1316"/>
      <c r="AO939" s="1316"/>
      <c r="AP939" s="1316"/>
      <c r="AQ939" s="1317"/>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21"/>
      <c r="B940" s="1556"/>
      <c r="C940" s="1557"/>
      <c r="D940" s="1557"/>
      <c r="E940" s="1557"/>
      <c r="F940" s="1557"/>
      <c r="G940" s="1557"/>
      <c r="H940" s="1557"/>
      <c r="I940" s="1557"/>
      <c r="J940" s="1557"/>
      <c r="K940" s="1557"/>
      <c r="L940" s="1557"/>
      <c r="M940" s="1557"/>
      <c r="N940" s="1557"/>
      <c r="O940" s="1557"/>
      <c r="P940" s="1557"/>
      <c r="Q940" s="1557"/>
      <c r="R940" s="1557"/>
      <c r="S940" s="1557"/>
      <c r="T940" s="1557"/>
      <c r="U940" s="1557"/>
      <c r="V940" s="1557"/>
      <c r="W940" s="1557"/>
      <c r="X940" s="1557"/>
      <c r="Y940" s="1557"/>
      <c r="Z940" s="1557"/>
      <c r="AA940" s="1557"/>
      <c r="AB940" s="1557"/>
      <c r="AC940" s="1557"/>
      <c r="AD940" s="1557"/>
      <c r="AE940" s="1558"/>
      <c r="AF940" s="1559" t="s">
        <v>506</v>
      </c>
      <c r="AG940" s="1560"/>
      <c r="AH940" s="1560"/>
      <c r="AI940" s="1561"/>
      <c r="AJ940" s="1556"/>
      <c r="AK940" s="1557"/>
      <c r="AL940" s="1557"/>
      <c r="AM940" s="1557"/>
      <c r="AN940" s="1557"/>
      <c r="AO940" s="1557"/>
      <c r="AP940" s="1557"/>
      <c r="AQ940" s="1558"/>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A941" s="21"/>
      <c r="B941" s="79"/>
      <c r="C941" s="866" t="s">
        <v>508</v>
      </c>
      <c r="D941" s="1366" t="s">
        <v>1979</v>
      </c>
      <c r="E941" s="1367"/>
      <c r="F941" s="1367"/>
      <c r="G941" s="1367"/>
      <c r="H941" s="1367"/>
      <c r="I941" s="1367"/>
      <c r="J941" s="1367"/>
      <c r="K941" s="1367"/>
      <c r="L941" s="1367"/>
      <c r="M941" s="1367"/>
      <c r="N941" s="1367"/>
      <c r="O941" s="1367"/>
      <c r="P941" s="1367"/>
      <c r="Q941" s="1367"/>
      <c r="R941" s="1367"/>
      <c r="S941" s="1367"/>
      <c r="T941" s="1367"/>
      <c r="U941" s="1367"/>
      <c r="V941" s="1367"/>
      <c r="W941" s="1367"/>
      <c r="X941" s="1367"/>
      <c r="Y941" s="1367"/>
      <c r="Z941" s="1367"/>
      <c r="AA941" s="1367"/>
      <c r="AB941" s="1367"/>
      <c r="AC941" s="1367"/>
      <c r="AD941" s="1367"/>
      <c r="AE941" s="1368"/>
      <c r="AF941" s="82"/>
      <c r="AG941" s="1548" t="s">
        <v>509</v>
      </c>
      <c r="AH941" s="1549"/>
      <c r="AI941" s="85"/>
      <c r="AJ941" s="1343">
        <f>ROUND(IF(AND(AG941="yes",D943&lt;&gt;""),AJ939*0.2,0),0)</f>
        <v>0</v>
      </c>
      <c r="AK941" s="1344"/>
      <c r="AL941" s="1344"/>
      <c r="AM941" s="1344"/>
      <c r="AN941" s="1344"/>
      <c r="AO941" s="1344"/>
      <c r="AP941" s="1344"/>
      <c r="AQ941" s="1345"/>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79" t="s">
        <v>2091</v>
      </c>
      <c r="E942" s="1180"/>
      <c r="F942" s="1180"/>
      <c r="G942" s="1180"/>
      <c r="H942" s="1180"/>
      <c r="I942" s="1180"/>
      <c r="J942" s="1180"/>
      <c r="K942" s="1180"/>
      <c r="L942" s="1180"/>
      <c r="M942" s="1180"/>
      <c r="N942" s="1180"/>
      <c r="O942" s="1180"/>
      <c r="P942" s="1180"/>
      <c r="Q942" s="1180"/>
      <c r="R942" s="1180"/>
      <c r="S942" s="1180"/>
      <c r="T942" s="1180"/>
      <c r="U942" s="1180"/>
      <c r="V942" s="1180"/>
      <c r="W942" s="1180"/>
      <c r="X942" s="1180"/>
      <c r="Y942" s="1180"/>
      <c r="Z942" s="1180"/>
      <c r="AA942" s="1180"/>
      <c r="AB942" s="1180"/>
      <c r="AC942" s="1180"/>
      <c r="AD942" s="1180"/>
      <c r="AE942" s="1181"/>
      <c r="AF942" s="79"/>
      <c r="AG942" s="21"/>
      <c r="AH942" s="21"/>
      <c r="AI942" s="83"/>
      <c r="AJ942" s="1349"/>
      <c r="AK942" s="1350"/>
      <c r="AL942" s="1350"/>
      <c r="AM942" s="1350"/>
      <c r="AN942" s="1350"/>
      <c r="AO942" s="1350"/>
      <c r="AP942" s="1350"/>
      <c r="AQ942" s="1351"/>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A943" s="21"/>
      <c r="B943" s="867"/>
      <c r="C943" s="868"/>
      <c r="D943" s="1358"/>
      <c r="E943" s="1359"/>
      <c r="F943" s="1359"/>
      <c r="G943" s="1359"/>
      <c r="H943" s="1359"/>
      <c r="I943" s="1359"/>
      <c r="J943" s="1359"/>
      <c r="K943" s="1359"/>
      <c r="L943" s="1359"/>
      <c r="M943" s="1359"/>
      <c r="N943" s="1359"/>
      <c r="O943" s="1359"/>
      <c r="P943" s="1359"/>
      <c r="Q943" s="1359"/>
      <c r="R943" s="1359"/>
      <c r="S943" s="1359"/>
      <c r="T943" s="1359"/>
      <c r="U943" s="1359"/>
      <c r="V943" s="1359"/>
      <c r="W943" s="1359"/>
      <c r="X943" s="1359"/>
      <c r="Y943" s="1359"/>
      <c r="Z943" s="1359"/>
      <c r="AA943" s="1359"/>
      <c r="AB943" s="1359"/>
      <c r="AC943" s="1359"/>
      <c r="AD943" s="1359"/>
      <c r="AE943" s="1360"/>
      <c r="AF943" s="80"/>
      <c r="AG943" s="11"/>
      <c r="AH943" s="11"/>
      <c r="AI943" s="81"/>
      <c r="AJ943" s="1346"/>
      <c r="AK943" s="1347"/>
      <c r="AL943" s="1347"/>
      <c r="AM943" s="1347"/>
      <c r="AN943" s="1347"/>
      <c r="AO943" s="1347"/>
      <c r="AP943" s="1347"/>
      <c r="AQ943" s="1348"/>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A944" s="21"/>
      <c r="B944" s="869"/>
      <c r="C944" s="870"/>
      <c r="D944" s="1339" t="s">
        <v>2092</v>
      </c>
      <c r="E944" s="1136"/>
      <c r="F944" s="1136"/>
      <c r="G944" s="1136"/>
      <c r="H944" s="1136"/>
      <c r="I944" s="1136"/>
      <c r="J944" s="1136"/>
      <c r="K944" s="1136"/>
      <c r="L944" s="1136"/>
      <c r="M944" s="1136"/>
      <c r="N944" s="1136"/>
      <c r="O944" s="1136"/>
      <c r="P944" s="1136"/>
      <c r="Q944" s="1136"/>
      <c r="R944" s="1136"/>
      <c r="S944" s="1136"/>
      <c r="T944" s="1136"/>
      <c r="U944" s="1136"/>
      <c r="V944" s="1136"/>
      <c r="W944" s="1136"/>
      <c r="X944" s="1136"/>
      <c r="Y944" s="1136"/>
      <c r="Z944" s="1136"/>
      <c r="AA944" s="1136"/>
      <c r="AB944" s="1136"/>
      <c r="AC944" s="1136"/>
      <c r="AD944" s="1136"/>
      <c r="AE944" s="1340"/>
      <c r="AF944" s="82"/>
      <c r="AG944" s="1341" t="s">
        <v>509</v>
      </c>
      <c r="AH944" s="1342"/>
      <c r="AI944" s="85"/>
      <c r="AJ944" s="1343">
        <f>ROUND(IF(AG944="yes",AJ939*0.05,0),0)</f>
        <v>0</v>
      </c>
      <c r="AK944" s="1344"/>
      <c r="AL944" s="1344"/>
      <c r="AM944" s="1344"/>
      <c r="AN944" s="1344"/>
      <c r="AO944" s="1344"/>
      <c r="AP944" s="1344"/>
      <c r="AQ944" s="1345"/>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A945" s="21"/>
      <c r="B945" s="867"/>
      <c r="C945" s="871"/>
      <c r="D945" s="1179" t="s">
        <v>1980</v>
      </c>
      <c r="E945" s="1180"/>
      <c r="F945" s="1180"/>
      <c r="G945" s="1180"/>
      <c r="H945" s="1180"/>
      <c r="I945" s="1180"/>
      <c r="J945" s="1180"/>
      <c r="K945" s="1180"/>
      <c r="L945" s="1180"/>
      <c r="M945" s="1180"/>
      <c r="N945" s="1180"/>
      <c r="O945" s="1180"/>
      <c r="P945" s="1180"/>
      <c r="Q945" s="1180"/>
      <c r="R945" s="1180"/>
      <c r="S945" s="1180"/>
      <c r="T945" s="1180"/>
      <c r="U945" s="1180"/>
      <c r="V945" s="1180"/>
      <c r="W945" s="1180"/>
      <c r="X945" s="1180"/>
      <c r="Y945" s="1180"/>
      <c r="Z945" s="1180"/>
      <c r="AA945" s="1180"/>
      <c r="AB945" s="1180"/>
      <c r="AC945" s="1180"/>
      <c r="AD945" s="1180"/>
      <c r="AE945" s="1181"/>
      <c r="AF945" s="79"/>
      <c r="AG945" s="21"/>
      <c r="AH945" s="21"/>
      <c r="AI945" s="83"/>
      <c r="AJ945" s="1349"/>
      <c r="AK945" s="1350"/>
      <c r="AL945" s="1350"/>
      <c r="AM945" s="1350"/>
      <c r="AN945" s="1350"/>
      <c r="AO945" s="1350"/>
      <c r="AP945" s="1350"/>
      <c r="AQ945" s="1351"/>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A946" s="21"/>
      <c r="B946" s="867"/>
      <c r="C946" s="871"/>
      <c r="D946" s="1179"/>
      <c r="E946" s="1180"/>
      <c r="F946" s="1180"/>
      <c r="G946" s="1180"/>
      <c r="H946" s="1180"/>
      <c r="I946" s="1180"/>
      <c r="J946" s="1180"/>
      <c r="K946" s="1180"/>
      <c r="L946" s="1180"/>
      <c r="M946" s="1180"/>
      <c r="N946" s="1180"/>
      <c r="O946" s="1180"/>
      <c r="P946" s="1180"/>
      <c r="Q946" s="1180"/>
      <c r="R946" s="1180"/>
      <c r="S946" s="1180"/>
      <c r="T946" s="1180"/>
      <c r="U946" s="1180"/>
      <c r="V946" s="1180"/>
      <c r="W946" s="1180"/>
      <c r="X946" s="1180"/>
      <c r="Y946" s="1180"/>
      <c r="Z946" s="1180"/>
      <c r="AA946" s="1180"/>
      <c r="AB946" s="1180"/>
      <c r="AC946" s="1180"/>
      <c r="AD946" s="1180"/>
      <c r="AE946" s="1181"/>
      <c r="AF946" s="79"/>
      <c r="AG946" s="21"/>
      <c r="AH946" s="21"/>
      <c r="AI946" s="83"/>
      <c r="AJ946" s="1349"/>
      <c r="AK946" s="1350"/>
      <c r="AL946" s="1350"/>
      <c r="AM946" s="1350"/>
      <c r="AN946" s="1350"/>
      <c r="AO946" s="1350"/>
      <c r="AP946" s="1350"/>
      <c r="AQ946" s="1351"/>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A947" s="21"/>
      <c r="B947" s="867"/>
      <c r="C947" s="871"/>
      <c r="D947" s="1179"/>
      <c r="E947" s="1180"/>
      <c r="F947" s="1180"/>
      <c r="G947" s="1180"/>
      <c r="H947" s="1180"/>
      <c r="I947" s="1180"/>
      <c r="J947" s="1180"/>
      <c r="K947" s="1180"/>
      <c r="L947" s="1180"/>
      <c r="M947" s="1180"/>
      <c r="N947" s="1180"/>
      <c r="O947" s="1180"/>
      <c r="P947" s="1180"/>
      <c r="Q947" s="1180"/>
      <c r="R947" s="1180"/>
      <c r="S947" s="1180"/>
      <c r="T947" s="1180"/>
      <c r="U947" s="1180"/>
      <c r="V947" s="1180"/>
      <c r="W947" s="1180"/>
      <c r="X947" s="1180"/>
      <c r="Y947" s="1180"/>
      <c r="Z947" s="1180"/>
      <c r="AA947" s="1180"/>
      <c r="AB947" s="1180"/>
      <c r="AC947" s="1180"/>
      <c r="AD947" s="1180"/>
      <c r="AE947" s="1181"/>
      <c r="AF947" s="79"/>
      <c r="AG947" s="21"/>
      <c r="AH947" s="21"/>
      <c r="AI947" s="83"/>
      <c r="AJ947" s="1349"/>
      <c r="AK947" s="1350"/>
      <c r="AL947" s="1350"/>
      <c r="AM947" s="1350"/>
      <c r="AN947" s="1350"/>
      <c r="AO947" s="1350"/>
      <c r="AP947" s="1350"/>
      <c r="AQ947" s="1351"/>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21"/>
      <c r="B948" s="867"/>
      <c r="C948" s="871"/>
      <c r="D948" s="1179"/>
      <c r="E948" s="1180"/>
      <c r="F948" s="1180"/>
      <c r="G948" s="1180"/>
      <c r="H948" s="1180"/>
      <c r="I948" s="1180"/>
      <c r="J948" s="1180"/>
      <c r="K948" s="1180"/>
      <c r="L948" s="1180"/>
      <c r="M948" s="1180"/>
      <c r="N948" s="1180"/>
      <c r="O948" s="1180"/>
      <c r="P948" s="1180"/>
      <c r="Q948" s="1180"/>
      <c r="R948" s="1180"/>
      <c r="S948" s="1180"/>
      <c r="T948" s="1180"/>
      <c r="U948" s="1180"/>
      <c r="V948" s="1180"/>
      <c r="W948" s="1180"/>
      <c r="X948" s="1180"/>
      <c r="Y948" s="1180"/>
      <c r="Z948" s="1180"/>
      <c r="AA948" s="1180"/>
      <c r="AB948" s="1180"/>
      <c r="AC948" s="1180"/>
      <c r="AD948" s="1180"/>
      <c r="AE948" s="1181"/>
      <c r="AF948" s="79"/>
      <c r="AG948" s="21"/>
      <c r="AH948" s="21"/>
      <c r="AI948" s="83"/>
      <c r="AJ948" s="1349"/>
      <c r="AK948" s="1350"/>
      <c r="AL948" s="1350"/>
      <c r="AM948" s="1350"/>
      <c r="AN948" s="1350"/>
      <c r="AO948" s="1350"/>
      <c r="AP948" s="1350"/>
      <c r="AQ948" s="1351"/>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21"/>
      <c r="B949" s="872"/>
      <c r="C949" s="873"/>
      <c r="D949" s="1182"/>
      <c r="E949" s="1183"/>
      <c r="F949" s="1183"/>
      <c r="G949" s="1183"/>
      <c r="H949" s="1183"/>
      <c r="I949" s="1183"/>
      <c r="J949" s="1183"/>
      <c r="K949" s="1183"/>
      <c r="L949" s="1183"/>
      <c r="M949" s="1183"/>
      <c r="N949" s="1183"/>
      <c r="O949" s="1183"/>
      <c r="P949" s="1183"/>
      <c r="Q949" s="1183"/>
      <c r="R949" s="1183"/>
      <c r="S949" s="1183"/>
      <c r="T949" s="1183"/>
      <c r="U949" s="1183"/>
      <c r="V949" s="1183"/>
      <c r="W949" s="1183"/>
      <c r="X949" s="1183"/>
      <c r="Y949" s="1183"/>
      <c r="Z949" s="1183"/>
      <c r="AA949" s="1183"/>
      <c r="AB949" s="1183"/>
      <c r="AC949" s="1183"/>
      <c r="AD949" s="1183"/>
      <c r="AE949" s="1184"/>
      <c r="AF949" s="80"/>
      <c r="AG949" s="11"/>
      <c r="AH949" s="11"/>
      <c r="AI949" s="81"/>
      <c r="AJ949" s="1346"/>
      <c r="AK949" s="1347"/>
      <c r="AL949" s="1347"/>
      <c r="AM949" s="1347"/>
      <c r="AN949" s="1347"/>
      <c r="AO949" s="1347"/>
      <c r="AP949" s="1347"/>
      <c r="AQ949" s="1348"/>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A950" s="21"/>
      <c r="B950" s="869"/>
      <c r="C950" s="562" t="s">
        <v>512</v>
      </c>
      <c r="D950" s="1339" t="s">
        <v>2093</v>
      </c>
      <c r="E950" s="1136"/>
      <c r="F950" s="1136"/>
      <c r="G950" s="1136"/>
      <c r="H950" s="1136"/>
      <c r="I950" s="1136"/>
      <c r="J950" s="1136"/>
      <c r="K950" s="1136"/>
      <c r="L950" s="1136"/>
      <c r="M950" s="1136"/>
      <c r="N950" s="1136"/>
      <c r="O950" s="1136"/>
      <c r="P950" s="1136"/>
      <c r="Q950" s="1136"/>
      <c r="R950" s="1136"/>
      <c r="S950" s="1136"/>
      <c r="T950" s="1136"/>
      <c r="U950" s="1136"/>
      <c r="V950" s="1136"/>
      <c r="W950" s="1136"/>
      <c r="X950" s="1136"/>
      <c r="Y950" s="1136"/>
      <c r="Z950" s="1136"/>
      <c r="AA950" s="1136"/>
      <c r="AB950" s="1136"/>
      <c r="AC950" s="1136"/>
      <c r="AD950" s="1136"/>
      <c r="AE950" s="1340"/>
      <c r="AF950" s="84"/>
      <c r="AG950" s="1341" t="s">
        <v>509</v>
      </c>
      <c r="AH950" s="1342"/>
      <c r="AI950" s="85"/>
      <c r="AJ950" s="1343">
        <f>ROUND(IF(AG950="yes",AJ939*0.1,0),0)</f>
        <v>0</v>
      </c>
      <c r="AK950" s="1344"/>
      <c r="AL950" s="1344"/>
      <c r="AM950" s="1344"/>
      <c r="AN950" s="1344"/>
      <c r="AO950" s="1344"/>
      <c r="AP950" s="1344"/>
      <c r="AQ950" s="1345"/>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A951" s="21"/>
      <c r="B951" s="79"/>
      <c r="C951" s="563"/>
      <c r="D951" s="1352" t="s">
        <v>2094</v>
      </c>
      <c r="E951" s="1353"/>
      <c r="F951" s="1353"/>
      <c r="G951" s="1353"/>
      <c r="H951" s="1353"/>
      <c r="I951" s="1353"/>
      <c r="J951" s="1353"/>
      <c r="K951" s="1353"/>
      <c r="L951" s="1353"/>
      <c r="M951" s="1353"/>
      <c r="N951" s="1353"/>
      <c r="O951" s="1353"/>
      <c r="P951" s="1353"/>
      <c r="Q951" s="1353"/>
      <c r="R951" s="1353"/>
      <c r="S951" s="1353"/>
      <c r="T951" s="1353"/>
      <c r="U951" s="1353"/>
      <c r="V951" s="1353"/>
      <c r="W951" s="1353"/>
      <c r="X951" s="1353"/>
      <c r="Y951" s="1353"/>
      <c r="Z951" s="1353"/>
      <c r="AA951" s="1353"/>
      <c r="AB951" s="1353"/>
      <c r="AC951" s="1353"/>
      <c r="AD951" s="1353"/>
      <c r="AE951" s="1354"/>
      <c r="AF951" s="79"/>
      <c r="AI951" s="83"/>
      <c r="AJ951" s="1349"/>
      <c r="AK951" s="1350"/>
      <c r="AL951" s="1350"/>
      <c r="AM951" s="1350"/>
      <c r="AN951" s="1350"/>
      <c r="AO951" s="1350"/>
      <c r="AP951" s="1350"/>
      <c r="AQ951" s="1351"/>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952" s="21"/>
      <c r="B952" s="79"/>
      <c r="C952" s="563"/>
      <c r="D952" s="1352"/>
      <c r="E952" s="1353"/>
      <c r="F952" s="1353"/>
      <c r="G952" s="1353"/>
      <c r="H952" s="1353"/>
      <c r="I952" s="1353"/>
      <c r="J952" s="1353"/>
      <c r="K952" s="1353"/>
      <c r="L952" s="1353"/>
      <c r="M952" s="1353"/>
      <c r="N952" s="1353"/>
      <c r="O952" s="1353"/>
      <c r="P952" s="1353"/>
      <c r="Q952" s="1353"/>
      <c r="R952" s="1353"/>
      <c r="S952" s="1353"/>
      <c r="T952" s="1353"/>
      <c r="U952" s="1353"/>
      <c r="V952" s="1353"/>
      <c r="W952" s="1353"/>
      <c r="X952" s="1353"/>
      <c r="Y952" s="1353"/>
      <c r="Z952" s="1353"/>
      <c r="AA952" s="1353"/>
      <c r="AB952" s="1353"/>
      <c r="AC952" s="1353"/>
      <c r="AD952" s="1353"/>
      <c r="AE952" s="1354"/>
      <c r="AF952" s="79"/>
      <c r="AG952" s="21"/>
      <c r="AH952" s="21"/>
      <c r="AI952" s="83"/>
      <c r="AJ952" s="1349"/>
      <c r="AK952" s="1350"/>
      <c r="AL952" s="1350"/>
      <c r="AM952" s="1350"/>
      <c r="AN952" s="1350"/>
      <c r="AO952" s="1350"/>
      <c r="AP952" s="1350"/>
      <c r="AQ952" s="1351"/>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953" s="21"/>
      <c r="B953" s="874"/>
      <c r="C953" s="873"/>
      <c r="D953" s="1355"/>
      <c r="E953" s="1356"/>
      <c r="F953" s="1356"/>
      <c r="G953" s="1356"/>
      <c r="H953" s="1356"/>
      <c r="I953" s="1356"/>
      <c r="J953" s="1356"/>
      <c r="K953" s="1356"/>
      <c r="L953" s="1356"/>
      <c r="M953" s="1356"/>
      <c r="N953" s="1356"/>
      <c r="O953" s="1356"/>
      <c r="P953" s="1356"/>
      <c r="Q953" s="1356"/>
      <c r="R953" s="1356"/>
      <c r="S953" s="1356"/>
      <c r="T953" s="1356"/>
      <c r="U953" s="1356"/>
      <c r="V953" s="1356"/>
      <c r="W953" s="1356"/>
      <c r="X953" s="1356"/>
      <c r="Y953" s="1356"/>
      <c r="Z953" s="1356"/>
      <c r="AA953" s="1356"/>
      <c r="AB953" s="1356"/>
      <c r="AC953" s="1356"/>
      <c r="AD953" s="1356"/>
      <c r="AE953" s="1357"/>
      <c r="AF953" s="80"/>
      <c r="AG953" s="11"/>
      <c r="AH953" s="11"/>
      <c r="AI953" s="81"/>
      <c r="AJ953" s="1346"/>
      <c r="AK953" s="1347"/>
      <c r="AL953" s="1347"/>
      <c r="AM953" s="1347"/>
      <c r="AN953" s="1347"/>
      <c r="AO953" s="1347"/>
      <c r="AP953" s="1347"/>
      <c r="AQ953" s="1348"/>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954" s="21"/>
      <c r="B954" s="82"/>
      <c r="C954" s="562" t="s">
        <v>516</v>
      </c>
      <c r="D954" s="1339" t="s">
        <v>1981</v>
      </c>
      <c r="E954" s="1136"/>
      <c r="F954" s="1136"/>
      <c r="G954" s="1136"/>
      <c r="H954" s="1136"/>
      <c r="I954" s="1136"/>
      <c r="J954" s="1136"/>
      <c r="K954" s="1136"/>
      <c r="L954" s="1136"/>
      <c r="M954" s="1136"/>
      <c r="N954" s="1136"/>
      <c r="O954" s="1136"/>
      <c r="P954" s="1136"/>
      <c r="Q954" s="1136"/>
      <c r="R954" s="1136"/>
      <c r="S954" s="1136"/>
      <c r="T954" s="1136"/>
      <c r="U954" s="1136"/>
      <c r="V954" s="1136"/>
      <c r="W954" s="1136"/>
      <c r="X954" s="1136"/>
      <c r="Y954" s="1136"/>
      <c r="Z954" s="1136"/>
      <c r="AA954" s="1136"/>
      <c r="AB954" s="1136"/>
      <c r="AC954" s="1136"/>
      <c r="AD954" s="1136"/>
      <c r="AE954" s="1340"/>
      <c r="AF954" s="82"/>
      <c r="AG954" s="1341" t="s">
        <v>509</v>
      </c>
      <c r="AH954" s="1342"/>
      <c r="AI954" s="85"/>
      <c r="AJ954" s="1343">
        <f>ROUND(IF(AG954="yes",AJ939*0.02,0),0)</f>
        <v>0</v>
      </c>
      <c r="AK954" s="1344"/>
      <c r="AL954" s="1344"/>
      <c r="AM954" s="1344"/>
      <c r="AN954" s="1344"/>
      <c r="AO954" s="1344"/>
      <c r="AP954" s="1344"/>
      <c r="AQ954" s="1345"/>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A955" s="21"/>
      <c r="B955" s="79"/>
      <c r="C955" s="563"/>
      <c r="D955" s="1355" t="s">
        <v>1982</v>
      </c>
      <c r="E955" s="1356"/>
      <c r="F955" s="1356"/>
      <c r="G955" s="1356"/>
      <c r="H955" s="1356"/>
      <c r="I955" s="1356"/>
      <c r="J955" s="1356"/>
      <c r="K955" s="1356"/>
      <c r="L955" s="1356"/>
      <c r="M955" s="1356"/>
      <c r="N955" s="1356"/>
      <c r="O955" s="1356"/>
      <c r="P955" s="1356"/>
      <c r="Q955" s="1356"/>
      <c r="R955" s="1356"/>
      <c r="S955" s="1356"/>
      <c r="T955" s="1356"/>
      <c r="U955" s="1356"/>
      <c r="V955" s="1356"/>
      <c r="W955" s="1356"/>
      <c r="X955" s="1356"/>
      <c r="Y955" s="1356"/>
      <c r="Z955" s="1356"/>
      <c r="AA955" s="1356"/>
      <c r="AB955" s="1356"/>
      <c r="AC955" s="1356"/>
      <c r="AD955" s="1356"/>
      <c r="AE955" s="1357"/>
      <c r="AF955" s="80"/>
      <c r="AG955" s="11"/>
      <c r="AH955" s="11"/>
      <c r="AI955" s="81"/>
      <c r="AJ955" s="1346"/>
      <c r="AK955" s="1347"/>
      <c r="AL955" s="1347"/>
      <c r="AM955" s="1347"/>
      <c r="AN955" s="1347"/>
      <c r="AO955" s="1347"/>
      <c r="AP955" s="1347"/>
      <c r="AQ955" s="1348"/>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A956" s="21"/>
      <c r="B956" s="82"/>
      <c r="C956" s="562" t="s">
        <v>519</v>
      </c>
      <c r="D956" s="1339" t="s">
        <v>1983</v>
      </c>
      <c r="E956" s="1136"/>
      <c r="F956" s="1136"/>
      <c r="G956" s="1136"/>
      <c r="H956" s="1136"/>
      <c r="I956" s="1136"/>
      <c r="J956" s="1136"/>
      <c r="K956" s="1136"/>
      <c r="L956" s="1136"/>
      <c r="M956" s="1136"/>
      <c r="N956" s="1136"/>
      <c r="O956" s="1136"/>
      <c r="P956" s="1136"/>
      <c r="Q956" s="1136"/>
      <c r="R956" s="1136"/>
      <c r="S956" s="1136"/>
      <c r="T956" s="1136"/>
      <c r="U956" s="1136"/>
      <c r="V956" s="1136"/>
      <c r="W956" s="1136"/>
      <c r="X956" s="1136"/>
      <c r="Y956" s="1136"/>
      <c r="Z956" s="1136"/>
      <c r="AA956" s="1136"/>
      <c r="AB956" s="1136"/>
      <c r="AC956" s="1136"/>
      <c r="AD956" s="1136"/>
      <c r="AE956" s="1340"/>
      <c r="AF956" s="82"/>
      <c r="AG956" s="1341" t="s">
        <v>509</v>
      </c>
      <c r="AH956" s="1342"/>
      <c r="AI956" s="82"/>
      <c r="AJ956" s="1343">
        <f>ROUND(IF(AG956="yes",AJ939*0.02,0),0)</f>
        <v>0</v>
      </c>
      <c r="AK956" s="1344"/>
      <c r="AL956" s="1344"/>
      <c r="AM956" s="1344"/>
      <c r="AN956" s="1344"/>
      <c r="AO956" s="1344"/>
      <c r="AP956" s="1344"/>
      <c r="AQ956" s="1345"/>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A957" s="21"/>
      <c r="B957" s="79"/>
      <c r="C957" s="563"/>
      <c r="D957" s="1352" t="s">
        <v>1984</v>
      </c>
      <c r="E957" s="1353"/>
      <c r="F957" s="1353"/>
      <c r="G957" s="1353"/>
      <c r="H957" s="1353"/>
      <c r="I957" s="1353"/>
      <c r="J957" s="1353"/>
      <c r="K957" s="1353"/>
      <c r="L957" s="1353"/>
      <c r="M957" s="1353"/>
      <c r="N957" s="1353"/>
      <c r="O957" s="1353"/>
      <c r="P957" s="1353"/>
      <c r="Q957" s="1353"/>
      <c r="R957" s="1353"/>
      <c r="S957" s="1353"/>
      <c r="T957" s="1353"/>
      <c r="U957" s="1353"/>
      <c r="V957" s="1353"/>
      <c r="W957" s="1353"/>
      <c r="X957" s="1353"/>
      <c r="Y957" s="1353"/>
      <c r="Z957" s="1353"/>
      <c r="AA957" s="1353"/>
      <c r="AB957" s="1353"/>
      <c r="AC957" s="1353"/>
      <c r="AD957" s="1353"/>
      <c r="AE957" s="1354"/>
      <c r="AF957" s="79"/>
      <c r="AI957" s="21"/>
      <c r="AJ957" s="1349"/>
      <c r="AK957" s="1350"/>
      <c r="AL957" s="1350"/>
      <c r="AM957" s="1350"/>
      <c r="AN957" s="1350"/>
      <c r="AO957" s="1350"/>
      <c r="AP957" s="1350"/>
      <c r="AQ957" s="1351"/>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21"/>
      <c r="B958" s="872"/>
      <c r="C958" s="873"/>
      <c r="D958" s="1355"/>
      <c r="E958" s="1356"/>
      <c r="F958" s="1356"/>
      <c r="G958" s="1356"/>
      <c r="H958" s="1356"/>
      <c r="I958" s="1356"/>
      <c r="J958" s="1356"/>
      <c r="K958" s="1356"/>
      <c r="L958" s="1356"/>
      <c r="M958" s="1356"/>
      <c r="N958" s="1356"/>
      <c r="O958" s="1356"/>
      <c r="P958" s="1356"/>
      <c r="Q958" s="1356"/>
      <c r="R958" s="1356"/>
      <c r="S958" s="1356"/>
      <c r="T958" s="1356"/>
      <c r="U958" s="1356"/>
      <c r="V958" s="1356"/>
      <c r="W958" s="1356"/>
      <c r="X958" s="1356"/>
      <c r="Y958" s="1356"/>
      <c r="Z958" s="1356"/>
      <c r="AA958" s="1356"/>
      <c r="AB958" s="1356"/>
      <c r="AC958" s="1356"/>
      <c r="AD958" s="1356"/>
      <c r="AE958" s="1357"/>
      <c r="AF958" s="80"/>
      <c r="AG958" s="11"/>
      <c r="AH958" s="11"/>
      <c r="AI958" s="81"/>
      <c r="AJ958" s="1346"/>
      <c r="AK958" s="1347"/>
      <c r="AL958" s="1347"/>
      <c r="AM958" s="1347"/>
      <c r="AN958" s="1347"/>
      <c r="AO958" s="1347"/>
      <c r="AP958" s="1347"/>
      <c r="AQ958" s="1348"/>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B959" s="82"/>
      <c r="C959" s="562" t="s">
        <v>630</v>
      </c>
      <c r="D959" s="1366" t="s">
        <v>1985</v>
      </c>
      <c r="E959" s="1367"/>
      <c r="F959" s="1367"/>
      <c r="G959" s="1367"/>
      <c r="H959" s="1367"/>
      <c r="I959" s="1367"/>
      <c r="J959" s="1367"/>
      <c r="K959" s="1367"/>
      <c r="L959" s="1367"/>
      <c r="M959" s="1367"/>
      <c r="N959" s="1367"/>
      <c r="O959" s="1367"/>
      <c r="P959" s="1367"/>
      <c r="Q959" s="1367"/>
      <c r="R959" s="1367"/>
      <c r="S959" s="1367"/>
      <c r="T959" s="1367"/>
      <c r="U959" s="1367"/>
      <c r="V959" s="1367"/>
      <c r="W959" s="1367"/>
      <c r="X959" s="1367"/>
      <c r="Y959" s="1367"/>
      <c r="Z959" s="1367"/>
      <c r="AA959" s="1367"/>
      <c r="AB959" s="1367"/>
      <c r="AC959" s="1367"/>
      <c r="AD959" s="1367"/>
      <c r="AE959" s="1368"/>
      <c r="AF959" s="82"/>
      <c r="AG959" s="1341" t="s">
        <v>509</v>
      </c>
      <c r="AH959" s="1342"/>
      <c r="AI959" s="85"/>
      <c r="AJ959" s="1343">
        <f>IF(AG959="yes",AJ939*AY918,0)</f>
        <v>0</v>
      </c>
      <c r="AK959" s="1344"/>
      <c r="AL959" s="1344"/>
      <c r="AM959" s="1344"/>
      <c r="AN959" s="1344"/>
      <c r="AO959" s="1344"/>
      <c r="AP959" s="1344"/>
      <c r="AQ959" s="1345"/>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A960" s="21"/>
      <c r="B960" s="79"/>
      <c r="C960" s="563"/>
      <c r="D960" s="1352" t="s">
        <v>2095</v>
      </c>
      <c r="E960" s="1353"/>
      <c r="F960" s="1353"/>
      <c r="G960" s="1353"/>
      <c r="H960" s="1353"/>
      <c r="I960" s="1353"/>
      <c r="J960" s="1353"/>
      <c r="K960" s="1353"/>
      <c r="L960" s="1353"/>
      <c r="M960" s="1353"/>
      <c r="N960" s="1353"/>
      <c r="O960" s="1353"/>
      <c r="P960" s="1353"/>
      <c r="Q960" s="1353"/>
      <c r="R960" s="1353"/>
      <c r="S960" s="1353"/>
      <c r="T960" s="1353"/>
      <c r="U960" s="1353"/>
      <c r="V960" s="1353"/>
      <c r="W960" s="1353"/>
      <c r="X960" s="1353"/>
      <c r="Y960" s="1353"/>
      <c r="Z960" s="1353"/>
      <c r="AA960" s="1353"/>
      <c r="AB960" s="1353"/>
      <c r="AC960" s="1353"/>
      <c r="AD960" s="1353"/>
      <c r="AE960" s="1354"/>
      <c r="AF960" s="79"/>
      <c r="AG960" s="21"/>
      <c r="AH960" s="21"/>
      <c r="AI960" s="83"/>
      <c r="AJ960" s="1349"/>
      <c r="AK960" s="1350"/>
      <c r="AL960" s="1350"/>
      <c r="AM960" s="1350"/>
      <c r="AN960" s="1350"/>
      <c r="AO960" s="1350"/>
      <c r="AP960" s="1350"/>
      <c r="AQ960" s="13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563"/>
      <c r="D961" s="1352"/>
      <c r="E961" s="1353"/>
      <c r="F961" s="1353"/>
      <c r="G961" s="1353"/>
      <c r="H961" s="1353"/>
      <c r="I961" s="1353"/>
      <c r="J961" s="1353"/>
      <c r="K961" s="1353"/>
      <c r="L961" s="1353"/>
      <c r="M961" s="1353"/>
      <c r="N961" s="1353"/>
      <c r="O961" s="1353"/>
      <c r="P961" s="1353"/>
      <c r="Q961" s="1353"/>
      <c r="R961" s="1353"/>
      <c r="S961" s="1353"/>
      <c r="T961" s="1353"/>
      <c r="U961" s="1353"/>
      <c r="V961" s="1353"/>
      <c r="W961" s="1353"/>
      <c r="X961" s="1353"/>
      <c r="Y961" s="1353"/>
      <c r="Z961" s="1353"/>
      <c r="AA961" s="1353"/>
      <c r="AB961" s="1353"/>
      <c r="AC961" s="1353"/>
      <c r="AD961" s="1353"/>
      <c r="AE961" s="1354"/>
      <c r="AF961" s="79"/>
      <c r="AG961" s="21"/>
      <c r="AH961" s="21"/>
      <c r="AI961" s="83"/>
      <c r="AJ961" s="1349"/>
      <c r="AK961" s="1350"/>
      <c r="AL961" s="1350"/>
      <c r="AM961" s="1350"/>
      <c r="AN961" s="1350"/>
      <c r="AO961" s="1350"/>
      <c r="AP961" s="1350"/>
      <c r="AQ961" s="135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875"/>
      <c r="C962" s="871"/>
      <c r="D962" s="1355"/>
      <c r="E962" s="1356"/>
      <c r="F962" s="1356"/>
      <c r="G962" s="1356"/>
      <c r="H962" s="1356"/>
      <c r="I962" s="1356"/>
      <c r="J962" s="1356"/>
      <c r="K962" s="1356"/>
      <c r="L962" s="1356"/>
      <c r="M962" s="1356"/>
      <c r="N962" s="1356"/>
      <c r="O962" s="1356"/>
      <c r="P962" s="1356"/>
      <c r="Q962" s="1356"/>
      <c r="R962" s="1356"/>
      <c r="S962" s="1356"/>
      <c r="T962" s="1356"/>
      <c r="U962" s="1356"/>
      <c r="V962" s="1356"/>
      <c r="W962" s="1356"/>
      <c r="X962" s="1356"/>
      <c r="Y962" s="1356"/>
      <c r="Z962" s="1356"/>
      <c r="AA962" s="1356"/>
      <c r="AB962" s="1356"/>
      <c r="AC962" s="1356"/>
      <c r="AD962" s="1356"/>
      <c r="AE962" s="1357"/>
      <c r="AF962" s="80"/>
      <c r="AG962" s="11"/>
      <c r="AH962" s="11"/>
      <c r="AI962" s="81"/>
      <c r="AJ962" s="1346"/>
      <c r="AK962" s="1347"/>
      <c r="AL962" s="1347"/>
      <c r="AM962" s="1347"/>
      <c r="AN962" s="1347"/>
      <c r="AO962" s="1347"/>
      <c r="AP962" s="1347"/>
      <c r="AQ962" s="13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82"/>
      <c r="C963" s="562" t="s">
        <v>635</v>
      </c>
      <c r="D963" s="1537" t="s">
        <v>1986</v>
      </c>
      <c r="E963" s="1538"/>
      <c r="F963" s="1538"/>
      <c r="G963" s="1538"/>
      <c r="H963" s="1538"/>
      <c r="I963" s="1538"/>
      <c r="J963" s="1538"/>
      <c r="K963" s="1538"/>
      <c r="L963" s="1538"/>
      <c r="M963" s="1538"/>
      <c r="N963" s="1538"/>
      <c r="O963" s="1538"/>
      <c r="P963" s="1538"/>
      <c r="Q963" s="1538"/>
      <c r="R963" s="1538"/>
      <c r="S963" s="1538"/>
      <c r="T963" s="1538"/>
      <c r="U963" s="1538"/>
      <c r="V963" s="1538"/>
      <c r="W963" s="1538"/>
      <c r="X963" s="1538"/>
      <c r="Y963" s="1538"/>
      <c r="Z963" s="1538"/>
      <c r="AA963" s="1538"/>
      <c r="AB963" s="1538"/>
      <c r="AC963" s="1538"/>
      <c r="AD963" s="1538"/>
      <c r="AE963" s="1539"/>
      <c r="AF963" s="82"/>
      <c r="AG963" s="1341" t="s">
        <v>509</v>
      </c>
      <c r="AH963" s="1342"/>
      <c r="AI963" s="85"/>
      <c r="AJ963" s="1343">
        <f>ROUND(IF(AND(AG963="Yes",J967&lt;&gt;"",J967&lt;&gt;"N/A"),MIN(AF966,(0.15*AJ939)),0),0)</f>
        <v>0</v>
      </c>
      <c r="AK963" s="1344"/>
      <c r="AL963" s="1344"/>
      <c r="AM963" s="1344"/>
      <c r="AN963" s="1344"/>
      <c r="AO963" s="1344"/>
      <c r="AP963" s="1344"/>
      <c r="AQ963" s="13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875"/>
      <c r="C964" s="876"/>
      <c r="D964" s="1540"/>
      <c r="E964" s="1541"/>
      <c r="F964" s="1541"/>
      <c r="G964" s="1541"/>
      <c r="H964" s="1541"/>
      <c r="I964" s="1541"/>
      <c r="J964" s="1541"/>
      <c r="K964" s="1541"/>
      <c r="L964" s="1541"/>
      <c r="M964" s="1541"/>
      <c r="N964" s="1541"/>
      <c r="O964" s="1541"/>
      <c r="P964" s="1541"/>
      <c r="Q964" s="1541"/>
      <c r="R964" s="1541"/>
      <c r="S964" s="1541"/>
      <c r="T964" s="1541"/>
      <c r="U964" s="1541"/>
      <c r="V964" s="1541"/>
      <c r="W964" s="1541"/>
      <c r="X964" s="1541"/>
      <c r="Y964" s="1541"/>
      <c r="Z964" s="1541"/>
      <c r="AA964" s="1541"/>
      <c r="AB964" s="1541"/>
      <c r="AC964" s="1541"/>
      <c r="AD964" s="1541"/>
      <c r="AE964" s="1542"/>
      <c r="AF964" s="1154" t="str">
        <f>IF(AG963="yes","Please Select Type and Enter Amount:","")</f>
        <v/>
      </c>
      <c r="AG964" s="1155"/>
      <c r="AH964" s="1155"/>
      <c r="AI964" s="1156"/>
      <c r="AJ964" s="1349"/>
      <c r="AK964" s="1350"/>
      <c r="AL964" s="1350"/>
      <c r="AM964" s="1350"/>
      <c r="AN964" s="1350"/>
      <c r="AO964" s="1350"/>
      <c r="AP964" s="1350"/>
      <c r="AQ964" s="135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875"/>
      <c r="C965" s="876"/>
      <c r="D965" s="1352" t="s">
        <v>1987</v>
      </c>
      <c r="E965" s="1353"/>
      <c r="F965" s="1353"/>
      <c r="G965" s="1353"/>
      <c r="H965" s="1353"/>
      <c r="I965" s="1353"/>
      <c r="J965" s="1353"/>
      <c r="K965" s="1353"/>
      <c r="L965" s="1353"/>
      <c r="M965" s="1353"/>
      <c r="N965" s="1353"/>
      <c r="O965" s="1353"/>
      <c r="P965" s="1353"/>
      <c r="Q965" s="1353"/>
      <c r="R965" s="1353"/>
      <c r="S965" s="1353"/>
      <c r="T965" s="1353"/>
      <c r="U965" s="1353"/>
      <c r="V965" s="1353"/>
      <c r="W965" s="1353"/>
      <c r="X965" s="1353"/>
      <c r="Y965" s="1353"/>
      <c r="Z965" s="1353"/>
      <c r="AA965" s="1353"/>
      <c r="AB965" s="1353"/>
      <c r="AC965" s="1353"/>
      <c r="AD965" s="1353"/>
      <c r="AE965" s="1354"/>
      <c r="AF965" s="1154"/>
      <c r="AG965" s="1155"/>
      <c r="AH965" s="1155"/>
      <c r="AI965" s="1156"/>
      <c r="AJ965" s="1349"/>
      <c r="AK965" s="1350"/>
      <c r="AL965" s="1350"/>
      <c r="AM965" s="1350"/>
      <c r="AN965" s="1350"/>
      <c r="AO965" s="1350"/>
      <c r="AP965" s="1350"/>
      <c r="AQ965" s="135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875"/>
      <c r="C966" s="876"/>
      <c r="D966" s="1352"/>
      <c r="E966" s="1353"/>
      <c r="F966" s="1353"/>
      <c r="G966" s="1353"/>
      <c r="H966" s="1353"/>
      <c r="I966" s="1353"/>
      <c r="J966" s="1353"/>
      <c r="K966" s="1353"/>
      <c r="L966" s="1353"/>
      <c r="M966" s="1353"/>
      <c r="N966" s="1353"/>
      <c r="O966" s="1353"/>
      <c r="P966" s="1353"/>
      <c r="Q966" s="1353"/>
      <c r="R966" s="1353"/>
      <c r="S966" s="1353"/>
      <c r="T966" s="1353"/>
      <c r="U966" s="1353"/>
      <c r="V966" s="1353"/>
      <c r="W966" s="1353"/>
      <c r="X966" s="1353"/>
      <c r="Y966" s="1353"/>
      <c r="Z966" s="1353"/>
      <c r="AA966" s="1353"/>
      <c r="AB966" s="1353"/>
      <c r="AC966" s="1353"/>
      <c r="AD966" s="1353"/>
      <c r="AE966" s="1354"/>
      <c r="AF966" s="1157"/>
      <c r="AG966" s="1157"/>
      <c r="AH966" s="1157"/>
      <c r="AI966" s="1157"/>
      <c r="AJ966" s="1349"/>
      <c r="AK966" s="1350"/>
      <c r="AL966" s="1350"/>
      <c r="AM966" s="1350"/>
      <c r="AN966" s="1350"/>
      <c r="AO966" s="1350"/>
      <c r="AP966" s="1350"/>
      <c r="AQ966" s="135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875"/>
      <c r="C967" s="876"/>
      <c r="D967" s="877" t="s">
        <v>922</v>
      </c>
      <c r="E967" s="88"/>
      <c r="F967" s="88"/>
      <c r="G967" s="414"/>
      <c r="H967" s="414"/>
      <c r="I967" s="55"/>
      <c r="J967" s="1543" t="s">
        <v>131</v>
      </c>
      <c r="K967" s="1544"/>
      <c r="L967" s="1544"/>
      <c r="M967" s="1544"/>
      <c r="N967" s="1544"/>
      <c r="O967" s="1544"/>
      <c r="P967" s="1544"/>
      <c r="Q967" s="1544"/>
      <c r="R967" s="1544"/>
      <c r="S967" s="1544"/>
      <c r="T967" s="1544"/>
      <c r="U967" s="1544"/>
      <c r="V967" s="1544"/>
      <c r="W967" s="1544"/>
      <c r="X967" s="1544"/>
      <c r="Y967" s="1544"/>
      <c r="Z967" s="1544"/>
      <c r="AA967" s="1544"/>
      <c r="AB967" s="1544"/>
      <c r="AC967" s="1544"/>
      <c r="AD967" s="1544"/>
      <c r="AE967" s="1545"/>
      <c r="AF967" s="1157"/>
      <c r="AG967" s="1157"/>
      <c r="AH967" s="1157"/>
      <c r="AI967" s="1157"/>
      <c r="AJ967" s="1346"/>
      <c r="AK967" s="1347"/>
      <c r="AL967" s="1347"/>
      <c r="AM967" s="1347"/>
      <c r="AN967" s="1347"/>
      <c r="AO967" s="1347"/>
      <c r="AP967" s="1347"/>
      <c r="AQ967" s="13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82"/>
      <c r="C968" s="562" t="s">
        <v>602</v>
      </c>
      <c r="D968" s="1339" t="s">
        <v>1988</v>
      </c>
      <c r="E968" s="1136"/>
      <c r="F968" s="1136"/>
      <c r="G968" s="1136"/>
      <c r="H968" s="1136"/>
      <c r="I968" s="1136"/>
      <c r="J968" s="1136"/>
      <c r="K968" s="1136"/>
      <c r="L968" s="1136"/>
      <c r="M968" s="1136"/>
      <c r="N968" s="1136"/>
      <c r="O968" s="1136"/>
      <c r="P968" s="1136"/>
      <c r="Q968" s="1136"/>
      <c r="R968" s="1136"/>
      <c r="S968" s="1136"/>
      <c r="T968" s="1136"/>
      <c r="U968" s="1136"/>
      <c r="V968" s="1136"/>
      <c r="W968" s="1136"/>
      <c r="X968" s="1136"/>
      <c r="Y968" s="1136"/>
      <c r="Z968" s="1136"/>
      <c r="AA968" s="1136"/>
      <c r="AB968" s="1136"/>
      <c r="AC968" s="1136"/>
      <c r="AD968" s="1136"/>
      <c r="AE968" s="1340"/>
      <c r="AF968" s="82"/>
      <c r="AG968" s="1341" t="s">
        <v>115</v>
      </c>
      <c r="AH968" s="1342"/>
      <c r="AI968" s="85"/>
      <c r="AJ968" s="1343">
        <f>ROUND(IF(AG968="Yes",AF970,0),0)</f>
        <v>835131</v>
      </c>
      <c r="AK968" s="1344"/>
      <c r="AL968" s="1344"/>
      <c r="AM968" s="1344"/>
      <c r="AN968" s="1344"/>
      <c r="AO968" s="1344"/>
      <c r="AP968" s="1344"/>
      <c r="AQ968" s="134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563"/>
      <c r="D969" s="1352" t="s">
        <v>2096</v>
      </c>
      <c r="E969" s="1353"/>
      <c r="F969" s="1353"/>
      <c r="G969" s="1353"/>
      <c r="H969" s="1353"/>
      <c r="I969" s="1353"/>
      <c r="J969" s="1353"/>
      <c r="K969" s="1353"/>
      <c r="L969" s="1353"/>
      <c r="M969" s="1353"/>
      <c r="N969" s="1353"/>
      <c r="O969" s="1353"/>
      <c r="P969" s="1353"/>
      <c r="Q969" s="1353"/>
      <c r="R969" s="1353"/>
      <c r="S969" s="1353"/>
      <c r="T969" s="1353"/>
      <c r="U969" s="1353"/>
      <c r="V969" s="1353"/>
      <c r="W969" s="1353"/>
      <c r="X969" s="1353"/>
      <c r="Y969" s="1353"/>
      <c r="Z969" s="1353"/>
      <c r="AA969" s="1353"/>
      <c r="AB969" s="1353"/>
      <c r="AC969" s="1353"/>
      <c r="AD969" s="1353"/>
      <c r="AE969" s="1354"/>
      <c r="AF969" s="1158" t="str">
        <f>IF(AG968="yes","Please Enter Amount:","")</f>
        <v>Please Enter Amount:</v>
      </c>
      <c r="AG969" s="1159"/>
      <c r="AH969" s="1159"/>
      <c r="AI969" s="1160"/>
      <c r="AJ969" s="1349"/>
      <c r="AK969" s="1350"/>
      <c r="AL969" s="1350"/>
      <c r="AM969" s="1350"/>
      <c r="AN969" s="1350"/>
      <c r="AO969" s="1350"/>
      <c r="AP969" s="1350"/>
      <c r="AQ969" s="135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563"/>
      <c r="D970" s="1352"/>
      <c r="E970" s="1353"/>
      <c r="F970" s="1353"/>
      <c r="G970" s="1353"/>
      <c r="H970" s="1353"/>
      <c r="I970" s="1353"/>
      <c r="J970" s="1353"/>
      <c r="K970" s="1353"/>
      <c r="L970" s="1353"/>
      <c r="M970" s="1353"/>
      <c r="N970" s="1353"/>
      <c r="O970" s="1353"/>
      <c r="P970" s="1353"/>
      <c r="Q970" s="1353"/>
      <c r="R970" s="1353"/>
      <c r="S970" s="1353"/>
      <c r="T970" s="1353"/>
      <c r="U970" s="1353"/>
      <c r="V970" s="1353"/>
      <c r="W970" s="1353"/>
      <c r="X970" s="1353"/>
      <c r="Y970" s="1353"/>
      <c r="Z970" s="1353"/>
      <c r="AA970" s="1353"/>
      <c r="AB970" s="1353"/>
      <c r="AC970" s="1353"/>
      <c r="AD970" s="1353"/>
      <c r="AE970" s="1354"/>
      <c r="AF970" s="1157">
        <v>835131</v>
      </c>
      <c r="AG970" s="1157"/>
      <c r="AH970" s="1157"/>
      <c r="AI970" s="1157"/>
      <c r="AJ970" s="1349"/>
      <c r="AK970" s="1350"/>
      <c r="AL970" s="1350"/>
      <c r="AM970" s="1350"/>
      <c r="AN970" s="1350"/>
      <c r="AO970" s="1350"/>
      <c r="AP970" s="1350"/>
      <c r="AQ970" s="135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74"/>
      <c r="C971" s="876"/>
      <c r="D971" s="1355"/>
      <c r="E971" s="1356"/>
      <c r="F971" s="1356"/>
      <c r="G971" s="1356"/>
      <c r="H971" s="1356"/>
      <c r="I971" s="1356"/>
      <c r="J971" s="1356"/>
      <c r="K971" s="1356"/>
      <c r="L971" s="1356"/>
      <c r="M971" s="1356"/>
      <c r="N971" s="1356"/>
      <c r="O971" s="1356"/>
      <c r="P971" s="1356"/>
      <c r="Q971" s="1356"/>
      <c r="R971" s="1356"/>
      <c r="S971" s="1356"/>
      <c r="T971" s="1356"/>
      <c r="U971" s="1356"/>
      <c r="V971" s="1356"/>
      <c r="W971" s="1356"/>
      <c r="X971" s="1356"/>
      <c r="Y971" s="1356"/>
      <c r="Z971" s="1356"/>
      <c r="AA971" s="1356"/>
      <c r="AB971" s="1356"/>
      <c r="AC971" s="1356"/>
      <c r="AD971" s="1356"/>
      <c r="AE971" s="1357"/>
      <c r="AF971" s="1157"/>
      <c r="AG971" s="1157"/>
      <c r="AH971" s="1157"/>
      <c r="AI971" s="1157"/>
      <c r="AJ971" s="1346"/>
      <c r="AK971" s="1347"/>
      <c r="AL971" s="1347"/>
      <c r="AM971" s="1347"/>
      <c r="AN971" s="1347"/>
      <c r="AO971" s="1347"/>
      <c r="AP971" s="1347"/>
      <c r="AQ971" s="1348"/>
    </row>
    <row r="972" spans="1:97" ht="12.9" customHeight="1">
      <c r="A972" s="21"/>
      <c r="B972" s="82"/>
      <c r="C972" s="562" t="s">
        <v>607</v>
      </c>
      <c r="D972" s="1366" t="s">
        <v>1989</v>
      </c>
      <c r="E972" s="1367"/>
      <c r="F972" s="1367"/>
      <c r="G972" s="1367"/>
      <c r="H972" s="1367"/>
      <c r="I972" s="1367"/>
      <c r="J972" s="1367"/>
      <c r="K972" s="1367"/>
      <c r="L972" s="1367"/>
      <c r="M972" s="1367"/>
      <c r="N972" s="1367"/>
      <c r="O972" s="1367"/>
      <c r="P972" s="1367"/>
      <c r="Q972" s="1367"/>
      <c r="R972" s="1367"/>
      <c r="S972" s="1367"/>
      <c r="T972" s="1367"/>
      <c r="U972" s="1367"/>
      <c r="V972" s="1367"/>
      <c r="W972" s="1367"/>
      <c r="X972" s="1367"/>
      <c r="Y972" s="1367"/>
      <c r="Z972" s="1367"/>
      <c r="AA972" s="1367"/>
      <c r="AB972" s="1367"/>
      <c r="AC972" s="1367"/>
      <c r="AD972" s="1367"/>
      <c r="AE972" s="1368"/>
      <c r="AF972" s="82"/>
      <c r="AG972" s="1341" t="s">
        <v>115</v>
      </c>
      <c r="AH972" s="1342"/>
      <c r="AI972" s="85"/>
      <c r="AJ972" s="1343">
        <f>ROUND(IF(AG972="yes",(AJ939*0.1),0),0)</f>
        <v>1360242</v>
      </c>
      <c r="AK972" s="1344"/>
      <c r="AL972" s="1344"/>
      <c r="AM972" s="1344"/>
      <c r="AN972" s="1344"/>
      <c r="AO972" s="1344"/>
      <c r="AP972" s="1344"/>
      <c r="AQ972" s="1345"/>
    </row>
    <row r="973" spans="1:97" ht="12.9" customHeight="1">
      <c r="A973" s="21"/>
      <c r="B973" s="79"/>
      <c r="C973" s="563"/>
      <c r="D973" s="1352" t="s">
        <v>1990</v>
      </c>
      <c r="E973" s="1353"/>
      <c r="F973" s="1353"/>
      <c r="G973" s="1353"/>
      <c r="H973" s="1353"/>
      <c r="I973" s="1353"/>
      <c r="J973" s="1353"/>
      <c r="K973" s="1353"/>
      <c r="L973" s="1353"/>
      <c r="M973" s="1353"/>
      <c r="N973" s="1353"/>
      <c r="O973" s="1353"/>
      <c r="P973" s="1353"/>
      <c r="Q973" s="1353"/>
      <c r="R973" s="1353"/>
      <c r="S973" s="1353"/>
      <c r="T973" s="1353"/>
      <c r="U973" s="1353"/>
      <c r="V973" s="1353"/>
      <c r="W973" s="1353"/>
      <c r="X973" s="1353"/>
      <c r="Y973" s="1353"/>
      <c r="Z973" s="1353"/>
      <c r="AA973" s="1353"/>
      <c r="AB973" s="1353"/>
      <c r="AC973" s="1353"/>
      <c r="AD973" s="1353"/>
      <c r="AE973" s="1354"/>
      <c r="AF973" s="79"/>
      <c r="AG973" s="21"/>
      <c r="AH973" s="21"/>
      <c r="AI973" s="83"/>
      <c r="AJ973" s="1349"/>
      <c r="AK973" s="1350"/>
      <c r="AL973" s="1350"/>
      <c r="AM973" s="1350"/>
      <c r="AN973" s="1350"/>
      <c r="AO973" s="1350"/>
      <c r="AP973" s="1350"/>
      <c r="AQ973" s="1351"/>
    </row>
    <row r="974" spans="1:97" ht="12.9" customHeight="1">
      <c r="A974" s="561"/>
      <c r="B974" s="80"/>
      <c r="C974" s="563"/>
      <c r="D974" s="1355"/>
      <c r="E974" s="1356"/>
      <c r="F974" s="1356"/>
      <c r="G974" s="1356"/>
      <c r="H974" s="1356"/>
      <c r="I974" s="1356"/>
      <c r="J974" s="1356"/>
      <c r="K974" s="1356"/>
      <c r="L974" s="1356"/>
      <c r="M974" s="1356"/>
      <c r="N974" s="1356"/>
      <c r="O974" s="1356"/>
      <c r="P974" s="1356"/>
      <c r="Q974" s="1356"/>
      <c r="R974" s="1356"/>
      <c r="S974" s="1356"/>
      <c r="T974" s="1356"/>
      <c r="U974" s="1356"/>
      <c r="V974" s="1356"/>
      <c r="W974" s="1356"/>
      <c r="X974" s="1356"/>
      <c r="Y974" s="1356"/>
      <c r="Z974" s="1356"/>
      <c r="AA974" s="1356"/>
      <c r="AB974" s="1356"/>
      <c r="AC974" s="1356"/>
      <c r="AD974" s="1356"/>
      <c r="AE974" s="1357"/>
      <c r="AF974" s="79"/>
      <c r="AG974" s="21"/>
      <c r="AH974" s="21"/>
      <c r="AI974" s="83"/>
      <c r="AJ974" s="1346"/>
      <c r="AK974" s="1347"/>
      <c r="AL974" s="1347"/>
      <c r="AM974" s="1347"/>
      <c r="AN974" s="1347"/>
      <c r="AO974" s="1347"/>
      <c r="AP974" s="1347"/>
      <c r="AQ974" s="1348"/>
    </row>
    <row r="975" spans="1:97" ht="12.9" customHeight="1">
      <c r="A975" s="561"/>
      <c r="B975" s="79"/>
      <c r="C975" s="562" t="s">
        <v>610</v>
      </c>
      <c r="D975" s="1339" t="s">
        <v>2097</v>
      </c>
      <c r="E975" s="1136"/>
      <c r="F975" s="1136"/>
      <c r="G975" s="1136"/>
      <c r="H975" s="1136"/>
      <c r="I975" s="1136"/>
      <c r="J975" s="1136"/>
      <c r="K975" s="1136"/>
      <c r="L975" s="1136"/>
      <c r="M975" s="1136"/>
      <c r="N975" s="1136"/>
      <c r="O975" s="1136"/>
      <c r="P975" s="1136"/>
      <c r="Q975" s="1136"/>
      <c r="R975" s="1136"/>
      <c r="S975" s="1136"/>
      <c r="T975" s="1136"/>
      <c r="U975" s="1136"/>
      <c r="V975" s="1136"/>
      <c r="W975" s="1136"/>
      <c r="X975" s="1136"/>
      <c r="Y975" s="1136"/>
      <c r="Z975" s="1136"/>
      <c r="AA975" s="1136"/>
      <c r="AB975" s="1136"/>
      <c r="AC975" s="1136"/>
      <c r="AD975" s="1136"/>
      <c r="AE975" s="1340"/>
      <c r="AF975" s="82"/>
      <c r="AG975" s="1341" t="s">
        <v>509</v>
      </c>
      <c r="AH975" s="1342"/>
      <c r="AI975" s="85"/>
      <c r="AJ975" s="1343">
        <f>ROUND(IF(AG975="yes",(AJ939*0.15),0),0)</f>
        <v>0</v>
      </c>
      <c r="AK975" s="1344"/>
      <c r="AL975" s="1344"/>
      <c r="AM975" s="1344"/>
      <c r="AN975" s="1344"/>
      <c r="AO975" s="1344"/>
      <c r="AP975" s="1344"/>
      <c r="AQ975" s="1345"/>
    </row>
    <row r="976" spans="1:97" ht="12.9" customHeight="1">
      <c r="A976" s="561"/>
      <c r="B976" s="79"/>
      <c r="C976" s="563"/>
      <c r="D976" s="1532" t="s">
        <v>2098</v>
      </c>
      <c r="E976" s="972"/>
      <c r="F976" s="972"/>
      <c r="G976" s="972"/>
      <c r="H976" s="972"/>
      <c r="I976" s="972"/>
      <c r="J976" s="972"/>
      <c r="K976" s="972"/>
      <c r="L976" s="972"/>
      <c r="M976" s="972"/>
      <c r="N976" s="972"/>
      <c r="O976" s="972"/>
      <c r="P976" s="972"/>
      <c r="Q976" s="972"/>
      <c r="R976" s="972"/>
      <c r="S976" s="972"/>
      <c r="T976" s="972"/>
      <c r="U976" s="972"/>
      <c r="V976" s="972"/>
      <c r="W976" s="972"/>
      <c r="X976" s="972"/>
      <c r="Y976" s="972"/>
      <c r="Z976" s="972"/>
      <c r="AA976" s="972"/>
      <c r="AB976" s="972"/>
      <c r="AC976" s="972"/>
      <c r="AD976" s="972"/>
      <c r="AE976" s="1533"/>
      <c r="AF976" s="878"/>
      <c r="AG976" s="879"/>
      <c r="AH976" s="879"/>
      <c r="AI976" s="880"/>
      <c r="AJ976" s="1349"/>
      <c r="AK976" s="1350"/>
      <c r="AL976" s="1350"/>
      <c r="AM976" s="1350"/>
      <c r="AN976" s="1350"/>
      <c r="AO976" s="1350"/>
      <c r="AP976" s="1350"/>
      <c r="AQ976" s="135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561"/>
      <c r="B977" s="79"/>
      <c r="C977" s="563"/>
      <c r="D977" s="1532"/>
      <c r="E977" s="972"/>
      <c r="F977" s="972"/>
      <c r="G977" s="972"/>
      <c r="H977" s="972"/>
      <c r="I977" s="972"/>
      <c r="J977" s="972"/>
      <c r="K977" s="972"/>
      <c r="L977" s="972"/>
      <c r="M977" s="972"/>
      <c r="N977" s="972"/>
      <c r="O977" s="972"/>
      <c r="P977" s="972"/>
      <c r="Q977" s="972"/>
      <c r="R977" s="972"/>
      <c r="S977" s="972"/>
      <c r="T977" s="972"/>
      <c r="U977" s="972"/>
      <c r="V977" s="972"/>
      <c r="W977" s="972"/>
      <c r="X977" s="972"/>
      <c r="Y977" s="972"/>
      <c r="Z977" s="972"/>
      <c r="AA977" s="972"/>
      <c r="AB977" s="972"/>
      <c r="AC977" s="972"/>
      <c r="AD977" s="972"/>
      <c r="AE977" s="1533"/>
      <c r="AF977" s="878"/>
      <c r="AG977" s="879"/>
      <c r="AH977" s="879"/>
      <c r="AI977" s="880"/>
      <c r="AJ977" s="1349"/>
      <c r="AK977" s="1350"/>
      <c r="AL977" s="1350"/>
      <c r="AM977" s="1350"/>
      <c r="AN977" s="1350"/>
      <c r="AO977" s="1350"/>
      <c r="AP977" s="1350"/>
      <c r="AQ977" s="135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561"/>
      <c r="B978" s="79"/>
      <c r="C978" s="563"/>
      <c r="D978" s="1534"/>
      <c r="E978" s="1535"/>
      <c r="F978" s="1535"/>
      <c r="G978" s="1535"/>
      <c r="H978" s="1535"/>
      <c r="I978" s="1535"/>
      <c r="J978" s="1535"/>
      <c r="K978" s="1535"/>
      <c r="L978" s="1535"/>
      <c r="M978" s="1535"/>
      <c r="N978" s="1535"/>
      <c r="O978" s="1535"/>
      <c r="P978" s="1535"/>
      <c r="Q978" s="1535"/>
      <c r="R978" s="1535"/>
      <c r="S978" s="1535"/>
      <c r="T978" s="1535"/>
      <c r="U978" s="1535"/>
      <c r="V978" s="1535"/>
      <c r="W978" s="1535"/>
      <c r="X978" s="1535"/>
      <c r="Y978" s="1535"/>
      <c r="Z978" s="1535"/>
      <c r="AA978" s="1535"/>
      <c r="AB978" s="1535"/>
      <c r="AC978" s="1535"/>
      <c r="AD978" s="1535"/>
      <c r="AE978" s="1536"/>
      <c r="AF978" s="881"/>
      <c r="AG978" s="882"/>
      <c r="AH978" s="882"/>
      <c r="AI978" s="883"/>
      <c r="AJ978" s="1346"/>
      <c r="AK978" s="1347"/>
      <c r="AL978" s="1347"/>
      <c r="AM978" s="1347"/>
      <c r="AN978" s="1347"/>
      <c r="AO978" s="1347"/>
      <c r="AP978" s="1347"/>
      <c r="AQ978" s="134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86"/>
      <c r="B979" s="79"/>
      <c r="C979" s="562" t="s">
        <v>610</v>
      </c>
      <c r="D979" s="1366" t="s">
        <v>2099</v>
      </c>
      <c r="E979" s="1367"/>
      <c r="F979" s="1367"/>
      <c r="G979" s="1367"/>
      <c r="H979" s="1367"/>
      <c r="I979" s="1367"/>
      <c r="J979" s="1367"/>
      <c r="K979" s="1367"/>
      <c r="L979" s="1367"/>
      <c r="M979" s="1367"/>
      <c r="N979" s="1367"/>
      <c r="O979" s="1367"/>
      <c r="P979" s="1367"/>
      <c r="Q979" s="1367"/>
      <c r="R979" s="1367"/>
      <c r="S979" s="1367"/>
      <c r="T979" s="1367"/>
      <c r="U979" s="1367"/>
      <c r="V979" s="1367"/>
      <c r="W979" s="1367"/>
      <c r="X979" s="1367"/>
      <c r="Y979" s="1367"/>
      <c r="Z979" s="1367"/>
      <c r="AA979" s="1367"/>
      <c r="AB979" s="1367"/>
      <c r="AC979" s="1367"/>
      <c r="AD979" s="1367"/>
      <c r="AE979" s="1368"/>
      <c r="AF979" s="79"/>
      <c r="AG979" s="1530" t="s">
        <v>509</v>
      </c>
      <c r="AH979" s="1531"/>
      <c r="AI979" s="83"/>
      <c r="AJ979" s="1343">
        <f>ROUND(IF(AG979="yes",(AJ939*0.1),0),0)</f>
        <v>0</v>
      </c>
      <c r="AK979" s="1344"/>
      <c r="AL979" s="1344"/>
      <c r="AM979" s="1344"/>
      <c r="AN979" s="1344"/>
      <c r="AO979" s="1344"/>
      <c r="AP979" s="1344"/>
      <c r="AQ979" s="134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86"/>
      <c r="B980" s="79"/>
      <c r="C980" s="563"/>
      <c r="D980" s="1532" t="s">
        <v>2100</v>
      </c>
      <c r="E980" s="972"/>
      <c r="F980" s="972"/>
      <c r="G980" s="972"/>
      <c r="H980" s="972"/>
      <c r="I980" s="972"/>
      <c r="J980" s="972"/>
      <c r="K980" s="972"/>
      <c r="L980" s="972"/>
      <c r="M980" s="972"/>
      <c r="N980" s="972"/>
      <c r="O980" s="972"/>
      <c r="P980" s="972"/>
      <c r="Q980" s="972"/>
      <c r="R980" s="972"/>
      <c r="S980" s="972"/>
      <c r="T980" s="972"/>
      <c r="U980" s="972"/>
      <c r="V980" s="972"/>
      <c r="W980" s="972"/>
      <c r="X980" s="972"/>
      <c r="Y980" s="972"/>
      <c r="Z980" s="972"/>
      <c r="AA980" s="972"/>
      <c r="AB980" s="972"/>
      <c r="AC980" s="972"/>
      <c r="AD980" s="972"/>
      <c r="AE980" s="1533"/>
      <c r="AF980" s="79"/>
      <c r="AG980" s="21"/>
      <c r="AH980" s="21"/>
      <c r="AI980" s="83"/>
      <c r="AJ980" s="1349"/>
      <c r="AK980" s="1350"/>
      <c r="AL980" s="1350"/>
      <c r="AM980" s="1350"/>
      <c r="AN980" s="1350"/>
      <c r="AO980" s="1350"/>
      <c r="AP980" s="1350"/>
      <c r="AQ980" s="13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86"/>
      <c r="B981" s="79"/>
      <c r="C981" s="563"/>
      <c r="D981" s="1532"/>
      <c r="E981" s="972"/>
      <c r="F981" s="972"/>
      <c r="G981" s="972"/>
      <c r="H981" s="972"/>
      <c r="I981" s="972"/>
      <c r="J981" s="972"/>
      <c r="K981" s="972"/>
      <c r="L981" s="972"/>
      <c r="M981" s="972"/>
      <c r="N981" s="972"/>
      <c r="O981" s="972"/>
      <c r="P981" s="972"/>
      <c r="Q981" s="972"/>
      <c r="R981" s="972"/>
      <c r="S981" s="972"/>
      <c r="T981" s="972"/>
      <c r="U981" s="972"/>
      <c r="V981" s="972"/>
      <c r="W981" s="972"/>
      <c r="X981" s="972"/>
      <c r="Y981" s="972"/>
      <c r="Z981" s="972"/>
      <c r="AA981" s="972"/>
      <c r="AB981" s="972"/>
      <c r="AC981" s="972"/>
      <c r="AD981" s="972"/>
      <c r="AE981" s="1533"/>
      <c r="AF981" s="79"/>
      <c r="AG981" s="21"/>
      <c r="AH981" s="21"/>
      <c r="AI981" s="83"/>
      <c r="AJ981" s="1349"/>
      <c r="AK981" s="1350"/>
      <c r="AL981" s="1350"/>
      <c r="AM981" s="1350"/>
      <c r="AN981" s="1350"/>
      <c r="AO981" s="1350"/>
      <c r="AP981" s="1350"/>
      <c r="AQ981" s="13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86"/>
      <c r="B982" s="79"/>
      <c r="C982" s="563"/>
      <c r="D982" s="1532"/>
      <c r="E982" s="972"/>
      <c r="F982" s="972"/>
      <c r="G982" s="972"/>
      <c r="H982" s="972"/>
      <c r="I982" s="972"/>
      <c r="J982" s="972"/>
      <c r="K982" s="972"/>
      <c r="L982" s="972"/>
      <c r="M982" s="972"/>
      <c r="N982" s="972"/>
      <c r="O982" s="972"/>
      <c r="P982" s="972"/>
      <c r="Q982" s="972"/>
      <c r="R982" s="972"/>
      <c r="S982" s="972"/>
      <c r="T982" s="972"/>
      <c r="U982" s="972"/>
      <c r="V982" s="972"/>
      <c r="W982" s="972"/>
      <c r="X982" s="972"/>
      <c r="Y982" s="972"/>
      <c r="Z982" s="972"/>
      <c r="AA982" s="972"/>
      <c r="AB982" s="972"/>
      <c r="AC982" s="972"/>
      <c r="AD982" s="972"/>
      <c r="AE982" s="1533"/>
      <c r="AF982" s="79"/>
      <c r="AG982" s="21"/>
      <c r="AH982" s="21"/>
      <c r="AI982" s="83"/>
      <c r="AJ982" s="1349"/>
      <c r="AK982" s="1350"/>
      <c r="AL982" s="1350"/>
      <c r="AM982" s="1350"/>
      <c r="AN982" s="1350"/>
      <c r="AO982" s="1350"/>
      <c r="AP982" s="1350"/>
      <c r="AQ982" s="13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86"/>
      <c r="B983" s="79"/>
      <c r="C983" s="563"/>
      <c r="D983" s="1534"/>
      <c r="E983" s="1535"/>
      <c r="F983" s="1535"/>
      <c r="G983" s="1535"/>
      <c r="H983" s="1535"/>
      <c r="I983" s="1535"/>
      <c r="J983" s="1535"/>
      <c r="K983" s="1535"/>
      <c r="L983" s="1535"/>
      <c r="M983" s="1535"/>
      <c r="N983" s="1535"/>
      <c r="O983" s="1535"/>
      <c r="P983" s="1535"/>
      <c r="Q983" s="1535"/>
      <c r="R983" s="1535"/>
      <c r="S983" s="1535"/>
      <c r="T983" s="1535"/>
      <c r="U983" s="1535"/>
      <c r="V983" s="1535"/>
      <c r="W983" s="1535"/>
      <c r="X983" s="1535"/>
      <c r="Y983" s="1535"/>
      <c r="Z983" s="1535"/>
      <c r="AA983" s="1535"/>
      <c r="AB983" s="1535"/>
      <c r="AC983" s="1535"/>
      <c r="AD983" s="1535"/>
      <c r="AE983" s="1536"/>
      <c r="AF983" s="79"/>
      <c r="AG983" s="21"/>
      <c r="AH983" s="21"/>
      <c r="AI983" s="83"/>
      <c r="AJ983" s="1349"/>
      <c r="AK983" s="1350"/>
      <c r="AL983" s="1350"/>
      <c r="AM983" s="1350"/>
      <c r="AN983" s="1350"/>
      <c r="AO983" s="1350"/>
      <c r="AP983" s="1350"/>
      <c r="AQ983" s="135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86"/>
      <c r="B984" s="82"/>
      <c r="C984" s="884" t="s">
        <v>2101</v>
      </c>
      <c r="D984" s="1339" t="s">
        <v>1991</v>
      </c>
      <c r="E984" s="1136"/>
      <c r="F984" s="1136"/>
      <c r="G984" s="1136"/>
      <c r="H984" s="1136"/>
      <c r="I984" s="1136"/>
      <c r="J984" s="1136"/>
      <c r="K984" s="1136"/>
      <c r="L984" s="1136"/>
      <c r="M984" s="1136"/>
      <c r="N984" s="1136"/>
      <c r="O984" s="1136"/>
      <c r="P984" s="1136"/>
      <c r="Q984" s="1136"/>
      <c r="R984" s="1136"/>
      <c r="S984" s="1136"/>
      <c r="T984" s="1136"/>
      <c r="U984" s="1136"/>
      <c r="V984" s="1136"/>
      <c r="W984" s="1136"/>
      <c r="X984" s="1136"/>
      <c r="Y984" s="1136"/>
      <c r="Z984" s="1136"/>
      <c r="AA984" s="1136"/>
      <c r="AB984" s="1136"/>
      <c r="AC984" s="1136"/>
      <c r="AD984" s="1136"/>
      <c r="AE984" s="1340"/>
      <c r="AF984" s="82"/>
      <c r="AG984" s="1341" t="s">
        <v>509</v>
      </c>
      <c r="AH984" s="1342"/>
      <c r="AI984" s="85"/>
      <c r="AJ984" s="1343">
        <f>ROUND(IF(AG984="yes",(AJ939*0.1),0),0)</f>
        <v>0</v>
      </c>
      <c r="AK984" s="1344"/>
      <c r="AL984" s="1344"/>
      <c r="AM984" s="1344"/>
      <c r="AN984" s="1344"/>
      <c r="AO984" s="1344"/>
      <c r="AP984" s="1344"/>
      <c r="AQ984" s="134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86"/>
      <c r="B985" s="79"/>
      <c r="C985" s="563"/>
      <c r="D985" s="1352" t="s">
        <v>2343</v>
      </c>
      <c r="E985" s="1353"/>
      <c r="F985" s="1353"/>
      <c r="G985" s="1353"/>
      <c r="H985" s="1353"/>
      <c r="I985" s="1353"/>
      <c r="J985" s="1353"/>
      <c r="K985" s="1353"/>
      <c r="L985" s="1353"/>
      <c r="M985" s="1353"/>
      <c r="N985" s="1353"/>
      <c r="O985" s="1353"/>
      <c r="P985" s="1353"/>
      <c r="Q985" s="1353"/>
      <c r="R985" s="1353"/>
      <c r="S985" s="1353"/>
      <c r="T985" s="1353"/>
      <c r="U985" s="1353"/>
      <c r="V985" s="1353"/>
      <c r="W985" s="1353"/>
      <c r="X985" s="1353"/>
      <c r="Y985" s="1353"/>
      <c r="Z985" s="1353"/>
      <c r="AA985" s="1353"/>
      <c r="AB985" s="1353"/>
      <c r="AC985" s="1353"/>
      <c r="AD985" s="1353"/>
      <c r="AE985" s="1354"/>
      <c r="AF985" s="79"/>
      <c r="AG985" s="21"/>
      <c r="AH985" s="21"/>
      <c r="AI985" s="83"/>
      <c r="AJ985" s="1349"/>
      <c r="AK985" s="1350"/>
      <c r="AL985" s="1350"/>
      <c r="AM985" s="1350"/>
      <c r="AN985" s="1350"/>
      <c r="AO985" s="1350"/>
      <c r="AP985" s="1350"/>
      <c r="AQ985" s="13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86"/>
      <c r="B986" s="79"/>
      <c r="C986" s="563"/>
      <c r="D986" s="1352"/>
      <c r="E986" s="1353"/>
      <c r="F986" s="1353"/>
      <c r="G986" s="1353"/>
      <c r="H986" s="1353"/>
      <c r="I986" s="1353"/>
      <c r="J986" s="1353"/>
      <c r="K986" s="1353"/>
      <c r="L986" s="1353"/>
      <c r="M986" s="1353"/>
      <c r="N986" s="1353"/>
      <c r="O986" s="1353"/>
      <c r="P986" s="1353"/>
      <c r="Q986" s="1353"/>
      <c r="R986" s="1353"/>
      <c r="S986" s="1353"/>
      <c r="T986" s="1353"/>
      <c r="U986" s="1353"/>
      <c r="V986" s="1353"/>
      <c r="W986" s="1353"/>
      <c r="X986" s="1353"/>
      <c r="Y986" s="1353"/>
      <c r="Z986" s="1353"/>
      <c r="AA986" s="1353"/>
      <c r="AB986" s="1353"/>
      <c r="AC986" s="1353"/>
      <c r="AD986" s="1353"/>
      <c r="AE986" s="1354"/>
      <c r="AF986" s="79"/>
      <c r="AG986" s="21"/>
      <c r="AH986" s="21"/>
      <c r="AI986" s="83"/>
      <c r="AJ986" s="1349"/>
      <c r="AK986" s="1350"/>
      <c r="AL986" s="1350"/>
      <c r="AM986" s="1350"/>
      <c r="AN986" s="1350"/>
      <c r="AO986" s="1350"/>
      <c r="AP986" s="1350"/>
      <c r="AQ986" s="13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86"/>
      <c r="B987" s="79"/>
      <c r="C987" s="563"/>
      <c r="D987" s="1355"/>
      <c r="E987" s="1356"/>
      <c r="F987" s="1356"/>
      <c r="G987" s="1356"/>
      <c r="H987" s="1356"/>
      <c r="I987" s="1356"/>
      <c r="J987" s="1356"/>
      <c r="K987" s="1356"/>
      <c r="L987" s="1356"/>
      <c r="M987" s="1356"/>
      <c r="N987" s="1356"/>
      <c r="O987" s="1356"/>
      <c r="P987" s="1356"/>
      <c r="Q987" s="1356"/>
      <c r="R987" s="1356"/>
      <c r="S987" s="1356"/>
      <c r="T987" s="1356"/>
      <c r="U987" s="1356"/>
      <c r="V987" s="1356"/>
      <c r="W987" s="1356"/>
      <c r="X987" s="1356"/>
      <c r="Y987" s="1356"/>
      <c r="Z987" s="1356"/>
      <c r="AA987" s="1356"/>
      <c r="AB987" s="1356"/>
      <c r="AC987" s="1356"/>
      <c r="AD987" s="1356"/>
      <c r="AE987" s="1357"/>
      <c r="AF987" s="79"/>
      <c r="AG987" s="21"/>
      <c r="AH987" s="21"/>
      <c r="AI987" s="83"/>
      <c r="AJ987" s="1346"/>
      <c r="AK987" s="1347"/>
      <c r="AL987" s="1347"/>
      <c r="AM987" s="1347"/>
      <c r="AN987" s="1347"/>
      <c r="AO987" s="1347"/>
      <c r="AP987" s="1347"/>
      <c r="AQ987" s="134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86"/>
      <c r="B988" s="177"/>
      <c r="C988" s="885"/>
      <c r="D988" s="1361" t="s">
        <v>783</v>
      </c>
      <c r="E988" s="1361"/>
      <c r="F988" s="1361"/>
      <c r="G988" s="1361"/>
      <c r="H988" s="1361"/>
      <c r="I988" s="1361"/>
      <c r="J988" s="1361"/>
      <c r="K988" s="1361"/>
      <c r="L988" s="1361"/>
      <c r="M988" s="1361"/>
      <c r="N988" s="1361"/>
      <c r="O988" s="1361"/>
      <c r="P988" s="1361"/>
      <c r="Q988" s="1361"/>
      <c r="R988" s="1361"/>
      <c r="S988" s="1361"/>
      <c r="T988" s="1361"/>
      <c r="U988" s="1361"/>
      <c r="V988" s="1361"/>
      <c r="W988" s="1361"/>
      <c r="X988" s="1361"/>
      <c r="Y988" s="1361"/>
      <c r="Z988" s="1361"/>
      <c r="AA988" s="1361"/>
      <c r="AB988" s="1361"/>
      <c r="AC988" s="1361"/>
      <c r="AD988" s="1361"/>
      <c r="AE988" s="1361"/>
      <c r="AF988" s="1361"/>
      <c r="AG988" s="1361"/>
      <c r="AH988" s="1361"/>
      <c r="AI988" s="1362"/>
      <c r="AJ988" s="1363">
        <f>SUM(AJ939:AQ987)</f>
        <v>15797797</v>
      </c>
      <c r="AK988" s="1364"/>
      <c r="AL988" s="1364"/>
      <c r="AM988" s="1364"/>
      <c r="AN988" s="1364"/>
      <c r="AO988" s="1364"/>
      <c r="AP988" s="1364"/>
      <c r="AQ988" s="136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36">
        <f>'Sources and Uses Budget'!S106+'Sources and Uses Budget'!T106</f>
        <v>12895105</v>
      </c>
      <c r="Y992" s="1336"/>
      <c r="Z992" s="1336"/>
      <c r="AA992" s="1336"/>
      <c r="AB992" s="1336"/>
      <c r="AC992" s="1336"/>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32">
        <f>IFERROR(X992/AJ988,"")</f>
        <v>0.81625969747554039</v>
      </c>
      <c r="Y993" s="1333"/>
      <c r="Z993" s="1333"/>
      <c r="AA993" s="1333"/>
      <c r="AB993" s="1333"/>
      <c r="AC993" s="1334"/>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86"/>
      <c r="B994" s="21"/>
      <c r="C994" s="367"/>
      <c r="D994" s="1136"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6"/>
      <c r="F994" s="1136"/>
      <c r="G994" s="1136"/>
      <c r="H994" s="1136"/>
      <c r="I994" s="1136"/>
      <c r="J994" s="1136"/>
      <c r="K994" s="1136"/>
      <c r="L994" s="1136"/>
      <c r="M994" s="1136"/>
      <c r="N994" s="1136"/>
      <c r="O994" s="1136"/>
      <c r="P994" s="1136"/>
      <c r="Q994" s="1136"/>
      <c r="R994" s="1136"/>
      <c r="S994" s="1136"/>
      <c r="T994" s="1136"/>
      <c r="U994" s="1136"/>
      <c r="V994" s="1136"/>
      <c r="W994" s="1136"/>
      <c r="X994" s="1136"/>
      <c r="Y994" s="1136"/>
      <c r="Z994" s="1136"/>
      <c r="AA994" s="1136"/>
      <c r="AB994" s="1136"/>
      <c r="AC994" s="1136"/>
      <c r="AD994" s="1136"/>
      <c r="AE994" s="1136"/>
      <c r="AF994" s="1136"/>
      <c r="AG994" s="1136"/>
      <c r="AH994" s="1136"/>
      <c r="AI994" s="1136"/>
      <c r="AJ994" s="1136"/>
      <c r="AK994" s="1136"/>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86"/>
      <c r="B995" s="21"/>
      <c r="C995" s="367"/>
      <c r="D995" s="1136"/>
      <c r="E995" s="1136"/>
      <c r="F995" s="1136"/>
      <c r="G995" s="1136"/>
      <c r="H995" s="1136"/>
      <c r="I995" s="1136"/>
      <c r="J995" s="1136"/>
      <c r="K995" s="1136"/>
      <c r="L995" s="1136"/>
      <c r="M995" s="1136"/>
      <c r="N995" s="1136"/>
      <c r="O995" s="1136"/>
      <c r="P995" s="1136"/>
      <c r="Q995" s="1136"/>
      <c r="R995" s="1136"/>
      <c r="S995" s="1136"/>
      <c r="T995" s="1136"/>
      <c r="U995" s="1136"/>
      <c r="V995" s="1136"/>
      <c r="W995" s="1136"/>
      <c r="X995" s="1136"/>
      <c r="Y995" s="1136"/>
      <c r="Z995" s="1136"/>
      <c r="AA995" s="1136"/>
      <c r="AB995" s="1136"/>
      <c r="AC995" s="1136"/>
      <c r="AD995" s="1136"/>
      <c r="AE995" s="1136"/>
      <c r="AF995" s="1136"/>
      <c r="AG995" s="1136"/>
      <c r="AH995" s="1136"/>
      <c r="AI995" s="1136"/>
      <c r="AJ995" s="1136"/>
      <c r="AK995" s="1136"/>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86"/>
      <c r="C996" s="367"/>
      <c r="D996" s="1136"/>
      <c r="E996" s="1136"/>
      <c r="F996" s="1136"/>
      <c r="G996" s="1136"/>
      <c r="H996" s="1136"/>
      <c r="I996" s="1136"/>
      <c r="J996" s="1136"/>
      <c r="K996" s="1136"/>
      <c r="L996" s="1136"/>
      <c r="M996" s="1136"/>
      <c r="N996" s="1136"/>
      <c r="O996" s="1136"/>
      <c r="P996" s="1136"/>
      <c r="Q996" s="1136"/>
      <c r="R996" s="1136"/>
      <c r="S996" s="1136"/>
      <c r="T996" s="1136"/>
      <c r="U996" s="1136"/>
      <c r="V996" s="1136"/>
      <c r="W996" s="1136"/>
      <c r="X996" s="1136"/>
      <c r="Y996" s="1136"/>
      <c r="Z996" s="1136"/>
      <c r="AA996" s="1136"/>
      <c r="AB996" s="1136"/>
      <c r="AC996" s="1136"/>
      <c r="AD996" s="1136"/>
      <c r="AE996" s="1136"/>
      <c r="AF996" s="1136"/>
      <c r="AG996" s="1136"/>
      <c r="AH996" s="1136"/>
      <c r="AI996" s="1136"/>
      <c r="AJ996" s="1136"/>
      <c r="AK996" s="1136"/>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B999" s="1335"/>
      <c r="C999" s="1335"/>
      <c r="D999" s="1335"/>
      <c r="E999" s="1335"/>
      <c r="F999" s="1335"/>
      <c r="G999" s="1335"/>
      <c r="H999" s="1335"/>
      <c r="I999" s="1335"/>
      <c r="J999" s="1335"/>
      <c r="K999" s="1335"/>
      <c r="L999" s="1335"/>
      <c r="M999" s="1335"/>
      <c r="N999" s="1335"/>
      <c r="O999" s="1335"/>
      <c r="P999" s="1335"/>
      <c r="Q999" s="1335"/>
      <c r="R999" s="1335"/>
      <c r="S999" s="1335"/>
      <c r="T999" s="1335"/>
      <c r="U999" s="1335"/>
      <c r="V999" s="1335"/>
      <c r="W999" s="1335"/>
      <c r="X999" s="1335"/>
      <c r="Y999" s="1335"/>
      <c r="Z999" s="1335"/>
      <c r="AA999" s="1335"/>
      <c r="AB999" s="1335"/>
      <c r="AC999" s="1335"/>
      <c r="AD999" s="1335"/>
      <c r="AE999" s="1335"/>
      <c r="AF999" s="1335"/>
      <c r="AG999" s="1335"/>
      <c r="AH999" s="1335"/>
      <c r="AI999" s="1335"/>
      <c r="AJ999" s="1335"/>
      <c r="AK999" s="1335"/>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1137" t="s">
        <v>1031</v>
      </c>
      <c r="B1000" s="1137"/>
      <c r="C1000" s="1137"/>
      <c r="D1000" s="1137"/>
      <c r="E1000" s="1137"/>
      <c r="F1000" s="1137"/>
      <c r="G1000" s="1137"/>
      <c r="H1000" s="1137"/>
      <c r="I1000" s="1137"/>
      <c r="J1000" s="1137"/>
      <c r="K1000" s="1137"/>
      <c r="L1000" s="1137"/>
      <c r="M1000" s="1137"/>
      <c r="N1000" s="1137"/>
      <c r="O1000" s="1137"/>
      <c r="P1000" s="1137"/>
      <c r="Q1000" s="1137"/>
      <c r="R1000" s="1137"/>
      <c r="S1000" s="1137"/>
      <c r="T1000" s="1137"/>
      <c r="U1000" s="1137"/>
      <c r="V1000" s="1137"/>
      <c r="W1000" s="1137"/>
      <c r="X1000" s="1137"/>
      <c r="Y1000" s="1137"/>
      <c r="Z1000" s="1137"/>
      <c r="AA1000" s="1137"/>
      <c r="AB1000" s="1137"/>
      <c r="AC1000" s="1137"/>
      <c r="AD1000" s="1137"/>
      <c r="AE1000" s="1137"/>
      <c r="AF1000" s="1137"/>
      <c r="AG1000" s="1137"/>
      <c r="AH1000" s="1137"/>
      <c r="AI1000" s="1137"/>
      <c r="AJ1000" s="1137"/>
      <c r="AK1000" s="1137"/>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 customHeight="1">
      <c r="A1004" s="1109" t="s">
        <v>131</v>
      </c>
      <c r="B1004" s="1109"/>
      <c r="C1004" s="12">
        <v>1</v>
      </c>
      <c r="D1004" s="975" t="s">
        <v>1585</v>
      </c>
      <c r="E1004" s="975"/>
      <c r="F1004" s="975"/>
      <c r="G1004" s="975"/>
      <c r="H1004" s="975"/>
      <c r="I1004" s="975"/>
      <c r="J1004" s="975"/>
      <c r="K1004" s="975"/>
      <c r="L1004" s="975"/>
      <c r="M1004" s="975"/>
      <c r="N1004" s="975"/>
      <c r="O1004" s="975"/>
      <c r="P1004" s="975"/>
      <c r="Q1004" s="975"/>
      <c r="R1004" s="975"/>
      <c r="S1004" s="975"/>
      <c r="T1004" s="975"/>
      <c r="U1004" s="975"/>
      <c r="V1004" s="975"/>
      <c r="W1004" s="975"/>
      <c r="X1004" s="975"/>
      <c r="Y1004" s="975"/>
      <c r="Z1004" s="975"/>
      <c r="AA1004" s="975"/>
      <c r="AB1004" s="975"/>
      <c r="AC1004" s="975"/>
      <c r="AD1004" s="975"/>
      <c r="AE1004" s="975"/>
      <c r="AF1004" s="975"/>
      <c r="AG1004" s="975"/>
      <c r="AH1004" s="975"/>
      <c r="AI1004" s="975"/>
      <c r="AJ1004" s="975"/>
      <c r="AK1004" s="975"/>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 customHeight="1">
      <c r="A1005" s="1"/>
      <c r="B1005" s="1"/>
      <c r="C1005" s="12"/>
      <c r="D1005" s="975"/>
      <c r="E1005" s="975"/>
      <c r="F1005" s="975"/>
      <c r="G1005" s="975"/>
      <c r="H1005" s="975"/>
      <c r="I1005" s="975"/>
      <c r="J1005" s="975"/>
      <c r="K1005" s="975"/>
      <c r="L1005" s="975"/>
      <c r="M1005" s="975"/>
      <c r="N1005" s="975"/>
      <c r="O1005" s="975"/>
      <c r="P1005" s="975"/>
      <c r="Q1005" s="975"/>
      <c r="R1005" s="975"/>
      <c r="S1005" s="975"/>
      <c r="T1005" s="975"/>
      <c r="U1005" s="975"/>
      <c r="V1005" s="975"/>
      <c r="W1005" s="975"/>
      <c r="X1005" s="975"/>
      <c r="Y1005" s="975"/>
      <c r="Z1005" s="975"/>
      <c r="AA1005" s="975"/>
      <c r="AB1005" s="975"/>
      <c r="AC1005" s="975"/>
      <c r="AD1005" s="975"/>
      <c r="AE1005" s="975"/>
      <c r="AF1005" s="975"/>
      <c r="AG1005" s="975"/>
      <c r="AH1005" s="975"/>
      <c r="AI1005" s="975"/>
      <c r="AJ1005" s="975"/>
      <c r="AK1005" s="975"/>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 customHeight="1">
      <c r="A1006" s="1"/>
      <c r="B1006" s="1"/>
      <c r="C1006" s="12"/>
      <c r="D1006" s="975"/>
      <c r="E1006" s="975"/>
      <c r="F1006" s="975"/>
      <c r="G1006" s="975"/>
      <c r="H1006" s="975"/>
      <c r="I1006" s="975"/>
      <c r="J1006" s="975"/>
      <c r="K1006" s="975"/>
      <c r="L1006" s="975"/>
      <c r="M1006" s="975"/>
      <c r="N1006" s="975"/>
      <c r="O1006" s="975"/>
      <c r="P1006" s="975"/>
      <c r="Q1006" s="975"/>
      <c r="R1006" s="975"/>
      <c r="S1006" s="975"/>
      <c r="T1006" s="975"/>
      <c r="U1006" s="975"/>
      <c r="V1006" s="975"/>
      <c r="W1006" s="975"/>
      <c r="X1006" s="975"/>
      <c r="Y1006" s="975"/>
      <c r="Z1006" s="975"/>
      <c r="AA1006" s="975"/>
      <c r="AB1006" s="975"/>
      <c r="AC1006" s="975"/>
      <c r="AD1006" s="975"/>
      <c r="AE1006" s="975"/>
      <c r="AF1006" s="975"/>
      <c r="AG1006" s="975"/>
      <c r="AH1006" s="975"/>
      <c r="AI1006" s="975"/>
      <c r="AJ1006" s="975"/>
      <c r="AK1006" s="975"/>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 customHeight="1">
      <c r="A1007" s="1"/>
      <c r="B1007" s="1"/>
      <c r="C1007" s="12"/>
      <c r="D1007" s="975"/>
      <c r="E1007" s="975"/>
      <c r="F1007" s="975"/>
      <c r="G1007" s="975"/>
      <c r="H1007" s="975"/>
      <c r="I1007" s="975"/>
      <c r="J1007" s="975"/>
      <c r="K1007" s="975"/>
      <c r="L1007" s="975"/>
      <c r="M1007" s="975"/>
      <c r="N1007" s="975"/>
      <c r="O1007" s="975"/>
      <c r="P1007" s="975"/>
      <c r="Q1007" s="975"/>
      <c r="R1007" s="975"/>
      <c r="S1007" s="975"/>
      <c r="T1007" s="975"/>
      <c r="U1007" s="975"/>
      <c r="V1007" s="975"/>
      <c r="W1007" s="975"/>
      <c r="X1007" s="975"/>
      <c r="Y1007" s="975"/>
      <c r="Z1007" s="975"/>
      <c r="AA1007" s="975"/>
      <c r="AB1007" s="975"/>
      <c r="AC1007" s="975"/>
      <c r="AD1007" s="975"/>
      <c r="AE1007" s="975"/>
      <c r="AF1007" s="975"/>
      <c r="AG1007" s="975"/>
      <c r="AH1007" s="975"/>
      <c r="AI1007" s="975"/>
      <c r="AJ1007" s="975"/>
      <c r="AK1007" s="975"/>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 customHeight="1">
      <c r="A1008" s="1"/>
      <c r="B1008" s="1"/>
      <c r="C1008" s="12"/>
      <c r="D1008" s="975"/>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975"/>
      <c r="AF1008" s="975"/>
      <c r="AG1008" s="975"/>
      <c r="AH1008" s="975"/>
      <c r="AI1008" s="975"/>
      <c r="AJ1008" s="975"/>
      <c r="AK1008" s="975"/>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 customHeight="1">
      <c r="A1009" s="3"/>
      <c r="B1009" s="32"/>
      <c r="C1009" s="12"/>
      <c r="D1009" s="975"/>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975"/>
      <c r="AF1009" s="975"/>
      <c r="AG1009" s="975"/>
      <c r="AH1009" s="975"/>
      <c r="AI1009" s="975"/>
      <c r="AJ1009" s="975"/>
      <c r="AK1009" s="975"/>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 customHeight="1">
      <c r="A1010" s="1109" t="s">
        <v>131</v>
      </c>
      <c r="B1010" s="1109"/>
      <c r="C1010" s="12">
        <v>2</v>
      </c>
      <c r="D1010" s="969" t="s">
        <v>1586</v>
      </c>
      <c r="E1010" s="975"/>
      <c r="F1010" s="975"/>
      <c r="G1010" s="975"/>
      <c r="H1010" s="975"/>
      <c r="I1010" s="975"/>
      <c r="J1010" s="975"/>
      <c r="K1010" s="975"/>
      <c r="L1010" s="975"/>
      <c r="M1010" s="975"/>
      <c r="N1010" s="975"/>
      <c r="O1010" s="975"/>
      <c r="P1010" s="975"/>
      <c r="Q1010" s="975"/>
      <c r="R1010" s="975"/>
      <c r="S1010" s="975"/>
      <c r="T1010" s="975"/>
      <c r="U1010" s="975"/>
      <c r="V1010" s="975"/>
      <c r="W1010" s="975"/>
      <c r="X1010" s="975"/>
      <c r="Y1010" s="975"/>
      <c r="Z1010" s="975"/>
      <c r="AA1010" s="975"/>
      <c r="AB1010" s="975"/>
      <c r="AC1010" s="975"/>
      <c r="AD1010" s="975"/>
      <c r="AE1010" s="975"/>
      <c r="AF1010" s="975"/>
      <c r="AG1010" s="975"/>
      <c r="AH1010" s="975"/>
      <c r="AI1010" s="975"/>
      <c r="AJ1010" s="975"/>
      <c r="AK1010" s="975"/>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 customHeight="1">
      <c r="A1011" s="1"/>
      <c r="B1011" s="1"/>
      <c r="C1011" s="12"/>
      <c r="D1011" s="975"/>
      <c r="E1011" s="975"/>
      <c r="F1011" s="975"/>
      <c r="G1011" s="975"/>
      <c r="H1011" s="975"/>
      <c r="I1011" s="975"/>
      <c r="J1011" s="975"/>
      <c r="K1011" s="975"/>
      <c r="L1011" s="975"/>
      <c r="M1011" s="975"/>
      <c r="N1011" s="975"/>
      <c r="O1011" s="975"/>
      <c r="P1011" s="975"/>
      <c r="Q1011" s="975"/>
      <c r="R1011" s="975"/>
      <c r="S1011" s="975"/>
      <c r="T1011" s="975"/>
      <c r="U1011" s="975"/>
      <c r="V1011" s="975"/>
      <c r="W1011" s="975"/>
      <c r="X1011" s="975"/>
      <c r="Y1011" s="975"/>
      <c r="Z1011" s="975"/>
      <c r="AA1011" s="975"/>
      <c r="AB1011" s="975"/>
      <c r="AC1011" s="975"/>
      <c r="AD1011" s="975"/>
      <c r="AE1011" s="975"/>
      <c r="AF1011" s="975"/>
      <c r="AG1011" s="975"/>
      <c r="AH1011" s="975"/>
      <c r="AI1011" s="975"/>
      <c r="AJ1011" s="975"/>
      <c r="AK1011" s="975"/>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 customHeight="1">
      <c r="A1012" s="1"/>
      <c r="B1012" s="1"/>
      <c r="C1012" s="12"/>
      <c r="D1012" s="975"/>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975"/>
      <c r="AF1012" s="975"/>
      <c r="AG1012" s="975"/>
      <c r="AH1012" s="975"/>
      <c r="AI1012" s="975"/>
      <c r="AJ1012" s="975"/>
      <c r="AK1012" s="975"/>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 customHeight="1">
      <c r="A1013" s="1"/>
      <c r="B1013" s="1"/>
      <c r="C1013" s="12"/>
      <c r="D1013" s="975"/>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975"/>
      <c r="AF1013" s="975"/>
      <c r="AG1013" s="975"/>
      <c r="AH1013" s="975"/>
      <c r="AI1013" s="975"/>
      <c r="AJ1013" s="975"/>
      <c r="AK1013" s="975"/>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 customHeight="1">
      <c r="A1014" s="1"/>
      <c r="B1014" s="1"/>
      <c r="C1014" s="12"/>
      <c r="D1014" s="97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975"/>
      <c r="AF1014" s="975"/>
      <c r="AG1014" s="975"/>
      <c r="AH1014" s="975"/>
      <c r="AI1014" s="975"/>
      <c r="AJ1014" s="975"/>
      <c r="AK1014" s="975"/>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 customHeight="1">
      <c r="A1015" s="1"/>
      <c r="B1015" s="1"/>
      <c r="C1015" s="12"/>
      <c r="D1015" s="975"/>
      <c r="E1015" s="975"/>
      <c r="F1015" s="975"/>
      <c r="G1015" s="975"/>
      <c r="H1015" s="975"/>
      <c r="I1015" s="975"/>
      <c r="J1015" s="975"/>
      <c r="K1015" s="975"/>
      <c r="L1015" s="975"/>
      <c r="M1015" s="975"/>
      <c r="N1015" s="975"/>
      <c r="O1015" s="975"/>
      <c r="P1015" s="975"/>
      <c r="Q1015" s="975"/>
      <c r="R1015" s="975"/>
      <c r="S1015" s="975"/>
      <c r="T1015" s="975"/>
      <c r="U1015" s="975"/>
      <c r="V1015" s="975"/>
      <c r="W1015" s="975"/>
      <c r="X1015" s="975"/>
      <c r="Y1015" s="975"/>
      <c r="Z1015" s="975"/>
      <c r="AA1015" s="975"/>
      <c r="AB1015" s="975"/>
      <c r="AC1015" s="975"/>
      <c r="AD1015" s="975"/>
      <c r="AE1015" s="975"/>
      <c r="AF1015" s="975"/>
      <c r="AG1015" s="975"/>
      <c r="AH1015" s="975"/>
      <c r="AI1015" s="975"/>
      <c r="AJ1015" s="975"/>
      <c r="AK1015" s="975"/>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1109" t="s">
        <v>131</v>
      </c>
      <c r="B1016" s="1109"/>
      <c r="C1016" s="12">
        <v>3</v>
      </c>
      <c r="D1016" s="969" t="s">
        <v>2336</v>
      </c>
      <c r="E1016" s="975"/>
      <c r="F1016" s="975"/>
      <c r="G1016" s="975"/>
      <c r="H1016" s="975"/>
      <c r="I1016" s="975"/>
      <c r="J1016" s="975"/>
      <c r="K1016" s="975"/>
      <c r="L1016" s="975"/>
      <c r="M1016" s="975"/>
      <c r="N1016" s="975"/>
      <c r="O1016" s="975"/>
      <c r="P1016" s="975"/>
      <c r="Q1016" s="975"/>
      <c r="R1016" s="975"/>
      <c r="S1016" s="975"/>
      <c r="T1016" s="975"/>
      <c r="U1016" s="975"/>
      <c r="V1016" s="975"/>
      <c r="W1016" s="975"/>
      <c r="X1016" s="975"/>
      <c r="Y1016" s="975"/>
      <c r="Z1016" s="975"/>
      <c r="AA1016" s="975"/>
      <c r="AB1016" s="975"/>
      <c r="AC1016" s="975"/>
      <c r="AD1016" s="975"/>
      <c r="AE1016" s="975"/>
      <c r="AF1016" s="975"/>
      <c r="AG1016" s="975"/>
      <c r="AH1016" s="975"/>
      <c r="AI1016" s="975"/>
      <c r="AJ1016" s="975"/>
      <c r="AK1016" s="975"/>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
      <c r="B1017" s="5"/>
      <c r="C1017" s="12"/>
      <c r="D1017" s="975"/>
      <c r="E1017" s="975"/>
      <c r="F1017" s="975"/>
      <c r="G1017" s="975"/>
      <c r="H1017" s="975"/>
      <c r="I1017" s="975"/>
      <c r="J1017" s="975"/>
      <c r="K1017" s="975"/>
      <c r="L1017" s="975"/>
      <c r="M1017" s="975"/>
      <c r="N1017" s="975"/>
      <c r="O1017" s="975"/>
      <c r="P1017" s="975"/>
      <c r="Q1017" s="975"/>
      <c r="R1017" s="975"/>
      <c r="S1017" s="975"/>
      <c r="T1017" s="975"/>
      <c r="U1017" s="975"/>
      <c r="V1017" s="975"/>
      <c r="W1017" s="975"/>
      <c r="X1017" s="975"/>
      <c r="Y1017" s="975"/>
      <c r="Z1017" s="975"/>
      <c r="AA1017" s="975"/>
      <c r="AB1017" s="975"/>
      <c r="AC1017" s="975"/>
      <c r="AD1017" s="975"/>
      <c r="AE1017" s="975"/>
      <c r="AF1017" s="975"/>
      <c r="AG1017" s="975"/>
      <c r="AH1017" s="975"/>
      <c r="AI1017" s="975"/>
      <c r="AJ1017" s="975"/>
      <c r="AK1017" s="975"/>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44"/>
      <c r="B1018" s="32"/>
      <c r="C1018" s="12"/>
      <c r="D1018" s="975"/>
      <c r="E1018" s="975"/>
      <c r="F1018" s="975"/>
      <c r="G1018" s="975"/>
      <c r="H1018" s="975"/>
      <c r="I1018" s="975"/>
      <c r="J1018" s="975"/>
      <c r="K1018" s="975"/>
      <c r="L1018" s="975"/>
      <c r="M1018" s="975"/>
      <c r="N1018" s="975"/>
      <c r="O1018" s="975"/>
      <c r="P1018" s="975"/>
      <c r="Q1018" s="975"/>
      <c r="R1018" s="975"/>
      <c r="S1018" s="975"/>
      <c r="T1018" s="975"/>
      <c r="U1018" s="975"/>
      <c r="V1018" s="975"/>
      <c r="W1018" s="975"/>
      <c r="X1018" s="975"/>
      <c r="Y1018" s="975"/>
      <c r="Z1018" s="975"/>
      <c r="AA1018" s="975"/>
      <c r="AB1018" s="975"/>
      <c r="AC1018" s="975"/>
      <c r="AD1018" s="975"/>
      <c r="AE1018" s="975"/>
      <c r="AF1018" s="975"/>
      <c r="AG1018" s="975"/>
      <c r="AH1018" s="975"/>
      <c r="AI1018" s="975"/>
      <c r="AJ1018" s="975"/>
      <c r="AK1018" s="975"/>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44"/>
      <c r="B1019" s="32"/>
      <c r="C1019" s="12"/>
      <c r="D1019" s="975"/>
      <c r="E1019" s="975"/>
      <c r="F1019" s="975"/>
      <c r="G1019" s="975"/>
      <c r="H1019" s="975"/>
      <c r="I1019" s="975"/>
      <c r="J1019" s="975"/>
      <c r="K1019" s="975"/>
      <c r="L1019" s="975"/>
      <c r="M1019" s="975"/>
      <c r="N1019" s="975"/>
      <c r="O1019" s="975"/>
      <c r="P1019" s="975"/>
      <c r="Q1019" s="975"/>
      <c r="R1019" s="975"/>
      <c r="S1019" s="975"/>
      <c r="T1019" s="975"/>
      <c r="U1019" s="975"/>
      <c r="V1019" s="975"/>
      <c r="W1019" s="975"/>
      <c r="X1019" s="975"/>
      <c r="Y1019" s="975"/>
      <c r="Z1019" s="975"/>
      <c r="AA1019" s="975"/>
      <c r="AB1019" s="975"/>
      <c r="AC1019" s="975"/>
      <c r="AD1019" s="975"/>
      <c r="AE1019" s="975"/>
      <c r="AF1019" s="975"/>
      <c r="AG1019" s="975"/>
      <c r="AH1019" s="975"/>
      <c r="AI1019" s="975"/>
      <c r="AJ1019" s="975"/>
      <c r="AK1019" s="975"/>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44"/>
      <c r="B1020" s="32"/>
      <c r="C1020" s="12"/>
      <c r="D1020" s="975"/>
      <c r="E1020" s="975"/>
      <c r="F1020" s="975"/>
      <c r="G1020" s="975"/>
      <c r="H1020" s="975"/>
      <c r="I1020" s="975"/>
      <c r="J1020" s="975"/>
      <c r="K1020" s="975"/>
      <c r="L1020" s="975"/>
      <c r="M1020" s="975"/>
      <c r="N1020" s="975"/>
      <c r="O1020" s="975"/>
      <c r="P1020" s="975"/>
      <c r="Q1020" s="975"/>
      <c r="R1020" s="975"/>
      <c r="S1020" s="975"/>
      <c r="T1020" s="975"/>
      <c r="U1020" s="975"/>
      <c r="V1020" s="975"/>
      <c r="W1020" s="975"/>
      <c r="X1020" s="975"/>
      <c r="Y1020" s="975"/>
      <c r="Z1020" s="975"/>
      <c r="AA1020" s="975"/>
      <c r="AB1020" s="975"/>
      <c r="AC1020" s="975"/>
      <c r="AD1020" s="975"/>
      <c r="AE1020" s="975"/>
      <c r="AF1020" s="975"/>
      <c r="AG1020" s="975"/>
      <c r="AH1020" s="975"/>
      <c r="AI1020" s="975"/>
      <c r="AJ1020" s="975"/>
      <c r="AK1020" s="975"/>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5"/>
      <c r="E1021" s="975"/>
      <c r="F1021" s="975"/>
      <c r="G1021" s="975"/>
      <c r="H1021" s="975"/>
      <c r="I1021" s="975"/>
      <c r="J1021" s="975"/>
      <c r="K1021" s="975"/>
      <c r="L1021" s="975"/>
      <c r="M1021" s="975"/>
      <c r="N1021" s="975"/>
      <c r="O1021" s="975"/>
      <c r="P1021" s="975"/>
      <c r="Q1021" s="975"/>
      <c r="R1021" s="975"/>
      <c r="S1021" s="975"/>
      <c r="T1021" s="975"/>
      <c r="U1021" s="975"/>
      <c r="V1021" s="975"/>
      <c r="W1021" s="975"/>
      <c r="X1021" s="975"/>
      <c r="Y1021" s="975"/>
      <c r="Z1021" s="975"/>
      <c r="AA1021" s="975"/>
      <c r="AB1021" s="975"/>
      <c r="AC1021" s="975"/>
      <c r="AD1021" s="975"/>
      <c r="AE1021" s="975"/>
      <c r="AF1021" s="975"/>
      <c r="AG1021" s="975"/>
      <c r="AH1021" s="975"/>
      <c r="AI1021" s="975"/>
      <c r="AJ1021" s="975"/>
      <c r="AK1021" s="975"/>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1109" t="s">
        <v>131</v>
      </c>
      <c r="B1023" s="1109"/>
      <c r="C1023" s="12">
        <v>4</v>
      </c>
      <c r="D1023" s="969" t="s">
        <v>2142</v>
      </c>
      <c r="E1023" s="975"/>
      <c r="F1023" s="975"/>
      <c r="G1023" s="975"/>
      <c r="H1023" s="975"/>
      <c r="I1023" s="975"/>
      <c r="J1023" s="975"/>
      <c r="K1023" s="975"/>
      <c r="L1023" s="975"/>
      <c r="M1023" s="975"/>
      <c r="N1023" s="975"/>
      <c r="O1023" s="975"/>
      <c r="P1023" s="975"/>
      <c r="Q1023" s="975"/>
      <c r="R1023" s="975"/>
      <c r="S1023" s="975"/>
      <c r="T1023" s="975"/>
      <c r="U1023" s="975"/>
      <c r="V1023" s="975"/>
      <c r="W1023" s="975"/>
      <c r="X1023" s="975"/>
      <c r="Y1023" s="975"/>
      <c r="Z1023" s="975"/>
      <c r="AA1023" s="975"/>
      <c r="AB1023" s="975"/>
      <c r="AC1023" s="975"/>
      <c r="AD1023" s="975"/>
      <c r="AE1023" s="975"/>
      <c r="AF1023" s="975"/>
      <c r="AG1023" s="975"/>
      <c r="AH1023" s="975"/>
      <c r="AI1023" s="975"/>
      <c r="AJ1023" s="975"/>
      <c r="AK1023" s="975"/>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1"/>
      <c r="B1024" s="1"/>
      <c r="C1024" s="12"/>
      <c r="D1024" s="975"/>
      <c r="E1024" s="975"/>
      <c r="F1024" s="975"/>
      <c r="G1024" s="975"/>
      <c r="H1024" s="975"/>
      <c r="I1024" s="975"/>
      <c r="J1024" s="975"/>
      <c r="K1024" s="975"/>
      <c r="L1024" s="975"/>
      <c r="M1024" s="975"/>
      <c r="N1024" s="975"/>
      <c r="O1024" s="975"/>
      <c r="P1024" s="975"/>
      <c r="Q1024" s="975"/>
      <c r="R1024" s="975"/>
      <c r="S1024" s="975"/>
      <c r="T1024" s="975"/>
      <c r="U1024" s="975"/>
      <c r="V1024" s="975"/>
      <c r="W1024" s="975"/>
      <c r="X1024" s="975"/>
      <c r="Y1024" s="975"/>
      <c r="Z1024" s="975"/>
      <c r="AA1024" s="975"/>
      <c r="AB1024" s="975"/>
      <c r="AC1024" s="975"/>
      <c r="AD1024" s="975"/>
      <c r="AE1024" s="975"/>
      <c r="AF1024" s="975"/>
      <c r="AG1024" s="975"/>
      <c r="AH1024" s="975"/>
      <c r="AI1024" s="975"/>
      <c r="AJ1024" s="975"/>
      <c r="AK1024" s="975"/>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5"/>
      <c r="E1025" s="975"/>
      <c r="F1025" s="975"/>
      <c r="G1025" s="975"/>
      <c r="H1025" s="975"/>
      <c r="I1025" s="975"/>
      <c r="J1025" s="975"/>
      <c r="K1025" s="975"/>
      <c r="L1025" s="975"/>
      <c r="M1025" s="975"/>
      <c r="N1025" s="975"/>
      <c r="O1025" s="975"/>
      <c r="P1025" s="975"/>
      <c r="Q1025" s="975"/>
      <c r="R1025" s="975"/>
      <c r="S1025" s="975"/>
      <c r="T1025" s="975"/>
      <c r="U1025" s="975"/>
      <c r="V1025" s="975"/>
      <c r="W1025" s="975"/>
      <c r="X1025" s="975"/>
      <c r="Y1025" s="975"/>
      <c r="Z1025" s="975"/>
      <c r="AA1025" s="975"/>
      <c r="AB1025" s="975"/>
      <c r="AC1025" s="975"/>
      <c r="AD1025" s="975"/>
      <c r="AE1025" s="975"/>
      <c r="AF1025" s="975"/>
      <c r="AG1025" s="975"/>
      <c r="AH1025" s="975"/>
      <c r="AI1025" s="975"/>
      <c r="AJ1025" s="975"/>
      <c r="AK1025" s="975"/>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 customHeight="1">
      <c r="A1026" s="1109" t="s">
        <v>131</v>
      </c>
      <c r="B1026" s="1109"/>
      <c r="C1026" s="12">
        <v>5</v>
      </c>
      <c r="D1026" s="969" t="s">
        <v>1792</v>
      </c>
      <c r="E1026" s="975"/>
      <c r="F1026" s="975"/>
      <c r="G1026" s="975"/>
      <c r="H1026" s="975"/>
      <c r="I1026" s="975"/>
      <c r="J1026" s="975"/>
      <c r="K1026" s="975"/>
      <c r="L1026" s="975"/>
      <c r="M1026" s="975"/>
      <c r="N1026" s="975"/>
      <c r="O1026" s="975"/>
      <c r="P1026" s="975"/>
      <c r="Q1026" s="975"/>
      <c r="R1026" s="975"/>
      <c r="S1026" s="975"/>
      <c r="T1026" s="975"/>
      <c r="U1026" s="975"/>
      <c r="V1026" s="975"/>
      <c r="W1026" s="975"/>
      <c r="X1026" s="975"/>
      <c r="Y1026" s="975"/>
      <c r="Z1026" s="975"/>
      <c r="AA1026" s="975"/>
      <c r="AB1026" s="975"/>
      <c r="AC1026" s="975"/>
      <c r="AD1026" s="975"/>
      <c r="AE1026" s="975"/>
      <c r="AF1026" s="975"/>
      <c r="AG1026" s="975"/>
      <c r="AH1026" s="975"/>
      <c r="AI1026" s="975"/>
      <c r="AJ1026" s="975"/>
      <c r="AK1026" s="975"/>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 customHeight="1">
      <c r="A1027" s="1"/>
      <c r="B1027" s="1"/>
      <c r="C1027" s="12"/>
      <c r="D1027" s="975"/>
      <c r="E1027" s="975"/>
      <c r="F1027" s="975"/>
      <c r="G1027" s="975"/>
      <c r="H1027" s="975"/>
      <c r="I1027" s="975"/>
      <c r="J1027" s="975"/>
      <c r="K1027" s="975"/>
      <c r="L1027" s="975"/>
      <c r="M1027" s="975"/>
      <c r="N1027" s="975"/>
      <c r="O1027" s="975"/>
      <c r="P1027" s="975"/>
      <c r="Q1027" s="975"/>
      <c r="R1027" s="975"/>
      <c r="S1027" s="975"/>
      <c r="T1027" s="975"/>
      <c r="U1027" s="975"/>
      <c r="V1027" s="975"/>
      <c r="W1027" s="975"/>
      <c r="X1027" s="975"/>
      <c r="Y1027" s="975"/>
      <c r="Z1027" s="975"/>
      <c r="AA1027" s="975"/>
      <c r="AB1027" s="975"/>
      <c r="AC1027" s="975"/>
      <c r="AD1027" s="975"/>
      <c r="AE1027" s="975"/>
      <c r="AF1027" s="975"/>
      <c r="AG1027" s="975"/>
      <c r="AH1027" s="975"/>
      <c r="AI1027" s="975"/>
      <c r="AJ1027" s="975"/>
      <c r="AK1027" s="975"/>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 customHeight="1">
      <c r="A1028" s="1"/>
      <c r="B1028" s="1"/>
      <c r="C1028" s="12"/>
      <c r="D1028" s="975"/>
      <c r="E1028" s="975"/>
      <c r="F1028" s="975"/>
      <c r="G1028" s="975"/>
      <c r="H1028" s="975"/>
      <c r="I1028" s="975"/>
      <c r="J1028" s="975"/>
      <c r="K1028" s="975"/>
      <c r="L1028" s="975"/>
      <c r="M1028" s="975"/>
      <c r="N1028" s="975"/>
      <c r="O1028" s="975"/>
      <c r="P1028" s="975"/>
      <c r="Q1028" s="975"/>
      <c r="R1028" s="975"/>
      <c r="S1028" s="975"/>
      <c r="T1028" s="975"/>
      <c r="U1028" s="975"/>
      <c r="V1028" s="975"/>
      <c r="W1028" s="975"/>
      <c r="X1028" s="975"/>
      <c r="Y1028" s="975"/>
      <c r="Z1028" s="975"/>
      <c r="AA1028" s="975"/>
      <c r="AB1028" s="975"/>
      <c r="AC1028" s="975"/>
      <c r="AD1028" s="975"/>
      <c r="AE1028" s="975"/>
      <c r="AF1028" s="975"/>
      <c r="AG1028" s="975"/>
      <c r="AH1028" s="975"/>
      <c r="AI1028" s="975"/>
      <c r="AJ1028" s="975"/>
      <c r="AK1028" s="975"/>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 hidden="1" customHeight="1">
      <c r="A1029" s="1"/>
      <c r="B1029" s="1"/>
      <c r="C1029" s="12"/>
      <c r="D1029" s="975"/>
      <c r="E1029" s="975"/>
      <c r="F1029" s="975"/>
      <c r="G1029" s="975"/>
      <c r="H1029" s="975"/>
      <c r="I1029" s="975"/>
      <c r="J1029" s="975"/>
      <c r="K1029" s="975"/>
      <c r="L1029" s="975"/>
      <c r="M1029" s="975"/>
      <c r="N1029" s="975"/>
      <c r="O1029" s="975"/>
      <c r="P1029" s="975"/>
      <c r="Q1029" s="975"/>
      <c r="R1029" s="975"/>
      <c r="S1029" s="975"/>
      <c r="T1029" s="975"/>
      <c r="U1029" s="975"/>
      <c r="V1029" s="975"/>
      <c r="W1029" s="975"/>
      <c r="X1029" s="975"/>
      <c r="Y1029" s="975"/>
      <c r="Z1029" s="975"/>
      <c r="AA1029" s="975"/>
      <c r="AB1029" s="975"/>
      <c r="AC1029" s="975"/>
      <c r="AD1029" s="975"/>
      <c r="AE1029" s="975"/>
      <c r="AF1029" s="975"/>
      <c r="AG1029" s="975"/>
      <c r="AH1029" s="975"/>
      <c r="AI1029" s="975"/>
      <c r="AJ1029" s="975"/>
      <c r="AK1029" s="975"/>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 customHeight="1">
      <c r="A1030" s="44"/>
      <c r="B1030" s="32"/>
      <c r="C1030" s="12"/>
      <c r="D1030" s="975"/>
      <c r="E1030" s="975"/>
      <c r="F1030" s="975"/>
      <c r="G1030" s="975"/>
      <c r="H1030" s="975"/>
      <c r="I1030" s="975"/>
      <c r="J1030" s="975"/>
      <c r="K1030" s="975"/>
      <c r="L1030" s="975"/>
      <c r="M1030" s="975"/>
      <c r="N1030" s="975"/>
      <c r="O1030" s="975"/>
      <c r="P1030" s="975"/>
      <c r="Q1030" s="975"/>
      <c r="R1030" s="975"/>
      <c r="S1030" s="975"/>
      <c r="T1030" s="975"/>
      <c r="U1030" s="975"/>
      <c r="V1030" s="975"/>
      <c r="W1030" s="975"/>
      <c r="X1030" s="975"/>
      <c r="Y1030" s="975"/>
      <c r="Z1030" s="975"/>
      <c r="AA1030" s="975"/>
      <c r="AB1030" s="975"/>
      <c r="AC1030" s="975"/>
      <c r="AD1030" s="975"/>
      <c r="AE1030" s="975"/>
      <c r="AF1030" s="975"/>
      <c r="AG1030" s="975"/>
      <c r="AH1030" s="975"/>
      <c r="AI1030" s="975"/>
      <c r="AJ1030" s="975"/>
      <c r="AK1030" s="975"/>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 customHeight="1">
      <c r="A1031" s="1109" t="s">
        <v>131</v>
      </c>
      <c r="B1031" s="1109"/>
      <c r="C1031" s="12">
        <v>6</v>
      </c>
      <c r="D1031" s="975" t="s">
        <v>1587</v>
      </c>
      <c r="E1031" s="975"/>
      <c r="F1031" s="975"/>
      <c r="G1031" s="975"/>
      <c r="H1031" s="975"/>
      <c r="I1031" s="975"/>
      <c r="J1031" s="975"/>
      <c r="K1031" s="975"/>
      <c r="L1031" s="975"/>
      <c r="M1031" s="975"/>
      <c r="N1031" s="975"/>
      <c r="O1031" s="975"/>
      <c r="P1031" s="975"/>
      <c r="Q1031" s="975"/>
      <c r="R1031" s="975"/>
      <c r="S1031" s="975"/>
      <c r="T1031" s="975"/>
      <c r="U1031" s="975"/>
      <c r="V1031" s="975"/>
      <c r="W1031" s="975"/>
      <c r="X1031" s="975"/>
      <c r="Y1031" s="975"/>
      <c r="Z1031" s="975"/>
      <c r="AA1031" s="975"/>
      <c r="AB1031" s="975"/>
      <c r="AC1031" s="975"/>
      <c r="AD1031" s="975"/>
      <c r="AE1031" s="975"/>
      <c r="AF1031" s="975"/>
      <c r="AG1031" s="975"/>
      <c r="AH1031" s="975"/>
      <c r="AI1031" s="975"/>
      <c r="AJ1031" s="975"/>
      <c r="AK1031" s="975"/>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 customHeight="1">
      <c r="A1032" s="44"/>
      <c r="B1032" s="32"/>
      <c r="C1032" s="12"/>
      <c r="D1032" s="975"/>
      <c r="E1032" s="975"/>
      <c r="F1032" s="975"/>
      <c r="G1032" s="975"/>
      <c r="H1032" s="975"/>
      <c r="I1032" s="975"/>
      <c r="J1032" s="975"/>
      <c r="K1032" s="975"/>
      <c r="L1032" s="975"/>
      <c r="M1032" s="975"/>
      <c r="N1032" s="975"/>
      <c r="O1032" s="975"/>
      <c r="P1032" s="975"/>
      <c r="Q1032" s="975"/>
      <c r="R1032" s="975"/>
      <c r="S1032" s="975"/>
      <c r="T1032" s="975"/>
      <c r="U1032" s="975"/>
      <c r="V1032" s="975"/>
      <c r="W1032" s="975"/>
      <c r="X1032" s="975"/>
      <c r="Y1032" s="975"/>
      <c r="Z1032" s="975"/>
      <c r="AA1032" s="975"/>
      <c r="AB1032" s="975"/>
      <c r="AC1032" s="975"/>
      <c r="AD1032" s="975"/>
      <c r="AE1032" s="975"/>
      <c r="AF1032" s="975"/>
      <c r="AG1032" s="975"/>
      <c r="AH1032" s="975"/>
      <c r="AI1032" s="975"/>
      <c r="AJ1032" s="975"/>
      <c r="AK1032" s="975"/>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 customHeight="1">
      <c r="A1033" s="44"/>
      <c r="B1033" s="32"/>
      <c r="C1033" s="12"/>
      <c r="D1033" s="975"/>
      <c r="E1033" s="975"/>
      <c r="F1033" s="975"/>
      <c r="G1033" s="975"/>
      <c r="H1033" s="975"/>
      <c r="I1033" s="975"/>
      <c r="J1033" s="975"/>
      <c r="K1033" s="975"/>
      <c r="L1033" s="975"/>
      <c r="M1033" s="975"/>
      <c r="N1033" s="975"/>
      <c r="O1033" s="975"/>
      <c r="P1033" s="975"/>
      <c r="Q1033" s="975"/>
      <c r="R1033" s="975"/>
      <c r="S1033" s="975"/>
      <c r="T1033" s="975"/>
      <c r="U1033" s="975"/>
      <c r="V1033" s="975"/>
      <c r="W1033" s="975"/>
      <c r="X1033" s="975"/>
      <c r="Y1033" s="975"/>
      <c r="Z1033" s="975"/>
      <c r="AA1033" s="975"/>
      <c r="AB1033" s="975"/>
      <c r="AC1033" s="975"/>
      <c r="AD1033" s="975"/>
      <c r="AE1033" s="975"/>
      <c r="AF1033" s="975"/>
      <c r="AG1033" s="975"/>
      <c r="AH1033" s="975"/>
      <c r="AI1033" s="975"/>
      <c r="AJ1033" s="975"/>
      <c r="AK1033" s="975"/>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 customHeight="1">
      <c r="A1034" s="1109" t="s">
        <v>131</v>
      </c>
      <c r="B1034" s="1109"/>
      <c r="C1034" s="352">
        <v>7</v>
      </c>
      <c r="D1034" s="975" t="s">
        <v>1589</v>
      </c>
      <c r="E1034" s="975"/>
      <c r="F1034" s="975"/>
      <c r="G1034" s="975"/>
      <c r="H1034" s="975"/>
      <c r="I1034" s="975"/>
      <c r="J1034" s="975"/>
      <c r="K1034" s="975"/>
      <c r="L1034" s="975"/>
      <c r="M1034" s="975"/>
      <c r="N1034" s="975"/>
      <c r="O1034" s="975"/>
      <c r="P1034" s="975"/>
      <c r="Q1034" s="975"/>
      <c r="R1034" s="975"/>
      <c r="S1034" s="975"/>
      <c r="T1034" s="975"/>
      <c r="U1034" s="975"/>
      <c r="V1034" s="975"/>
      <c r="W1034" s="975"/>
      <c r="X1034" s="975"/>
      <c r="Y1034" s="975"/>
      <c r="Z1034" s="975"/>
      <c r="AA1034" s="975"/>
      <c r="AB1034" s="975"/>
      <c r="AC1034" s="975"/>
      <c r="AD1034" s="975"/>
      <c r="AE1034" s="975"/>
      <c r="AF1034" s="975"/>
      <c r="AG1034" s="975"/>
      <c r="AH1034" s="975"/>
      <c r="AI1034" s="975"/>
      <c r="AJ1034" s="975"/>
      <c r="AK1034" s="975"/>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 customHeight="1">
      <c r="A1035" s="1"/>
      <c r="B1035" s="1"/>
      <c r="C1035" s="352"/>
      <c r="D1035" s="975"/>
      <c r="E1035" s="975"/>
      <c r="F1035" s="975"/>
      <c r="G1035" s="975"/>
      <c r="H1035" s="975"/>
      <c r="I1035" s="975"/>
      <c r="J1035" s="975"/>
      <c r="K1035" s="975"/>
      <c r="L1035" s="975"/>
      <c r="M1035" s="975"/>
      <c r="N1035" s="975"/>
      <c r="O1035" s="975"/>
      <c r="P1035" s="975"/>
      <c r="Q1035" s="975"/>
      <c r="R1035" s="975"/>
      <c r="S1035" s="975"/>
      <c r="T1035" s="975"/>
      <c r="U1035" s="975"/>
      <c r="V1035" s="975"/>
      <c r="W1035" s="975"/>
      <c r="X1035" s="975"/>
      <c r="Y1035" s="975"/>
      <c r="Z1035" s="975"/>
      <c r="AA1035" s="975"/>
      <c r="AB1035" s="975"/>
      <c r="AC1035" s="975"/>
      <c r="AD1035" s="975"/>
      <c r="AE1035" s="975"/>
      <c r="AF1035" s="975"/>
      <c r="AG1035" s="975"/>
      <c r="AH1035" s="975"/>
      <c r="AI1035" s="975"/>
      <c r="AJ1035" s="975"/>
      <c r="AK1035" s="975"/>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 customHeight="1">
      <c r="A1036" s="1"/>
      <c r="B1036" s="1"/>
      <c r="C1036" s="352"/>
      <c r="D1036" s="975"/>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 customHeight="1">
      <c r="A1037" s="44"/>
      <c r="B1037" s="32"/>
      <c r="C1037" s="35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 customHeight="1">
      <c r="A1038" s="1109" t="s">
        <v>131</v>
      </c>
      <c r="B1038" s="1109"/>
      <c r="C1038" s="352">
        <v>8</v>
      </c>
      <c r="D1038" s="969" t="s">
        <v>2112</v>
      </c>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row>
    <row r="1039" spans="1:97" ht="12.9" customHeight="1">
      <c r="A1039" s="1"/>
      <c r="B1039" s="1"/>
      <c r="C1039" s="35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row>
    <row r="1040" spans="1:97" ht="12.9" customHeight="1">
      <c r="A1040" s="1"/>
      <c r="B1040" s="1"/>
      <c r="C1040" s="35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row>
    <row r="1041" spans="1:38" ht="12.9" customHeight="1">
      <c r="A1041" s="44"/>
      <c r="B1041" s="32"/>
      <c r="C1041" s="35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row>
    <row r="1042" spans="1:38" ht="12.9" customHeight="1">
      <c r="A1042" s="1135" t="s">
        <v>131</v>
      </c>
      <c r="B1042" s="1135"/>
      <c r="C1042" s="352">
        <v>9</v>
      </c>
      <c r="D1042" s="969" t="s">
        <v>1588</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row>
    <row r="1043" spans="1:38" ht="12.9" customHeight="1">
      <c r="A1043" s="44"/>
      <c r="B1043" s="32"/>
      <c r="C1043" s="35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row>
    <row r="1044" spans="1:38" ht="12.9" customHeight="1">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row>
    <row r="1045" spans="1:38" ht="12.9"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U147"/>
  <sheetViews>
    <sheetView tabSelected="1" topLeftCell="C1" workbookViewId="0">
      <selection activeCell="E11" sqref="E11"/>
    </sheetView>
  </sheetViews>
  <sheetFormatPr defaultColWidth="8.88671875" defaultRowHeight="12" zeroHeight="1"/>
  <cols>
    <col min="1" max="1" width="32.5546875" style="489" customWidth="1"/>
    <col min="2" max="12" width="12.109375" style="487" customWidth="1"/>
    <col min="13" max="17" width="11.44140625" style="487" customWidth="1"/>
    <col min="18" max="18" width="12.5546875" style="487" customWidth="1"/>
    <col min="19" max="20" width="12.109375" style="487" customWidth="1"/>
    <col min="21" max="21" width="0.44140625" style="488" customWidth="1"/>
    <col min="22" max="16384" width="8.88671875" style="487"/>
  </cols>
  <sheetData>
    <row r="1" spans="1:21" s="200" customFormat="1" ht="13.8">
      <c r="A1" s="264" t="s">
        <v>140</v>
      </c>
      <c r="B1" s="227"/>
      <c r="C1" s="227"/>
      <c r="D1" s="227"/>
      <c r="E1" s="228"/>
      <c r="F1" s="1562" t="s">
        <v>194</v>
      </c>
      <c r="G1" s="1563"/>
      <c r="H1" s="1563"/>
      <c r="I1" s="1563"/>
      <c r="J1" s="1563"/>
      <c r="K1" s="1563"/>
      <c r="L1" s="1563"/>
      <c r="M1" s="1563"/>
      <c r="N1" s="1563"/>
      <c r="O1" s="1563"/>
      <c r="P1" s="1563"/>
      <c r="Q1" s="1563"/>
      <c r="R1" s="1564"/>
      <c r="S1" s="202"/>
      <c r="T1" s="201"/>
      <c r="U1" s="203"/>
    </row>
    <row r="2" spans="1:21" s="232" customFormat="1" ht="60" customHeight="1">
      <c r="A2" s="231"/>
      <c r="B2" s="232" t="s">
        <v>834</v>
      </c>
      <c r="C2" s="232" t="s">
        <v>536</v>
      </c>
      <c r="D2" s="232" t="s">
        <v>535</v>
      </c>
      <c r="E2" s="232" t="s">
        <v>835</v>
      </c>
      <c r="F2" s="233" t="str">
        <f>Application!B618&amp;Application!C618</f>
        <v xml:space="preserve">1)Lument </v>
      </c>
      <c r="G2" s="233" t="str">
        <f>Application!B619&amp;Application!C619</f>
        <v>2)Pacific Housing, Inc.</v>
      </c>
      <c r="H2" s="233" t="str">
        <f>Application!B620&amp;Application!C620</f>
        <v>3)</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836</v>
      </c>
      <c r="U2" s="234"/>
    </row>
    <row r="3" spans="1:21" s="238" customFormat="1" ht="11.4">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71</v>
      </c>
      <c r="B4" s="240">
        <f>SUM(C4+D4)</f>
        <v>725000</v>
      </c>
      <c r="C4" s="241">
        <v>725000</v>
      </c>
      <c r="D4" s="241"/>
      <c r="E4" s="241"/>
      <c r="F4" s="241">
        <v>725000</v>
      </c>
      <c r="G4" s="241"/>
      <c r="H4" s="241"/>
      <c r="I4" s="241"/>
      <c r="J4" s="241"/>
      <c r="K4" s="241"/>
      <c r="L4" s="241"/>
      <c r="M4" s="241"/>
      <c r="N4" s="241"/>
      <c r="O4" s="241"/>
      <c r="P4" s="241"/>
      <c r="Q4" s="241"/>
      <c r="R4" s="241">
        <f>C4</f>
        <v>725000</v>
      </c>
      <c r="S4" s="242"/>
      <c r="T4" s="242"/>
      <c r="U4" s="237"/>
    </row>
    <row r="5" spans="1:21" s="238" customFormat="1" ht="13.2">
      <c r="A5" s="300" t="s">
        <v>72</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363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295</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738</v>
      </c>
      <c r="B8" s="240">
        <f>SUM(C8:D8)</f>
        <v>725000</v>
      </c>
      <c r="C8" s="240">
        <f t="shared" ref="C8:R8" si="0">SUM(C4:C7)</f>
        <v>725000</v>
      </c>
      <c r="D8" s="240">
        <f t="shared" si="0"/>
        <v>0</v>
      </c>
      <c r="E8" s="240">
        <f t="shared" si="0"/>
        <v>0</v>
      </c>
      <c r="F8" s="240">
        <f t="shared" si="0"/>
        <v>725000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725000</v>
      </c>
      <c r="S8" s="242"/>
      <c r="T8" s="242"/>
      <c r="U8" s="237"/>
    </row>
    <row r="9" spans="1:21" s="238" customFormat="1" ht="11.4">
      <c r="A9" s="239" t="s">
        <v>1791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73</v>
      </c>
      <c r="B10" s="240">
        <f>SUM(C10+D10)</f>
        <v>222673</v>
      </c>
      <c r="C10" s="241">
        <v>222673</v>
      </c>
      <c r="D10" s="241"/>
      <c r="E10" s="241">
        <v>222673</v>
      </c>
      <c r="F10" s="241"/>
      <c r="G10" s="241"/>
      <c r="H10" s="241"/>
      <c r="I10" s="241"/>
      <c r="J10" s="241"/>
      <c r="K10" s="241"/>
      <c r="L10" s="241"/>
      <c r="M10" s="241"/>
      <c r="N10" s="241"/>
      <c r="O10" s="241"/>
      <c r="P10" s="241"/>
      <c r="Q10" s="241"/>
      <c r="R10" s="241">
        <f>SUM(E10:Q10)</f>
        <v>222673</v>
      </c>
      <c r="S10" s="241">
        <f>C10</f>
        <v>222673</v>
      </c>
      <c r="T10" s="241"/>
      <c r="U10" s="237"/>
    </row>
    <row r="11" spans="1:21" s="238" customFormat="1">
      <c r="A11" s="243" t="s">
        <v>615</v>
      </c>
      <c r="B11" s="240">
        <f>SUM(C11:D11)</f>
        <v>222673</v>
      </c>
      <c r="C11" s="240">
        <f t="shared" ref="C11:T11" si="1">SUM(C9:C10)</f>
        <v>222673</v>
      </c>
      <c r="D11" s="240">
        <f t="shared" si="1"/>
        <v>0</v>
      </c>
      <c r="E11" s="240">
        <f t="shared" si="1"/>
        <v>222673</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222673</v>
      </c>
      <c r="S11" s="242"/>
      <c r="T11" s="240">
        <f t="shared" si="1"/>
        <v>0</v>
      </c>
      <c r="U11" s="237"/>
    </row>
    <row r="12" spans="1:21" s="238" customFormat="1">
      <c r="A12" s="243" t="s">
        <v>745</v>
      </c>
      <c r="B12" s="240">
        <f t="shared" ref="B12:R12" si="2">SUM(B8+B11)</f>
        <v>947673</v>
      </c>
      <c r="C12" s="240">
        <f t="shared" si="2"/>
        <v>947673</v>
      </c>
      <c r="D12" s="240">
        <f t="shared" si="2"/>
        <v>0</v>
      </c>
      <c r="E12" s="240">
        <f t="shared" si="2"/>
        <v>222673</v>
      </c>
      <c r="F12" s="240">
        <f t="shared" si="2"/>
        <v>725000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947673</v>
      </c>
      <c r="S12" s="242"/>
      <c r="T12" s="242"/>
      <c r="U12" s="237"/>
    </row>
    <row r="13" spans="1:21" s="238" customFormat="1" ht="11.4">
      <c r="A13" s="461" t="s">
        <v>1155</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2046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235</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952</v>
      </c>
      <c r="B29" s="240">
        <f t="shared" ref="B29:B38" si="6">SUM(C29+D29)</f>
        <v>1127327</v>
      </c>
      <c r="C29" s="241">
        <v>1127327</v>
      </c>
      <c r="D29" s="241"/>
      <c r="E29" s="241">
        <v>1127327</v>
      </c>
      <c r="F29" s="241"/>
      <c r="G29" s="241"/>
      <c r="H29" s="241"/>
      <c r="I29" s="241"/>
      <c r="J29" s="241"/>
      <c r="K29" s="241"/>
      <c r="L29" s="241"/>
      <c r="M29" s="241"/>
      <c r="N29" s="241"/>
      <c r="O29" s="241"/>
      <c r="P29" s="241"/>
      <c r="Q29" s="241"/>
      <c r="R29" s="241">
        <f t="shared" ref="R29:R37" si="7">SUM(E29:Q29)</f>
        <v>1127327</v>
      </c>
      <c r="S29" s="241">
        <v>1127327</v>
      </c>
      <c r="T29" s="241"/>
      <c r="U29" s="237"/>
    </row>
    <row r="30" spans="1:21" s="238" customFormat="1" ht="11.4">
      <c r="A30" s="239" t="s">
        <v>953</v>
      </c>
      <c r="B30" s="240">
        <f t="shared" si="6"/>
        <v>5685210</v>
      </c>
      <c r="C30" s="241">
        <v>5685210</v>
      </c>
      <c r="D30" s="241"/>
      <c r="E30" s="241">
        <v>4652043</v>
      </c>
      <c r="F30" s="241">
        <v>1033167</v>
      </c>
      <c r="G30" s="241"/>
      <c r="H30" s="241"/>
      <c r="I30" s="241"/>
      <c r="J30" s="241"/>
      <c r="K30" s="241"/>
      <c r="L30" s="241"/>
      <c r="M30" s="241"/>
      <c r="N30" s="241"/>
      <c r="O30" s="241"/>
      <c r="P30" s="241"/>
      <c r="Q30" s="241"/>
      <c r="R30" s="241">
        <f t="shared" si="7"/>
        <v>5685210</v>
      </c>
      <c r="S30" s="241">
        <v>5685210</v>
      </c>
      <c r="T30" s="241"/>
      <c r="U30" s="237"/>
    </row>
    <row r="31" spans="1:21" s="238" customFormat="1" ht="11.4">
      <c r="A31" s="239" t="s">
        <v>954</v>
      </c>
      <c r="B31" s="240">
        <f t="shared" si="6"/>
        <v>422113</v>
      </c>
      <c r="C31" s="241">
        <v>422113</v>
      </c>
      <c r="D31" s="241"/>
      <c r="E31" s="241">
        <v>422113</v>
      </c>
      <c r="F31" s="241"/>
      <c r="G31" s="241"/>
      <c r="H31" s="241"/>
      <c r="I31" s="241"/>
      <c r="J31" s="241"/>
      <c r="K31" s="241"/>
      <c r="L31" s="241"/>
      <c r="M31" s="241"/>
      <c r="N31" s="241"/>
      <c r="O31" s="241"/>
      <c r="P31" s="241"/>
      <c r="Q31" s="241"/>
      <c r="R31" s="241">
        <f t="shared" si="7"/>
        <v>422113</v>
      </c>
      <c r="S31" s="241">
        <v>422113</v>
      </c>
      <c r="T31" s="241"/>
      <c r="U31" s="237"/>
    </row>
    <row r="32" spans="1:21" s="238" customFormat="1" ht="11.4">
      <c r="A32" s="239" t="s">
        <v>955</v>
      </c>
      <c r="B32" s="240">
        <f t="shared" si="6"/>
        <v>140704</v>
      </c>
      <c r="C32" s="241">
        <v>140704</v>
      </c>
      <c r="D32" s="241"/>
      <c r="E32" s="241">
        <v>140704</v>
      </c>
      <c r="F32" s="241"/>
      <c r="G32" s="241"/>
      <c r="H32" s="241"/>
      <c r="I32" s="241"/>
      <c r="J32" s="241"/>
      <c r="K32" s="241"/>
      <c r="L32" s="241"/>
      <c r="M32" s="241"/>
      <c r="N32" s="241"/>
      <c r="O32" s="241"/>
      <c r="P32" s="241"/>
      <c r="Q32" s="241"/>
      <c r="R32" s="241">
        <f t="shared" si="7"/>
        <v>140704</v>
      </c>
      <c r="S32" s="241">
        <v>140704</v>
      </c>
      <c r="T32" s="241"/>
      <c r="U32" s="237"/>
    </row>
    <row r="33" spans="1:21" s="238" customFormat="1" ht="11.4">
      <c r="A33" s="239" t="s">
        <v>956</v>
      </c>
      <c r="B33" s="240">
        <f t="shared" si="6"/>
        <v>422113</v>
      </c>
      <c r="C33" s="241">
        <v>422113</v>
      </c>
      <c r="D33" s="241"/>
      <c r="E33" s="241">
        <v>422113</v>
      </c>
      <c r="F33" s="241"/>
      <c r="G33" s="241"/>
      <c r="H33" s="241"/>
      <c r="I33" s="241"/>
      <c r="J33" s="241"/>
      <c r="K33" s="241"/>
      <c r="L33" s="241"/>
      <c r="M33" s="241"/>
      <c r="N33" s="241"/>
      <c r="O33" s="241"/>
      <c r="P33" s="241"/>
      <c r="Q33" s="241"/>
      <c r="R33" s="241">
        <f t="shared" si="7"/>
        <v>422113</v>
      </c>
      <c r="S33" s="241">
        <v>422113</v>
      </c>
      <c r="T33" s="241"/>
      <c r="U33" s="237"/>
    </row>
    <row r="34" spans="1:21" s="238" customFormat="1" ht="11.4">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958</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ht="11.4">
      <c r="A36" s="250" t="s">
        <v>2046</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961</v>
      </c>
      <c r="B38" s="240">
        <f t="shared" si="6"/>
        <v>7797467</v>
      </c>
      <c r="C38" s="240">
        <f>SUM(C29:C37)</f>
        <v>7797467</v>
      </c>
      <c r="D38" s="240">
        <f>SUM(D29:D37)</f>
        <v>0</v>
      </c>
      <c r="E38" s="240">
        <f>SUM(E29:E37)</f>
        <v>6764300</v>
      </c>
      <c r="F38" s="240">
        <f t="shared" ref="F38:T38" si="8">SUM(F29:F37)</f>
        <v>1033167</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7797467</v>
      </c>
      <c r="S38" s="244">
        <f t="shared" si="8"/>
        <v>7797467</v>
      </c>
      <c r="T38" s="244">
        <f t="shared" si="8"/>
        <v>0</v>
      </c>
      <c r="U38" s="237"/>
    </row>
    <row r="39" spans="1:21" s="238" customFormat="1" ht="11.4">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963</v>
      </c>
      <c r="B40" s="240">
        <f>SUM(C40+D40)</f>
        <v>400000</v>
      </c>
      <c r="C40" s="241">
        <v>400000</v>
      </c>
      <c r="D40" s="241"/>
      <c r="E40" s="241">
        <v>400000</v>
      </c>
      <c r="F40" s="241"/>
      <c r="G40" s="241"/>
      <c r="H40" s="241"/>
      <c r="I40" s="241"/>
      <c r="J40" s="241"/>
      <c r="K40" s="241"/>
      <c r="L40" s="241"/>
      <c r="M40" s="241"/>
      <c r="N40" s="241"/>
      <c r="O40" s="241"/>
      <c r="P40" s="241"/>
      <c r="Q40" s="241"/>
      <c r="R40" s="241">
        <f>SUM(E40:Q40)</f>
        <v>400000</v>
      </c>
      <c r="S40" s="241">
        <v>400000</v>
      </c>
      <c r="T40" s="241"/>
      <c r="U40" s="237"/>
    </row>
    <row r="41" spans="1:21" s="238" customFormat="1" ht="11.4">
      <c r="A41" s="239" t="s">
        <v>964</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965</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966</v>
      </c>
      <c r="B43" s="240">
        <f>SUM(C43:D43)</f>
        <v>300000</v>
      </c>
      <c r="C43" s="241">
        <v>300000</v>
      </c>
      <c r="D43" s="241"/>
      <c r="E43" s="241">
        <v>300000</v>
      </c>
      <c r="F43" s="241">
        <v>0</v>
      </c>
      <c r="G43" s="241"/>
      <c r="H43" s="241"/>
      <c r="I43" s="241"/>
      <c r="J43" s="241"/>
      <c r="K43" s="241"/>
      <c r="L43" s="241"/>
      <c r="M43" s="241"/>
      <c r="N43" s="241"/>
      <c r="O43" s="241"/>
      <c r="P43" s="241"/>
      <c r="Q43" s="241"/>
      <c r="R43" s="241">
        <f>SUM(E43:Q43)</f>
        <v>300000</v>
      </c>
      <c r="S43" s="241">
        <v>300000</v>
      </c>
      <c r="T43" s="241"/>
      <c r="U43" s="237"/>
    </row>
    <row r="44" spans="1:21" s="238" customFormat="1" ht="11.4">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968</v>
      </c>
      <c r="B45" s="240">
        <f t="shared" ref="B45:B52" si="10">SUM(C45+D45)</f>
        <v>450000</v>
      </c>
      <c r="C45" s="241">
        <v>450000</v>
      </c>
      <c r="D45" s="241"/>
      <c r="E45" s="241">
        <v>450000</v>
      </c>
      <c r="F45" s="241"/>
      <c r="G45" s="241"/>
      <c r="H45" s="241"/>
      <c r="I45" s="241"/>
      <c r="J45" s="241"/>
      <c r="K45" s="241"/>
      <c r="L45" s="241"/>
      <c r="M45" s="241"/>
      <c r="N45" s="241"/>
      <c r="O45" s="241"/>
      <c r="P45" s="241"/>
      <c r="Q45" s="241"/>
      <c r="R45" s="241">
        <f t="shared" ref="R45:R52" si="11">SUM(E45:Q45)</f>
        <v>450000</v>
      </c>
      <c r="S45" s="241">
        <v>450000</v>
      </c>
      <c r="T45" s="241"/>
      <c r="U45" s="237"/>
    </row>
    <row r="46" spans="1:21" s="238" customFormat="1" ht="11.4">
      <c r="A46" s="239" t="s">
        <v>969</v>
      </c>
      <c r="B46" s="240">
        <f t="shared" si="10"/>
        <v>70000</v>
      </c>
      <c r="C46" s="241">
        <v>70000</v>
      </c>
      <c r="D46" s="241"/>
      <c r="E46" s="241">
        <v>70000</v>
      </c>
      <c r="F46" s="241"/>
      <c r="G46" s="241"/>
      <c r="H46" s="241"/>
      <c r="I46" s="241"/>
      <c r="J46" s="241"/>
      <c r="K46" s="241"/>
      <c r="L46" s="241"/>
      <c r="M46" s="241"/>
      <c r="N46" s="241"/>
      <c r="O46" s="241"/>
      <c r="P46" s="241"/>
      <c r="Q46" s="241"/>
      <c r="R46" s="241">
        <f t="shared" si="11"/>
        <v>70000</v>
      </c>
      <c r="S46" s="241">
        <v>70000</v>
      </c>
      <c r="T46" s="241"/>
      <c r="U46" s="237"/>
    </row>
    <row r="47" spans="1:21" s="238" customFormat="1" ht="12" customHeight="1">
      <c r="A47" s="239" t="s">
        <v>970</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971</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974</v>
      </c>
      <c r="B49" s="240">
        <f t="shared" si="10"/>
        <v>99900</v>
      </c>
      <c r="C49" s="241">
        <v>99900</v>
      </c>
      <c r="D49" s="241"/>
      <c r="E49" s="241">
        <v>99900</v>
      </c>
      <c r="F49" s="241"/>
      <c r="G49" s="241"/>
      <c r="H49" s="241"/>
      <c r="I49" s="241"/>
      <c r="J49" s="241"/>
      <c r="K49" s="241"/>
      <c r="L49" s="241"/>
      <c r="M49" s="241"/>
      <c r="N49" s="241"/>
      <c r="O49" s="241"/>
      <c r="P49" s="241"/>
      <c r="Q49" s="241"/>
      <c r="R49" s="241">
        <f t="shared" si="11"/>
        <v>99900</v>
      </c>
      <c r="S49" s="241">
        <v>99900</v>
      </c>
      <c r="T49" s="241"/>
      <c r="U49" s="237"/>
    </row>
    <row r="50" spans="1:21" s="238" customFormat="1" ht="11.4">
      <c r="A50" s="239" t="s">
        <v>972</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v>10000</v>
      </c>
      <c r="T50" s="241"/>
      <c r="U50" s="237"/>
    </row>
    <row r="51" spans="1:21" s="238" customFormat="1" ht="11.4">
      <c r="A51" s="239" t="s">
        <v>973</v>
      </c>
      <c r="B51" s="240">
        <f t="shared" si="10"/>
        <v>50000</v>
      </c>
      <c r="C51" s="241">
        <v>50000</v>
      </c>
      <c r="D51" s="241"/>
      <c r="E51" s="241">
        <v>50000</v>
      </c>
      <c r="F51" s="241"/>
      <c r="G51" s="241"/>
      <c r="H51" s="241"/>
      <c r="I51" s="241"/>
      <c r="J51" s="241"/>
      <c r="K51" s="241"/>
      <c r="L51" s="241"/>
      <c r="M51" s="241"/>
      <c r="N51" s="241"/>
      <c r="O51" s="241"/>
      <c r="P51" s="241"/>
      <c r="Q51" s="241"/>
      <c r="R51" s="241">
        <f t="shared" si="11"/>
        <v>50000</v>
      </c>
      <c r="S51" s="241">
        <v>50000</v>
      </c>
      <c r="T51" s="241"/>
      <c r="U51" s="237"/>
    </row>
    <row r="52" spans="1:21" s="238" customFormat="1" ht="11.4">
      <c r="A52" s="246" t="s">
        <v>562</v>
      </c>
      <c r="B52" s="240">
        <f t="shared" si="10"/>
        <v>0</v>
      </c>
      <c r="C52" s="241"/>
      <c r="D52" s="241"/>
      <c r="E52" s="241"/>
      <c r="F52" s="241"/>
      <c r="G52" s="241"/>
      <c r="H52" s="241"/>
      <c r="I52" s="241"/>
      <c r="J52" s="241"/>
      <c r="K52" s="241"/>
      <c r="L52" s="241"/>
      <c r="M52" s="241"/>
      <c r="N52" s="241"/>
      <c r="O52" s="241"/>
      <c r="P52" s="241"/>
      <c r="Q52" s="241"/>
      <c r="R52" s="241">
        <f t="shared" si="11"/>
        <v>0</v>
      </c>
      <c r="S52" s="241"/>
      <c r="T52" s="241"/>
      <c r="U52" s="237"/>
    </row>
    <row r="53" spans="1:21" s="248" customFormat="1">
      <c r="A53" s="243" t="s">
        <v>975</v>
      </c>
      <c r="B53" s="244">
        <f>SUM(C53:D53)</f>
        <v>679900</v>
      </c>
      <c r="C53" s="244">
        <f t="shared" ref="C53:T53" si="12">SUM(C45:C52)</f>
        <v>679900</v>
      </c>
      <c r="D53" s="244">
        <f t="shared" si="12"/>
        <v>0</v>
      </c>
      <c r="E53" s="244">
        <f t="shared" si="12"/>
        <v>679900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679900</v>
      </c>
      <c r="S53" s="244">
        <f t="shared" si="12"/>
        <v>679900</v>
      </c>
      <c r="T53" s="244">
        <f t="shared" si="12"/>
        <v>0</v>
      </c>
      <c r="U53" s="247"/>
    </row>
    <row r="54" spans="1:21" s="238" customFormat="1" ht="11.4">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976</v>
      </c>
      <c r="B55" s="240">
        <f t="shared" ref="B55:B60" si="13">SUM(C55+D55)</f>
        <v>40000</v>
      </c>
      <c r="C55" s="241">
        <v>40000</v>
      </c>
      <c r="D55" s="241"/>
      <c r="E55" s="241">
        <v>40000</v>
      </c>
      <c r="F55" s="241"/>
      <c r="G55" s="241"/>
      <c r="H55" s="241"/>
      <c r="I55" s="241"/>
      <c r="J55" s="241"/>
      <c r="K55" s="241"/>
      <c r="L55" s="241"/>
      <c r="M55" s="241"/>
      <c r="N55" s="241"/>
      <c r="O55" s="241"/>
      <c r="P55" s="241"/>
      <c r="Q55" s="241"/>
      <c r="R55" s="241">
        <f t="shared" ref="R55:R60" si="14">SUM(E55:Q55)</f>
        <v>40000</v>
      </c>
      <c r="S55" s="242"/>
      <c r="T55" s="242"/>
      <c r="U55" s="237"/>
    </row>
    <row r="56" spans="1:21" s="238" customFormat="1" ht="12" customHeight="1">
      <c r="A56" s="239" t="s">
        <v>970</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ht="11.4">
      <c r="A57" s="239" t="s">
        <v>974</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ht="11.4">
      <c r="A58" s="239" t="s">
        <v>972</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973</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562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5" customHeight="1">
      <c r="A61" s="243" t="s">
        <v>527</v>
      </c>
      <c r="B61" s="240">
        <f>SUM(C61:D61)</f>
        <v>40000</v>
      </c>
      <c r="C61" s="240">
        <f t="shared" ref="C61:R61" si="15">SUM(C55:C60)</f>
        <v>40000</v>
      </c>
      <c r="D61" s="240">
        <f t="shared" si="15"/>
        <v>0</v>
      </c>
      <c r="E61" s="240">
        <f t="shared" si="15"/>
        <v>40000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40000</v>
      </c>
      <c r="S61" s="242"/>
      <c r="T61" s="242"/>
      <c r="U61" s="237"/>
    </row>
    <row r="62" spans="1:21" s="238" customFormat="1" ht="11.4">
      <c r="A62" s="249" t="s">
        <v>528</v>
      </c>
      <c r="B62" s="240">
        <f>SUM(C62:D62)</f>
        <v>10165040</v>
      </c>
      <c r="C62" s="240">
        <f t="shared" ref="C62:R62" si="16">SUM(C8+C11+C13+C14+C15+C26+C27+C38+C42+C43+C53+C61)</f>
        <v>10165040</v>
      </c>
      <c r="D62" s="240">
        <f t="shared" si="16"/>
        <v>0</v>
      </c>
      <c r="E62" s="240">
        <f t="shared" si="16"/>
        <v>8406873</v>
      </c>
      <c r="F62" s="240">
        <f t="shared" si="16"/>
        <v>1758167</v>
      </c>
      <c r="G62" s="240">
        <f t="shared" si="16"/>
        <v>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10165040</v>
      </c>
      <c r="S62" s="240">
        <f>SUM(S10+S13+S14+S15+S26+S27+S38+S42+S43+S53)</f>
        <v>9400040</v>
      </c>
      <c r="T62" s="240">
        <f>SUM(T11+T13+T14+T15+T26+T27+T38+T42+T43+T53)</f>
        <v>0</v>
      </c>
      <c r="U62" s="237"/>
    </row>
    <row r="63" spans="1:21" s="238" customFormat="1" ht="22.8">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297</v>
      </c>
      <c r="B64" s="240">
        <f>SUM(C64+D64)</f>
        <v>60000</v>
      </c>
      <c r="C64" s="241">
        <v>60000</v>
      </c>
      <c r="D64" s="241"/>
      <c r="E64" s="241">
        <v>60000</v>
      </c>
      <c r="F64" s="241"/>
      <c r="G64" s="241"/>
      <c r="H64" s="241"/>
      <c r="I64" s="241"/>
      <c r="J64" s="241"/>
      <c r="K64" s="241"/>
      <c r="L64" s="241"/>
      <c r="M64" s="241"/>
      <c r="N64" s="241"/>
      <c r="O64" s="241"/>
      <c r="P64" s="241"/>
      <c r="Q64" s="241"/>
      <c r="R64" s="241">
        <f>SUM(E64:Q64)</f>
        <v>60000</v>
      </c>
      <c r="S64" s="241">
        <v>60000</v>
      </c>
      <c r="T64" s="241"/>
      <c r="U64" s="237"/>
    </row>
    <row r="65" spans="1:21" s="238" customFormat="1" ht="22.8">
      <c r="A65" s="239" t="s">
        <v>2048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2049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2050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2389</v>
      </c>
      <c r="B68" s="240">
        <f>SUM(C68+D68)</f>
        <v>50000</v>
      </c>
      <c r="C68" s="241">
        <v>50000</v>
      </c>
      <c r="D68" s="241"/>
      <c r="E68" s="241">
        <v>50000</v>
      </c>
      <c r="F68" s="241"/>
      <c r="G68" s="241"/>
      <c r="H68" s="241"/>
      <c r="I68" s="241"/>
      <c r="J68" s="241"/>
      <c r="K68" s="241"/>
      <c r="L68" s="241"/>
      <c r="M68" s="241"/>
      <c r="N68" s="241"/>
      <c r="O68" s="241"/>
      <c r="P68" s="241"/>
      <c r="Q68" s="241"/>
      <c r="R68" s="241">
        <f>SUM(E68:Q68)</f>
        <v>50000</v>
      </c>
      <c r="S68" s="241">
        <v>50000</v>
      </c>
      <c r="T68" s="241"/>
      <c r="U68" s="237"/>
    </row>
    <row r="69" spans="1:21" s="238" customFormat="1">
      <c r="A69" s="243" t="s">
        <v>2051</v>
      </c>
      <c r="B69" s="240">
        <f>SUM(C69:D69)</f>
        <v>110000</v>
      </c>
      <c r="C69" s="240">
        <f>SUM(C63:C68)</f>
        <v>110000</v>
      </c>
      <c r="D69" s="240">
        <f>SUM(D63:D68)</f>
        <v>0</v>
      </c>
      <c r="E69" s="240">
        <f t="shared" ref="E69:T69" si="17">SUM(E64:E68)</f>
        <v>110000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110000</v>
      </c>
      <c r="S69" s="244">
        <f t="shared" si="17"/>
        <v>110000</v>
      </c>
      <c r="T69" s="244">
        <f t="shared" si="17"/>
        <v>0</v>
      </c>
      <c r="U69" s="237"/>
    </row>
    <row r="70" spans="1:21" s="238" customFormat="1" ht="11.4">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299</v>
      </c>
      <c r="B71" s="240">
        <f>SUM(C71+D71)</f>
        <v>200000</v>
      </c>
      <c r="C71" s="241">
        <v>200000</v>
      </c>
      <c r="D71" s="241"/>
      <c r="E71" s="241">
        <v>200000</v>
      </c>
      <c r="F71" s="241"/>
      <c r="G71" s="241"/>
      <c r="H71" s="241"/>
      <c r="I71" s="241"/>
      <c r="J71" s="241"/>
      <c r="K71" s="241"/>
      <c r="L71" s="241"/>
      <c r="M71" s="241"/>
      <c r="N71" s="241"/>
      <c r="O71" s="241"/>
      <c r="P71" s="241"/>
      <c r="Q71" s="241"/>
      <c r="R71" s="241">
        <f>SUM(E71:Q71)</f>
        <v>200000</v>
      </c>
      <c r="S71" s="242"/>
      <c r="T71" s="242"/>
      <c r="U71" s="237"/>
    </row>
    <row r="72" spans="1:21" s="238" customFormat="1" ht="11.4">
      <c r="A72" s="239" t="s">
        <v>300</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61" t="s">
        <v>1290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301</v>
      </c>
      <c r="B74" s="240">
        <f>SUM(C74+D74)</f>
        <v>228429</v>
      </c>
      <c r="C74" s="241">
        <v>228429</v>
      </c>
      <c r="D74" s="241"/>
      <c r="E74" s="241">
        <v>228429</v>
      </c>
      <c r="F74" s="241"/>
      <c r="G74" s="241"/>
      <c r="H74" s="241"/>
      <c r="I74" s="241"/>
      <c r="J74" s="241"/>
      <c r="K74" s="241"/>
      <c r="L74" s="241"/>
      <c r="M74" s="241"/>
      <c r="N74" s="241"/>
      <c r="O74" s="241"/>
      <c r="P74" s="241"/>
      <c r="Q74" s="241"/>
      <c r="R74" s="241">
        <f>SUM(E74:Q74)</f>
        <v>228429</v>
      </c>
      <c r="S74" s="242"/>
      <c r="T74" s="242"/>
      <c r="U74" s="237"/>
    </row>
    <row r="75" spans="1:21" s="238" customFormat="1" ht="11.4">
      <c r="A75" s="246" t="s">
        <v>562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302</v>
      </c>
      <c r="B76" s="240">
        <f>SUM(C76:D76)</f>
        <v>428429</v>
      </c>
      <c r="C76" s="240">
        <f t="shared" ref="C76:Q76" si="18">SUM(C71:C75)</f>
        <v>428429</v>
      </c>
      <c r="D76" s="240">
        <f t="shared" si="18"/>
        <v>0</v>
      </c>
      <c r="E76" s="240">
        <f>SUM(E71:E75)</f>
        <v>428429</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428429</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1812</v>
      </c>
      <c r="B78" s="240">
        <f>SUM(C78+D78)</f>
        <v>401007</v>
      </c>
      <c r="C78" s="241">
        <v>401007</v>
      </c>
      <c r="D78" s="241"/>
      <c r="E78" s="241">
        <v>401007</v>
      </c>
      <c r="F78" s="241"/>
      <c r="G78" s="241"/>
      <c r="H78" s="241"/>
      <c r="I78" s="241"/>
      <c r="J78" s="241"/>
      <c r="K78" s="241"/>
      <c r="L78" s="241"/>
      <c r="M78" s="241"/>
      <c r="N78" s="241"/>
      <c r="O78" s="241"/>
      <c r="P78" s="241"/>
      <c r="Q78" s="241"/>
      <c r="R78" s="241">
        <f>SUM(E78:Q78)</f>
        <v>401007</v>
      </c>
      <c r="S78" s="241">
        <v>401007</v>
      </c>
      <c r="T78" s="241"/>
      <c r="U78" s="237"/>
    </row>
    <row r="79" spans="1:21" s="238" customFormat="1" ht="11.4">
      <c r="A79" s="239" t="s">
        <v>567</v>
      </c>
      <c r="B79" s="240">
        <f>SUM(C79+D79)</f>
        <v>300000</v>
      </c>
      <c r="C79" s="241">
        <v>300000</v>
      </c>
      <c r="D79" s="241"/>
      <c r="E79" s="241">
        <v>300000</v>
      </c>
      <c r="F79" s="241"/>
      <c r="G79" s="241"/>
      <c r="H79" s="241"/>
      <c r="I79" s="241"/>
      <c r="J79" s="241"/>
      <c r="K79" s="241"/>
      <c r="L79" s="241"/>
      <c r="M79" s="241"/>
      <c r="N79" s="241"/>
      <c r="O79" s="241"/>
      <c r="P79" s="241"/>
      <c r="Q79" s="241"/>
      <c r="R79" s="241">
        <f>SUM(E79:Q79)</f>
        <v>300000</v>
      </c>
      <c r="S79" s="241">
        <v>300000</v>
      </c>
      <c r="T79" s="241"/>
      <c r="U79" s="237"/>
    </row>
    <row r="80" spans="1:21" s="238" customFormat="1">
      <c r="A80" s="243" t="s">
        <v>1813</v>
      </c>
      <c r="B80" s="240">
        <f>SUM(C80:D80)</f>
        <v>701007</v>
      </c>
      <c r="C80" s="673">
        <f>SUM(C78:C79)</f>
        <v>701007</v>
      </c>
      <c r="D80" s="673">
        <f t="shared" ref="D80:R80" si="19">SUM(D78:D79)</f>
        <v>0</v>
      </c>
      <c r="E80" s="673">
        <f t="shared" si="19"/>
        <v>701007</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701007</v>
      </c>
      <c r="S80" s="673">
        <f>SUM(S78:S79)</f>
        <v>701007</v>
      </c>
      <c r="T80" s="673">
        <f>SUM(T78:T79)</f>
        <v>0</v>
      </c>
      <c r="U80" s="237"/>
    </row>
    <row r="81" spans="1:21" s="238" customFormat="1" ht="11.4">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2230</v>
      </c>
      <c r="B82" s="240">
        <f>SUM(C82+D82)</f>
        <v>77108</v>
      </c>
      <c r="C82" s="241">
        <v>77108</v>
      </c>
      <c r="D82" s="241"/>
      <c r="E82" s="241">
        <v>77108</v>
      </c>
      <c r="F82" s="241"/>
      <c r="G82" s="241"/>
      <c r="H82" s="241"/>
      <c r="I82" s="241"/>
      <c r="J82" s="241"/>
      <c r="K82" s="241"/>
      <c r="L82" s="241"/>
      <c r="M82" s="241"/>
      <c r="N82" s="241"/>
      <c r="O82" s="241"/>
      <c r="P82" s="241"/>
      <c r="Q82" s="241"/>
      <c r="R82" s="241">
        <f>SUM(E82:Q82)</f>
        <v>77108</v>
      </c>
      <c r="S82" s="242"/>
      <c r="T82" s="242"/>
      <c r="U82" s="237"/>
    </row>
    <row r="83" spans="1:21" s="238" customFormat="1" ht="11.4">
      <c r="A83" s="239" t="s">
        <v>545</v>
      </c>
      <c r="B83" s="240">
        <f t="shared" ref="B83:B93" si="20">SUM(C83+D83)</f>
        <v>0</v>
      </c>
      <c r="C83" s="241"/>
      <c r="D83" s="241"/>
      <c r="E83" s="241"/>
      <c r="F83" s="241"/>
      <c r="G83" s="241"/>
      <c r="H83" s="241"/>
      <c r="I83" s="241"/>
      <c r="J83" s="241"/>
      <c r="K83" s="241"/>
      <c r="L83" s="241"/>
      <c r="M83" s="241"/>
      <c r="N83" s="241"/>
      <c r="O83" s="241"/>
      <c r="P83" s="241"/>
      <c r="Q83" s="241"/>
      <c r="R83" s="241">
        <f t="shared" ref="R83:R93" si="21">SUM(E83:Q83)</f>
        <v>0</v>
      </c>
      <c r="S83" s="241"/>
      <c r="T83" s="241"/>
      <c r="U83" s="237"/>
    </row>
    <row r="84" spans="1:21" s="238" customFormat="1" ht="11.4">
      <c r="A84" s="239" t="s">
        <v>546</v>
      </c>
      <c r="B84" s="240">
        <f t="shared" si="20"/>
        <v>835131</v>
      </c>
      <c r="C84" s="241">
        <v>835131</v>
      </c>
      <c r="D84" s="241"/>
      <c r="E84" s="241">
        <v>835131</v>
      </c>
      <c r="F84" s="241"/>
      <c r="G84" s="241"/>
      <c r="H84" s="241"/>
      <c r="I84" s="241"/>
      <c r="J84" s="241"/>
      <c r="K84" s="241"/>
      <c r="L84" s="241"/>
      <c r="M84" s="241"/>
      <c r="N84" s="241"/>
      <c r="O84" s="241"/>
      <c r="P84" s="241"/>
      <c r="Q84" s="241"/>
      <c r="R84" s="241">
        <f t="shared" si="21"/>
        <v>835131</v>
      </c>
      <c r="S84" s="241">
        <v>835131</v>
      </c>
      <c r="T84" s="241"/>
      <c r="U84" s="237"/>
    </row>
    <row r="85" spans="1:21" s="238" customFormat="1" ht="11.4">
      <c r="A85" s="239" t="s">
        <v>547</v>
      </c>
      <c r="B85" s="240">
        <f t="shared" si="20"/>
        <v>100000</v>
      </c>
      <c r="C85" s="241">
        <v>100000</v>
      </c>
      <c r="D85" s="241"/>
      <c r="E85" s="241">
        <v>100000</v>
      </c>
      <c r="F85" s="241"/>
      <c r="G85" s="241"/>
      <c r="H85" s="241"/>
      <c r="I85" s="241"/>
      <c r="J85" s="241"/>
      <c r="K85" s="241"/>
      <c r="L85" s="241"/>
      <c r="M85" s="241"/>
      <c r="N85" s="241"/>
      <c r="O85" s="241"/>
      <c r="P85" s="241"/>
      <c r="Q85" s="241"/>
      <c r="R85" s="241">
        <f t="shared" si="21"/>
        <v>100000</v>
      </c>
      <c r="S85" s="241">
        <v>100000</v>
      </c>
      <c r="T85" s="241"/>
      <c r="U85" s="237"/>
    </row>
    <row r="86" spans="1:21" s="238" customFormat="1" ht="11.4">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549</v>
      </c>
      <c r="B87" s="240">
        <f t="shared" si="20"/>
        <v>58201</v>
      </c>
      <c r="C87" s="241">
        <v>58201</v>
      </c>
      <c r="D87" s="241"/>
      <c r="E87" s="241">
        <v>58201</v>
      </c>
      <c r="F87" s="241"/>
      <c r="G87" s="241"/>
      <c r="H87" s="241"/>
      <c r="I87" s="241"/>
      <c r="J87" s="241"/>
      <c r="K87" s="241"/>
      <c r="L87" s="241"/>
      <c r="M87" s="241"/>
      <c r="N87" s="241"/>
      <c r="O87" s="241"/>
      <c r="P87" s="241"/>
      <c r="Q87" s="241"/>
      <c r="R87" s="241">
        <f t="shared" si="21"/>
        <v>58201</v>
      </c>
      <c r="S87" s="242"/>
      <c r="T87" s="242"/>
      <c r="U87" s="237"/>
    </row>
    <row r="88" spans="1:21" s="238" customFormat="1" ht="11.4">
      <c r="A88" s="239" t="s">
        <v>550</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v>50000</v>
      </c>
      <c r="T88" s="241"/>
      <c r="U88" s="237"/>
    </row>
    <row r="89" spans="1:21" s="238" customFormat="1" ht="11.4">
      <c r="A89" s="239" t="s">
        <v>551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v>10000</v>
      </c>
      <c r="T89" s="241"/>
      <c r="U89" s="237"/>
    </row>
    <row r="90" spans="1:21" s="238" customFormat="1" ht="11.4">
      <c r="A90" s="250" t="s">
        <v>1366</v>
      </c>
      <c r="B90" s="240">
        <f t="shared" si="20"/>
        <v>0</v>
      </c>
      <c r="C90" s="241"/>
      <c r="D90" s="241"/>
      <c r="E90" s="241"/>
      <c r="F90" s="241"/>
      <c r="G90" s="241"/>
      <c r="H90" s="241"/>
      <c r="I90" s="241"/>
      <c r="J90" s="241"/>
      <c r="K90" s="241"/>
      <c r="L90" s="241"/>
      <c r="M90" s="241"/>
      <c r="N90" s="241"/>
      <c r="O90" s="241"/>
      <c r="P90" s="241"/>
      <c r="Q90" s="241"/>
      <c r="R90" s="241">
        <f t="shared" si="21"/>
        <v>0</v>
      </c>
      <c r="S90" s="241"/>
      <c r="T90" s="241"/>
      <c r="U90" s="237"/>
    </row>
    <row r="91" spans="1:21" s="238" customFormat="1" ht="11.4">
      <c r="A91" s="250" t="s">
        <v>1811</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v>10000</v>
      </c>
      <c r="T91" s="241"/>
      <c r="U91" s="237"/>
    </row>
    <row r="92" spans="1:21" s="238" customFormat="1" ht="11.4">
      <c r="A92" s="246" t="s">
        <v>2390</v>
      </c>
      <c r="B92" s="240">
        <f t="shared" si="20"/>
        <v>10000</v>
      </c>
      <c r="C92" s="241">
        <v>10000</v>
      </c>
      <c r="D92" s="241"/>
      <c r="E92" s="241">
        <v>10000</v>
      </c>
      <c r="F92" s="241"/>
      <c r="G92" s="241"/>
      <c r="H92" s="241"/>
      <c r="I92" s="241"/>
      <c r="J92" s="241"/>
      <c r="K92" s="241"/>
      <c r="L92" s="241"/>
      <c r="M92" s="241"/>
      <c r="N92" s="241"/>
      <c r="O92" s="241"/>
      <c r="P92" s="241"/>
      <c r="Q92" s="241"/>
      <c r="R92" s="241">
        <f t="shared" si="21"/>
        <v>10000</v>
      </c>
      <c r="S92" s="241">
        <v>10000</v>
      </c>
      <c r="T92" s="241"/>
      <c r="U92" s="237"/>
    </row>
    <row r="93" spans="1:21" s="238" customFormat="1" ht="11.4">
      <c r="A93" s="246" t="s">
        <v>562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562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552</v>
      </c>
      <c r="B95" s="240">
        <f>SUM(C95:D95)</f>
        <v>1150440</v>
      </c>
      <c r="C95" s="240">
        <f t="shared" ref="C95:R95" si="22">SUM(C82:C94)</f>
        <v>1150440</v>
      </c>
      <c r="D95" s="240">
        <f t="shared" si="22"/>
        <v>0</v>
      </c>
      <c r="E95" s="240">
        <f t="shared" si="22"/>
        <v>1150440</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1150440</v>
      </c>
      <c r="S95" s="244">
        <f>SUM(S83:S86,S88:S94)</f>
        <v>1015131</v>
      </c>
      <c r="T95" s="240">
        <f>SUM(T83:T86,T88:T94)</f>
        <v>0</v>
      </c>
      <c r="U95" s="237"/>
    </row>
    <row r="96" spans="1:21" s="238" customFormat="1">
      <c r="A96" s="243" t="s">
        <v>553</v>
      </c>
      <c r="B96" s="240">
        <f>SUM(C96:D96)</f>
        <v>12554916</v>
      </c>
      <c r="C96" s="240">
        <f t="shared" ref="C96:R96" si="23">SUM(C62+C69+C76+C80+C95)</f>
        <v>12554916</v>
      </c>
      <c r="D96" s="240">
        <f t="shared" si="23"/>
        <v>0</v>
      </c>
      <c r="E96" s="240">
        <f t="shared" si="23"/>
        <v>10796749</v>
      </c>
      <c r="F96" s="240">
        <f t="shared" si="23"/>
        <v>1758167</v>
      </c>
      <c r="G96" s="240">
        <f t="shared" si="23"/>
        <v>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12554916</v>
      </c>
      <c r="S96" s="244">
        <f>SUM(+S62+S69+S80+S95)</f>
        <v>11226178</v>
      </c>
      <c r="T96" s="244">
        <f>SUM(T62+T69+T80+T95)</f>
        <v>0</v>
      </c>
      <c r="U96" s="237"/>
    </row>
    <row r="97" spans="1:21" s="238" customFormat="1" ht="11.4">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555</v>
      </c>
      <c r="B98" s="240">
        <f>SUM(C98+D98)</f>
        <v>1668927</v>
      </c>
      <c r="C98" s="241">
        <v>1668927</v>
      </c>
      <c r="D98" s="241"/>
      <c r="E98" s="241">
        <v>1197863</v>
      </c>
      <c r="F98" s="241"/>
      <c r="G98" s="241">
        <v>471064</v>
      </c>
      <c r="H98" s="241"/>
      <c r="I98" s="241"/>
      <c r="J98" s="241"/>
      <c r="K98" s="241"/>
      <c r="L98" s="241"/>
      <c r="M98" s="241"/>
      <c r="N98" s="241"/>
      <c r="O98" s="241"/>
      <c r="P98" s="241"/>
      <c r="Q98" s="241"/>
      <c r="R98" s="241">
        <f>SUM(E98:Q98)</f>
        <v>1668927</v>
      </c>
      <c r="S98" s="241">
        <v>1668927</v>
      </c>
      <c r="T98" s="241"/>
      <c r="U98" s="237"/>
    </row>
    <row r="99" spans="1:21" s="238" customFormat="1" ht="11.4">
      <c r="A99" s="239" t="s">
        <v>2052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1668927</v>
      </c>
      <c r="C103" s="240">
        <f t="shared" ref="C103:T103" si="24">SUM(C98:C102)</f>
        <v>1668927</v>
      </c>
      <c r="D103" s="240">
        <f t="shared" si="24"/>
        <v>0</v>
      </c>
      <c r="E103" s="240">
        <f t="shared" si="24"/>
        <v>1197863</v>
      </c>
      <c r="F103" s="240">
        <f t="shared" si="24"/>
        <v>0</v>
      </c>
      <c r="G103" s="240">
        <f t="shared" si="24"/>
        <v>471064</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1668927</v>
      </c>
      <c r="S103" s="244">
        <f t="shared" si="24"/>
        <v>1668927</v>
      </c>
      <c r="T103" s="244">
        <f t="shared" si="24"/>
        <v>0</v>
      </c>
      <c r="U103" s="237"/>
    </row>
    <row r="104" spans="1:21" s="238" customFormat="1">
      <c r="A104" s="243" t="s">
        <v>1202</v>
      </c>
      <c r="B104" s="244">
        <f>SUM(C104:D104)</f>
        <v>14223843</v>
      </c>
      <c r="C104" s="244">
        <f t="shared" ref="C104:R104" si="25">SUM(C96+C103)</f>
        <v>14223843</v>
      </c>
      <c r="D104" s="244">
        <f t="shared" si="25"/>
        <v>0</v>
      </c>
      <c r="E104" s="244">
        <f t="shared" si="25"/>
        <v>11994612</v>
      </c>
      <c r="F104" s="244">
        <f t="shared" si="25"/>
        <v>1758167</v>
      </c>
      <c r="G104" s="244">
        <f t="shared" si="25"/>
        <v>471064</v>
      </c>
      <c r="H104" s="244">
        <f t="shared" si="25"/>
        <v>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14223843</v>
      </c>
      <c r="S104" s="244">
        <f>S96+S103</f>
        <v>12895105</v>
      </c>
      <c r="T104" s="244">
        <f>T96+T103</f>
        <v>0</v>
      </c>
      <c r="U104" s="237"/>
    </row>
    <row r="105" spans="1:21" s="253" customFormat="1">
      <c r="A105" s="787" t="s">
        <v>1362</v>
      </c>
      <c r="B105" s="252"/>
      <c r="C105" s="252"/>
      <c r="D105" s="252"/>
      <c r="H105" s="254" t="s">
        <v>471</v>
      </c>
      <c r="I105" s="254"/>
      <c r="J105" s="254"/>
      <c r="R105" s="255" t="s">
        <v>472</v>
      </c>
      <c r="S105" s="241"/>
      <c r="T105" s="241"/>
      <c r="U105" s="256"/>
    </row>
    <row r="106" spans="1:21" s="253" customFormat="1">
      <c r="A106" s="254" t="s">
        <v>325</v>
      </c>
      <c r="C106" s="252"/>
      <c r="D106" s="252"/>
      <c r="I106" s="257" t="s">
        <v>565</v>
      </c>
      <c r="J106" s="257"/>
      <c r="R106" s="255" t="s">
        <v>473</v>
      </c>
      <c r="S106" s="244">
        <f>S104+S105</f>
        <v>12895105</v>
      </c>
      <c r="T106" s="244">
        <f>T104+T105</f>
        <v>0</v>
      </c>
      <c r="U106" s="256"/>
    </row>
    <row r="107" spans="1:21" s="258" customFormat="1">
      <c r="A107" s="257" t="s">
        <v>1152</v>
      </c>
      <c r="B107" s="252"/>
      <c r="C107" s="252"/>
      <c r="D107" s="252"/>
      <c r="E107" s="240">
        <f>Application!AO631</f>
        <v>11994612</v>
      </c>
      <c r="F107" s="240">
        <f>Application!AO618</f>
        <v>1758167</v>
      </c>
      <c r="G107" s="240">
        <f>Application!AO619</f>
        <v>471064</v>
      </c>
      <c r="H107" s="240">
        <f>Application!AO620</f>
        <v>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2">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2">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6">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6">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6">
      <c r="A120" s="297"/>
      <c r="U120" s="256"/>
    </row>
    <row r="121" spans="1:21" s="559" customFormat="1" ht="15.6">
      <c r="A121" s="558" t="s">
        <v>1356</v>
      </c>
      <c r="U121" s="560"/>
    </row>
    <row r="122" spans="1:21" s="253" customFormat="1" ht="11.4">
      <c r="A122" s="254" t="s">
        <v>1341</v>
      </c>
      <c r="D122" s="1568" t="s">
        <v>1342</v>
      </c>
      <c r="E122" s="1568"/>
      <c r="F122" s="1568"/>
      <c r="U122" s="256"/>
    </row>
    <row r="123" spans="1:21" s="253" customFormat="1" ht="11.4">
      <c r="A123" s="253" t="s">
        <v>1343</v>
      </c>
      <c r="B123" s="553"/>
      <c r="D123" s="1570" t="s">
        <v>1367</v>
      </c>
      <c r="E123" s="1571"/>
      <c r="F123" s="1571"/>
      <c r="G123" s="1571"/>
      <c r="H123" s="1571"/>
      <c r="I123" s="1571"/>
      <c r="J123" s="1571"/>
      <c r="K123" s="1571"/>
      <c r="L123" s="1571"/>
      <c r="M123" s="1571"/>
      <c r="N123" s="1571"/>
      <c r="O123" s="1571"/>
      <c r="P123" s="1571"/>
      <c r="Q123" s="1571"/>
      <c r="R123" s="1571"/>
      <c r="S123" s="1571"/>
      <c r="U123" s="256"/>
    </row>
    <row r="124" spans="1:21" s="253" customFormat="1" ht="13.2">
      <c r="A124" s="209" t="s">
        <v>1344</v>
      </c>
      <c r="B124" s="553"/>
      <c r="C124" s="209"/>
      <c r="D124" s="1571"/>
      <c r="E124" s="1571"/>
      <c r="F124" s="1571"/>
      <c r="G124" s="1571"/>
      <c r="H124" s="1571"/>
      <c r="I124" s="1571"/>
      <c r="J124" s="1571"/>
      <c r="K124" s="1571"/>
      <c r="L124" s="1571"/>
      <c r="M124" s="1571"/>
      <c r="N124" s="1571"/>
      <c r="O124" s="1571"/>
      <c r="P124" s="1571"/>
      <c r="Q124" s="1571"/>
      <c r="R124" s="1571"/>
      <c r="S124" s="1571"/>
      <c r="U124" s="256"/>
    </row>
    <row r="125" spans="1:21" s="253" customFormat="1" ht="13.2">
      <c r="A125" s="209" t="s">
        <v>1345</v>
      </c>
      <c r="B125" s="553"/>
      <c r="C125" s="209"/>
      <c r="D125" s="1571"/>
      <c r="E125" s="1571"/>
      <c r="F125" s="1571"/>
      <c r="G125" s="1571"/>
      <c r="H125" s="1571"/>
      <c r="I125" s="1571"/>
      <c r="J125" s="1571"/>
      <c r="K125" s="1571"/>
      <c r="L125" s="1571"/>
      <c r="M125" s="1571"/>
      <c r="N125" s="1571"/>
      <c r="O125" s="1571"/>
      <c r="P125" s="1571"/>
      <c r="Q125" s="1571"/>
      <c r="R125" s="1571"/>
      <c r="S125" s="1571"/>
      <c r="U125" s="256"/>
    </row>
    <row r="126" spans="1:21" s="253" customFormat="1" ht="13.2">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1348</v>
      </c>
      <c r="B128" s="553"/>
      <c r="C128" s="209"/>
      <c r="D128" s="1565"/>
      <c r="E128" s="1565"/>
      <c r="F128" s="1565"/>
      <c r="G128" s="1565"/>
      <c r="H128" s="1565"/>
      <c r="I128" s="209"/>
      <c r="J128" s="1566"/>
      <c r="K128" s="1566"/>
      <c r="L128" s="209"/>
      <c r="M128" s="209"/>
      <c r="N128" s="209"/>
      <c r="O128" s="209"/>
      <c r="P128" s="209"/>
      <c r="Q128" s="209"/>
      <c r="R128" s="209"/>
      <c r="S128" s="209"/>
      <c r="U128" s="256"/>
    </row>
    <row r="129" spans="1:21" s="253" customFormat="1" ht="13.2">
      <c r="A129" s="209" t="s">
        <v>526</v>
      </c>
      <c r="B129" s="553"/>
      <c r="C129" s="209"/>
      <c r="D129" s="1567" t="s">
        <v>1349</v>
      </c>
      <c r="E129" s="1567"/>
      <c r="F129" s="1567"/>
      <c r="G129" s="1567"/>
      <c r="H129" s="1567"/>
      <c r="I129" s="209"/>
      <c r="J129" s="209" t="s">
        <v>1350</v>
      </c>
      <c r="K129" s="209"/>
      <c r="L129" s="209"/>
      <c r="M129" s="209"/>
      <c r="N129" s="209"/>
      <c r="O129" s="209"/>
      <c r="P129" s="209"/>
      <c r="Q129" s="209"/>
      <c r="R129" s="209"/>
      <c r="S129" s="209"/>
      <c r="U129" s="256"/>
    </row>
    <row r="130" spans="1:21" s="253" customFormat="1" ht="13.2">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1351</v>
      </c>
      <c r="B131" s="554">
        <f>SUM(B123:B129)</f>
        <v>0</v>
      </c>
      <c r="C131" s="209"/>
      <c r="D131" s="1305"/>
      <c r="E131" s="1305"/>
      <c r="F131" s="1305"/>
      <c r="G131" s="1305"/>
      <c r="H131" s="1305"/>
      <c r="I131" s="209"/>
      <c r="J131" s="1305"/>
      <c r="K131" s="1305"/>
      <c r="L131" s="1305"/>
      <c r="M131" s="1305"/>
      <c r="N131" s="209"/>
      <c r="O131" s="209"/>
      <c r="P131" s="209"/>
      <c r="Q131" s="209"/>
      <c r="R131" s="209"/>
      <c r="S131" s="209"/>
      <c r="U131" s="256"/>
    </row>
    <row r="132" spans="1:21" s="253" customFormat="1" ht="13.2">
      <c r="A132" s="555"/>
      <c r="B132" s="209"/>
      <c r="C132" s="209"/>
      <c r="D132" s="1572" t="s">
        <v>1352</v>
      </c>
      <c r="E132" s="1572"/>
      <c r="F132" s="1572"/>
      <c r="G132" s="1572"/>
      <c r="H132" s="1572"/>
      <c r="I132" s="209"/>
      <c r="J132" s="1572" t="s">
        <v>1353</v>
      </c>
      <c r="K132" s="1572"/>
      <c r="L132" s="1572"/>
      <c r="M132" s="1572"/>
      <c r="N132" s="209"/>
      <c r="O132" s="209"/>
      <c r="P132" s="209"/>
      <c r="Q132" s="209"/>
      <c r="R132" s="209"/>
      <c r="S132" s="209"/>
      <c r="U132" s="256"/>
    </row>
    <row r="133" spans="1:21" s="253" customFormat="1" ht="13.2">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2248</v>
      </c>
      <c r="B135" s="209"/>
      <c r="C135" s="209"/>
      <c r="D135" s="209"/>
      <c r="E135" s="209"/>
      <c r="F135" s="209"/>
      <c r="G135" s="209"/>
      <c r="H135" s="209"/>
      <c r="I135" s="209"/>
      <c r="J135" s="209"/>
      <c r="K135" s="209"/>
      <c r="L135" s="209"/>
      <c r="M135" s="209"/>
      <c r="N135" s="957"/>
      <c r="O135" s="209"/>
      <c r="P135" s="209"/>
      <c r="Q135" s="209"/>
      <c r="R135" s="209"/>
      <c r="S135" s="209"/>
      <c r="U135" s="256"/>
    </row>
    <row r="136" spans="1:21" ht="13.2">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3"/>
      <c r="B138" s="1565"/>
      <c r="C138" s="1565"/>
      <c r="D138" s="356"/>
      <c r="E138" s="1566"/>
      <c r="F138" s="1566"/>
      <c r="G138" s="209"/>
      <c r="H138" s="209"/>
      <c r="I138" s="209"/>
      <c r="J138" s="209"/>
      <c r="K138" s="209"/>
      <c r="L138" s="209"/>
      <c r="M138" s="209"/>
      <c r="N138" s="209"/>
      <c r="O138" s="209"/>
      <c r="P138" s="209"/>
      <c r="Q138" s="209"/>
      <c r="R138" s="209"/>
      <c r="S138" s="209"/>
    </row>
    <row r="139" spans="1:21" ht="12" customHeight="1">
      <c r="A139" s="1569" t="s">
        <v>1355</v>
      </c>
      <c r="B139" s="1569"/>
      <c r="C139" s="1569"/>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128" scale="83" firstPageNumber="22" fitToHeight="0"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4" workbookViewId="0">
      <selection activeCell="T22" sqref="T22:X2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97" t="s">
        <v>1817</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c r="AA1" s="1282"/>
      <c r="AB1" s="1282"/>
      <c r="AC1" s="1282"/>
      <c r="AD1" s="1282"/>
      <c r="AE1" s="1282"/>
      <c r="AF1" s="1282"/>
      <c r="AG1" s="1282"/>
      <c r="AH1" s="1282"/>
      <c r="AI1" s="1282"/>
      <c r="AJ1" s="1282"/>
      <c r="AK1" s="1282"/>
      <c r="AL1" s="1282"/>
      <c r="AM1" s="1282"/>
      <c r="AN1" s="1282"/>
    </row>
    <row r="2" spans="1:40" ht="12.9" customHeight="1" thickBot="1">
      <c r="A2" s="1283"/>
      <c r="B2" s="1283"/>
      <c r="C2" s="1283"/>
      <c r="D2" s="1283"/>
      <c r="E2" s="1283"/>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83"/>
      <c r="AF2" s="1283"/>
      <c r="AG2" s="1283"/>
      <c r="AH2" s="1283"/>
      <c r="AI2" s="1283"/>
      <c r="AJ2" s="1283"/>
      <c r="AK2" s="1283"/>
      <c r="AL2" s="1283"/>
      <c r="AM2" s="1283"/>
      <c r="AN2" s="1283"/>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687</v>
      </c>
      <c r="C5" s="3" t="s">
        <v>219</v>
      </c>
      <c r="F5" s="3"/>
    </row>
    <row r="6" spans="1:40" ht="12.9" customHeight="1">
      <c r="B6" s="90" t="s">
        <v>1904</v>
      </c>
    </row>
    <row r="7" spans="1:40" ht="12.9" customHeight="1">
      <c r="B7" s="6"/>
      <c r="C7" s="7"/>
      <c r="D7" s="7"/>
      <c r="E7" s="7"/>
      <c r="F7" s="7"/>
      <c r="G7" s="7"/>
      <c r="H7" s="7"/>
      <c r="I7" s="7"/>
      <c r="J7" s="7"/>
      <c r="K7" s="7"/>
      <c r="L7" s="7"/>
      <c r="M7" s="7"/>
      <c r="N7" s="7"/>
      <c r="O7" s="7"/>
      <c r="P7" s="7"/>
      <c r="Q7" s="7"/>
      <c r="R7" s="7"/>
      <c r="S7" s="7"/>
      <c r="T7" s="1582" t="str">
        <f>IF(T25=100%,'Sources and Basis Breakdown'!G2,'Sources and Basis Breakdown'!F2)</f>
        <v>70% PVC for New Const/
Rehabilitation
DDA/QCT
Building(s)</v>
      </c>
      <c r="U7" s="1582"/>
      <c r="V7" s="1582"/>
      <c r="W7" s="1582"/>
      <c r="X7" s="1582"/>
      <c r="Y7" s="1582" t="str">
        <f>IF(T25=100%," ",'Sources and Basis Breakdown'!G2)</f>
        <v>70% PVC for New Const/
Rehabilitation
NON-DDA/
NON-QCT Building(s)</v>
      </c>
      <c r="Z7" s="1582"/>
      <c r="AA7" s="1582"/>
      <c r="AB7" s="1582"/>
      <c r="AC7" s="1582"/>
      <c r="AD7" s="1582" t="str">
        <f>IF(T25=100%,'Sources and Basis Breakdown'!J2,'Sources and Basis Breakdown'!I2)</f>
        <v>30% PVC for Acquisition
DDA/QCT Building(s)</v>
      </c>
      <c r="AE7" s="1582"/>
      <c r="AF7" s="1582"/>
      <c r="AG7" s="1582"/>
      <c r="AH7" s="1582"/>
      <c r="AI7" s="1582" t="str">
        <f>IF(T25=100%," ",'Sources and Basis Breakdown'!J2)</f>
        <v>30% PVC for Acquisition
NON-DDA/
NON-QCT Building(s)</v>
      </c>
      <c r="AJ7" s="1582"/>
      <c r="AK7" s="1582"/>
      <c r="AL7" s="1582"/>
      <c r="AM7" s="1582"/>
    </row>
    <row r="8" spans="1:40" ht="12.9" customHeight="1">
      <c r="B8" s="204"/>
      <c r="T8" s="1582"/>
      <c r="U8" s="1582"/>
      <c r="V8" s="1582"/>
      <c r="W8" s="1582"/>
      <c r="X8" s="1582"/>
      <c r="Y8" s="1582"/>
      <c r="Z8" s="1582"/>
      <c r="AA8" s="1582"/>
      <c r="AB8" s="1582"/>
      <c r="AC8" s="1582"/>
      <c r="AD8" s="1582"/>
      <c r="AE8" s="1582"/>
      <c r="AF8" s="1582"/>
      <c r="AG8" s="1582"/>
      <c r="AH8" s="1582"/>
      <c r="AI8" s="1582"/>
      <c r="AJ8" s="1582"/>
      <c r="AK8" s="1582"/>
      <c r="AL8" s="1582"/>
      <c r="AM8" s="1582"/>
    </row>
    <row r="9" spans="1:40" ht="12.9" customHeight="1">
      <c r="B9" s="204"/>
      <c r="T9" s="1582"/>
      <c r="U9" s="1582"/>
      <c r="V9" s="1582"/>
      <c r="W9" s="1582"/>
      <c r="X9" s="1582"/>
      <c r="Y9" s="1582"/>
      <c r="Z9" s="1582"/>
      <c r="AA9" s="1582"/>
      <c r="AB9" s="1582"/>
      <c r="AC9" s="1582"/>
      <c r="AD9" s="1582"/>
      <c r="AE9" s="1582"/>
      <c r="AF9" s="1582"/>
      <c r="AG9" s="1582"/>
      <c r="AH9" s="1582"/>
      <c r="AI9" s="1582"/>
      <c r="AJ9" s="1582"/>
      <c r="AK9" s="1582"/>
      <c r="AL9" s="1582"/>
      <c r="AM9" s="1582"/>
    </row>
    <row r="10" spans="1:40" ht="12.9" customHeight="1">
      <c r="B10" s="53"/>
      <c r="C10" s="54"/>
      <c r="D10" s="54"/>
      <c r="E10" s="54"/>
      <c r="F10" s="54"/>
      <c r="G10" s="54"/>
      <c r="H10" s="54"/>
      <c r="I10" s="54"/>
      <c r="J10" s="54"/>
      <c r="K10" s="54"/>
      <c r="L10" s="54"/>
      <c r="M10" s="54"/>
      <c r="N10" s="54"/>
      <c r="O10" s="54"/>
      <c r="P10" s="54"/>
      <c r="Q10" s="54"/>
      <c r="R10" s="54"/>
      <c r="S10" s="54"/>
      <c r="T10" s="1582"/>
      <c r="U10" s="1582"/>
      <c r="V10" s="1582"/>
      <c r="W10" s="1582"/>
      <c r="X10" s="1582"/>
      <c r="Y10" s="1582"/>
      <c r="Z10" s="1582"/>
      <c r="AA10" s="1582"/>
      <c r="AB10" s="1582"/>
      <c r="AC10" s="1582"/>
      <c r="AD10" s="1582"/>
      <c r="AE10" s="1582"/>
      <c r="AF10" s="1582"/>
      <c r="AG10" s="1582"/>
      <c r="AH10" s="1582"/>
      <c r="AI10" s="1582"/>
      <c r="AJ10" s="1582"/>
      <c r="AK10" s="1582"/>
      <c r="AL10" s="1582"/>
      <c r="AM10" s="1582"/>
    </row>
    <row r="11" spans="1:40" ht="12.9" customHeight="1">
      <c r="B11" s="1089" t="s">
        <v>537</v>
      </c>
      <c r="C11" s="1090"/>
      <c r="D11" s="1090"/>
      <c r="E11" s="1090"/>
      <c r="F11" s="1090"/>
      <c r="G11" s="1090"/>
      <c r="H11" s="1090"/>
      <c r="I11" s="1090"/>
      <c r="J11" s="1090"/>
      <c r="K11" s="1090"/>
      <c r="L11" s="1090"/>
      <c r="M11" s="1090"/>
      <c r="N11" s="1090"/>
      <c r="O11" s="1090"/>
      <c r="P11" s="1090"/>
      <c r="Q11" s="1090"/>
      <c r="R11" s="1090"/>
      <c r="S11" s="1092"/>
      <c r="T11" s="1613">
        <f>IF('Sources and Basis Breakdown'!F105=0,'Sources and Basis Breakdown'!E105,'Sources and Basis Breakdown'!F105)</f>
        <v>12895105</v>
      </c>
      <c r="U11" s="1600"/>
      <c r="V11" s="1600"/>
      <c r="W11" s="1600"/>
      <c r="X11" s="1600"/>
      <c r="Y11" s="1599">
        <f>IF(Y7=" ",0,IF('Sources and Basis Breakdown'!G105+'Sources and Basis Breakdown'!F105='Sources and Basis Breakdown'!E105,'Sources and Basis Breakdown'!G105,0))</f>
        <v>0</v>
      </c>
      <c r="Z11" s="1600"/>
      <c r="AA11" s="1600"/>
      <c r="AB11" s="1600"/>
      <c r="AC11" s="1600"/>
      <c r="AD11" s="1600">
        <f>IF('Sources and Basis Breakdown'!I105=0,'Sources and Basis Breakdown'!H105,'Sources and Basis Breakdown'!I105)</f>
        <v>0</v>
      </c>
      <c r="AE11" s="1600"/>
      <c r="AF11" s="1600"/>
      <c r="AG11" s="1600"/>
      <c r="AH11" s="1600"/>
      <c r="AI11" s="1600">
        <f>IF(AI7=" ",0,IF('Sources and Basis Breakdown'!I105+'Sources and Basis Breakdown'!J105='Sources and Basis Breakdown'!H105,'Sources and Basis Breakdown'!J105,0))</f>
        <v>0</v>
      </c>
      <c r="AJ11" s="1600"/>
      <c r="AK11" s="1600"/>
      <c r="AL11" s="1600"/>
      <c r="AM11" s="1600"/>
    </row>
    <row r="12" spans="1:40" ht="12.9" customHeight="1">
      <c r="B12" s="1607" t="s">
        <v>474</v>
      </c>
      <c r="C12" s="1000"/>
      <c r="D12" s="1000"/>
      <c r="E12" s="1000"/>
      <c r="F12" s="1000"/>
      <c r="G12" s="1000"/>
      <c r="H12" s="1000"/>
      <c r="I12" s="1000"/>
      <c r="J12" s="1000"/>
      <c r="K12" s="1000"/>
      <c r="L12" s="1000"/>
      <c r="M12" s="1000"/>
      <c r="N12" s="1000"/>
      <c r="O12" s="1000"/>
      <c r="P12" s="1000"/>
      <c r="Q12" s="1000"/>
      <c r="R12" s="1000"/>
      <c r="S12" s="1608"/>
      <c r="T12" s="1602"/>
      <c r="U12" s="1603"/>
      <c r="V12" s="1603"/>
      <c r="W12" s="1603"/>
      <c r="X12" s="1604"/>
      <c r="Y12" s="1602"/>
      <c r="Z12" s="1603"/>
      <c r="AA12" s="1603"/>
      <c r="AB12" s="1603"/>
      <c r="AC12" s="1604"/>
      <c r="AD12" s="1602"/>
      <c r="AE12" s="1603"/>
      <c r="AF12" s="1603"/>
      <c r="AG12" s="1603"/>
      <c r="AH12" s="1604"/>
      <c r="AI12" s="1602"/>
      <c r="AJ12" s="1603"/>
      <c r="AK12" s="1603"/>
      <c r="AL12" s="1603"/>
      <c r="AM12" s="1604"/>
    </row>
    <row r="13" spans="1:40" ht="12.9" customHeight="1">
      <c r="B13" s="8"/>
      <c r="C13" s="1609" t="s">
        <v>1783</v>
      </c>
      <c r="D13" s="1610"/>
      <c r="E13" s="1610"/>
      <c r="F13" s="1610"/>
      <c r="G13" s="1610"/>
      <c r="H13" s="1610"/>
      <c r="I13" s="1610"/>
      <c r="J13" s="1610"/>
      <c r="K13" s="1610"/>
      <c r="L13" s="1610"/>
      <c r="M13" s="1610"/>
      <c r="N13" s="1610"/>
      <c r="O13" s="1610"/>
      <c r="P13" s="1610"/>
      <c r="Q13" s="1610"/>
      <c r="R13" s="1610"/>
      <c r="S13" s="1611"/>
      <c r="T13" s="1601"/>
      <c r="U13" s="1598"/>
      <c r="V13" s="1598"/>
      <c r="W13" s="1598"/>
      <c r="X13" s="1598"/>
      <c r="Y13" s="1601"/>
      <c r="Z13" s="1598"/>
      <c r="AA13" s="1598"/>
      <c r="AB13" s="1598"/>
      <c r="AC13" s="1598"/>
      <c r="AD13" s="1598"/>
      <c r="AE13" s="1598"/>
      <c r="AF13" s="1598"/>
      <c r="AG13" s="1598"/>
      <c r="AH13" s="1598"/>
      <c r="AI13" s="1598"/>
      <c r="AJ13" s="1598"/>
      <c r="AK13" s="1598"/>
      <c r="AL13" s="1598"/>
      <c r="AM13" s="1598"/>
    </row>
    <row r="14" spans="1:40" ht="12.9" customHeight="1">
      <c r="B14" s="8"/>
      <c r="C14" s="1610" t="s">
        <v>803</v>
      </c>
      <c r="D14" s="1610"/>
      <c r="E14" s="1610"/>
      <c r="F14" s="1610"/>
      <c r="G14" s="1610"/>
      <c r="H14" s="1610"/>
      <c r="I14" s="1610"/>
      <c r="J14" s="1610"/>
      <c r="K14" s="1610"/>
      <c r="L14" s="1610"/>
      <c r="M14" s="1610"/>
      <c r="N14" s="1610"/>
      <c r="O14" s="1610"/>
      <c r="P14" s="1610"/>
      <c r="Q14" s="1610"/>
      <c r="R14" s="1610"/>
      <c r="S14" s="1611"/>
      <c r="T14" s="1060"/>
      <c r="U14" s="1236"/>
      <c r="V14" s="1236"/>
      <c r="W14" s="1236"/>
      <c r="X14" s="1236"/>
      <c r="Y14" s="1060"/>
      <c r="Z14" s="1236"/>
      <c r="AA14" s="1236"/>
      <c r="AB14" s="1236"/>
      <c r="AC14" s="1236"/>
      <c r="AD14" s="1236"/>
      <c r="AE14" s="1236"/>
      <c r="AF14" s="1236"/>
      <c r="AG14" s="1236"/>
      <c r="AH14" s="1236"/>
      <c r="AI14" s="1236"/>
      <c r="AJ14" s="1236"/>
      <c r="AK14" s="1236"/>
      <c r="AL14" s="1236"/>
      <c r="AM14" s="1236"/>
    </row>
    <row r="15" spans="1:40" ht="12.9" customHeight="1">
      <c r="B15" s="8"/>
      <c r="C15" s="1610" t="s">
        <v>804</v>
      </c>
      <c r="D15" s="1610"/>
      <c r="E15" s="1610"/>
      <c r="F15" s="1610"/>
      <c r="G15" s="1610"/>
      <c r="H15" s="1610"/>
      <c r="I15" s="1610"/>
      <c r="J15" s="1610"/>
      <c r="K15" s="1610"/>
      <c r="L15" s="1610"/>
      <c r="M15" s="1610"/>
      <c r="N15" s="1610"/>
      <c r="O15" s="1610"/>
      <c r="P15" s="1610"/>
      <c r="Q15" s="1610"/>
      <c r="R15" s="1610"/>
      <c r="S15" s="1611"/>
      <c r="T15" s="1060"/>
      <c r="U15" s="1236"/>
      <c r="V15" s="1236"/>
      <c r="W15" s="1236"/>
      <c r="X15" s="1236"/>
      <c r="Y15" s="1060"/>
      <c r="Z15" s="1236"/>
      <c r="AA15" s="1236"/>
      <c r="AB15" s="1236"/>
      <c r="AC15" s="1236"/>
      <c r="AD15" s="1236"/>
      <c r="AE15" s="1236"/>
      <c r="AF15" s="1236"/>
      <c r="AG15" s="1236"/>
      <c r="AH15" s="1236"/>
      <c r="AI15" s="1236"/>
      <c r="AJ15" s="1236"/>
      <c r="AK15" s="1236"/>
      <c r="AL15" s="1236"/>
      <c r="AM15" s="1236"/>
    </row>
    <row r="16" spans="1:40" ht="12.9" customHeight="1">
      <c r="B16" s="8"/>
      <c r="C16" s="1609" t="s">
        <v>1055</v>
      </c>
      <c r="D16" s="1609"/>
      <c r="E16" s="1609"/>
      <c r="F16" s="1609"/>
      <c r="G16" s="1609"/>
      <c r="H16" s="1609"/>
      <c r="I16" s="1609"/>
      <c r="J16" s="1609"/>
      <c r="K16" s="1609"/>
      <c r="L16" s="1609"/>
      <c r="M16" s="1609"/>
      <c r="N16" s="1609"/>
      <c r="O16" s="1609"/>
      <c r="P16" s="1609"/>
      <c r="Q16" s="1609"/>
      <c r="R16" s="1609"/>
      <c r="S16" s="1612"/>
      <c r="T16" s="1060"/>
      <c r="U16" s="1236"/>
      <c r="V16" s="1236"/>
      <c r="W16" s="1236"/>
      <c r="X16" s="1236"/>
      <c r="Y16" s="1060"/>
      <c r="Z16" s="1236"/>
      <c r="AA16" s="1236"/>
      <c r="AB16" s="1236"/>
      <c r="AC16" s="1236"/>
      <c r="AD16" s="1236"/>
      <c r="AE16" s="1236"/>
      <c r="AF16" s="1236"/>
      <c r="AG16" s="1236"/>
      <c r="AH16" s="1236"/>
      <c r="AI16" s="1236"/>
      <c r="AJ16" s="1236"/>
      <c r="AK16" s="1236"/>
      <c r="AL16" s="1236"/>
      <c r="AM16" s="1236"/>
    </row>
    <row r="17" spans="1:39" ht="12.9" customHeight="1">
      <c r="B17" s="8"/>
      <c r="C17" s="1610" t="s">
        <v>805</v>
      </c>
      <c r="D17" s="1610"/>
      <c r="E17" s="1610"/>
      <c r="F17" s="1610"/>
      <c r="G17" s="1610"/>
      <c r="H17" s="1610"/>
      <c r="I17" s="1610"/>
      <c r="J17" s="1610"/>
      <c r="K17" s="1610"/>
      <c r="L17" s="1610"/>
      <c r="M17" s="1610"/>
      <c r="N17" s="1610"/>
      <c r="O17" s="1610"/>
      <c r="P17" s="1610"/>
      <c r="Q17" s="1610"/>
      <c r="R17" s="1610"/>
      <c r="S17" s="1611"/>
      <c r="T17" s="1060"/>
      <c r="U17" s="1236"/>
      <c r="V17" s="1236"/>
      <c r="W17" s="1236"/>
      <c r="X17" s="1236"/>
      <c r="Y17" s="1060"/>
      <c r="Z17" s="1236"/>
      <c r="AA17" s="1236"/>
      <c r="AB17" s="1236"/>
      <c r="AC17" s="1236"/>
      <c r="AD17" s="1236"/>
      <c r="AE17" s="1236"/>
      <c r="AF17" s="1236"/>
      <c r="AG17" s="1236"/>
      <c r="AH17" s="1236"/>
      <c r="AI17" s="1236"/>
      <c r="AJ17" s="1236"/>
      <c r="AK17" s="1236"/>
      <c r="AL17" s="1236"/>
      <c r="AM17" s="1236"/>
    </row>
    <row r="18" spans="1:39" ht="12.9" customHeight="1">
      <c r="B18" s="948"/>
      <c r="C18" s="1605" t="s">
        <v>1267</v>
      </c>
      <c r="D18" s="1605"/>
      <c r="E18" s="1605"/>
      <c r="F18" s="1605"/>
      <c r="G18" s="1605"/>
      <c r="H18" s="1605"/>
      <c r="I18" s="1605"/>
      <c r="J18" s="1605"/>
      <c r="K18" s="1605"/>
      <c r="L18" s="1605"/>
      <c r="M18" s="1605"/>
      <c r="N18" s="1605"/>
      <c r="O18" s="1605"/>
      <c r="P18" s="1605"/>
      <c r="Q18" s="1605"/>
      <c r="R18" s="1605"/>
      <c r="S18" s="1606"/>
      <c r="T18" s="1058"/>
      <c r="U18" s="1059"/>
      <c r="V18" s="1059"/>
      <c r="W18" s="1059"/>
      <c r="X18" s="1060"/>
      <c r="Y18" s="1060"/>
      <c r="Z18" s="1236"/>
      <c r="AA18" s="1236"/>
      <c r="AB18" s="1236"/>
      <c r="AC18" s="1236"/>
      <c r="AD18" s="1236"/>
      <c r="AE18" s="1236"/>
      <c r="AF18" s="1236"/>
      <c r="AG18" s="1236"/>
      <c r="AH18" s="1236"/>
      <c r="AI18" s="1236"/>
      <c r="AJ18" s="1236"/>
      <c r="AK18" s="1236"/>
      <c r="AL18" s="1236"/>
      <c r="AM18" s="1236"/>
    </row>
    <row r="19" spans="1:39" ht="12.9" customHeight="1">
      <c r="B19" s="490"/>
      <c r="C19" s="1605" t="s">
        <v>1267</v>
      </c>
      <c r="D19" s="1605"/>
      <c r="E19" s="1605"/>
      <c r="F19" s="1605"/>
      <c r="G19" s="1605"/>
      <c r="H19" s="1605"/>
      <c r="I19" s="1605"/>
      <c r="J19" s="1605"/>
      <c r="K19" s="1605"/>
      <c r="L19" s="1605"/>
      <c r="M19" s="1605"/>
      <c r="N19" s="1605"/>
      <c r="O19" s="1605"/>
      <c r="P19" s="1605"/>
      <c r="Q19" s="1605"/>
      <c r="R19" s="1605"/>
      <c r="S19" s="1606"/>
      <c r="T19" s="1060"/>
      <c r="U19" s="1236"/>
      <c r="V19" s="1236"/>
      <c r="W19" s="1236"/>
      <c r="X19" s="1236"/>
      <c r="Y19" s="1060"/>
      <c r="Z19" s="1236"/>
      <c r="AA19" s="1236"/>
      <c r="AB19" s="1236"/>
      <c r="AC19" s="1236"/>
      <c r="AD19" s="1236"/>
      <c r="AE19" s="1236"/>
      <c r="AF19" s="1236"/>
      <c r="AG19" s="1236"/>
      <c r="AH19" s="1236"/>
      <c r="AI19" s="1236"/>
      <c r="AJ19" s="1236"/>
      <c r="AK19" s="1236"/>
      <c r="AL19" s="1236"/>
      <c r="AM19" s="1236"/>
    </row>
    <row r="20" spans="1:39" ht="12.9" customHeight="1">
      <c r="B20" s="1089" t="s">
        <v>806</v>
      </c>
      <c r="C20" s="1090"/>
      <c r="D20" s="1090"/>
      <c r="E20" s="1090"/>
      <c r="F20" s="1090"/>
      <c r="G20" s="1090"/>
      <c r="H20" s="1090"/>
      <c r="I20" s="1090"/>
      <c r="J20" s="1090"/>
      <c r="K20" s="1090"/>
      <c r="L20" s="1090"/>
      <c r="M20" s="1090"/>
      <c r="N20" s="1090"/>
      <c r="O20" s="1090"/>
      <c r="P20" s="1090"/>
      <c r="Q20" s="1090"/>
      <c r="R20" s="1090"/>
      <c r="S20" s="1092"/>
      <c r="T20" s="1579">
        <f>SUM(T13:X19)</f>
        <v>0</v>
      </c>
      <c r="U20" s="1307"/>
      <c r="V20" s="1307"/>
      <c r="W20" s="1307"/>
      <c r="X20" s="1307"/>
      <c r="Y20" s="1579">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 customHeight="1">
      <c r="B21" s="1089" t="s">
        <v>1782</v>
      </c>
      <c r="C21" s="1090"/>
      <c r="D21" s="1090"/>
      <c r="E21" s="1090"/>
      <c r="F21" s="1090"/>
      <c r="G21" s="1090"/>
      <c r="H21" s="1090"/>
      <c r="I21" s="1090"/>
      <c r="J21" s="1090"/>
      <c r="K21" s="1090"/>
      <c r="L21" s="1090"/>
      <c r="M21" s="1090"/>
      <c r="N21" s="1090"/>
      <c r="O21" s="1090"/>
      <c r="P21" s="1090"/>
      <c r="Q21" s="1090"/>
      <c r="R21" s="1090"/>
      <c r="S21" s="1092"/>
      <c r="T21" s="1060">
        <v>974400</v>
      </c>
      <c r="U21" s="1236"/>
      <c r="V21" s="1236"/>
      <c r="W21" s="1236"/>
      <c r="X21" s="1236"/>
      <c r="Y21" s="1060"/>
      <c r="Z21" s="1236"/>
      <c r="AA21" s="1236"/>
      <c r="AB21" s="1236"/>
      <c r="AC21" s="1236"/>
      <c r="AD21" s="1060"/>
      <c r="AE21" s="1236"/>
      <c r="AF21" s="1236"/>
      <c r="AG21" s="1236"/>
      <c r="AH21" s="1236"/>
      <c r="AI21" s="1060"/>
      <c r="AJ21" s="1236"/>
      <c r="AK21" s="1236"/>
      <c r="AL21" s="1236"/>
      <c r="AM21" s="1236"/>
    </row>
    <row r="22" spans="1:39" ht="12.9" customHeight="1">
      <c r="B22" s="1089" t="s">
        <v>807</v>
      </c>
      <c r="C22" s="1090"/>
      <c r="D22" s="1090"/>
      <c r="E22" s="1090"/>
      <c r="F22" s="1090"/>
      <c r="G22" s="1090"/>
      <c r="H22" s="1090"/>
      <c r="I22" s="1090"/>
      <c r="J22" s="1090"/>
      <c r="K22" s="1090"/>
      <c r="L22" s="1090"/>
      <c r="M22" s="1090"/>
      <c r="N22" s="1090"/>
      <c r="O22" s="1090"/>
      <c r="P22" s="1090"/>
      <c r="Q22" s="1090"/>
      <c r="R22" s="1090"/>
      <c r="S22" s="1092"/>
      <c r="T22" s="1614">
        <f>(ABS(T20)+ABS(T21))*-1</f>
        <v>-974400</v>
      </c>
      <c r="U22" s="1615"/>
      <c r="V22" s="1615"/>
      <c r="W22" s="1615"/>
      <c r="X22" s="1615"/>
      <c r="Y22" s="1614">
        <f t="shared" ref="Y22" si="0">(ABS(Y20)+ABS(Y21))*-1</f>
        <v>0</v>
      </c>
      <c r="Z22" s="1615"/>
      <c r="AA22" s="1615"/>
      <c r="AB22" s="1615"/>
      <c r="AC22" s="1615"/>
      <c r="AD22" s="1614">
        <f t="shared" ref="AD22" si="1">(ABS(AD20)+ABS(AD21))*-1</f>
        <v>0</v>
      </c>
      <c r="AE22" s="1615"/>
      <c r="AF22" s="1615"/>
      <c r="AG22" s="1615"/>
      <c r="AH22" s="1615"/>
      <c r="AI22" s="1614">
        <f t="shared" ref="AI22" si="2">(ABS(AI20)+ABS(AI21))*-1</f>
        <v>0</v>
      </c>
      <c r="AJ22" s="1615"/>
      <c r="AK22" s="1615"/>
      <c r="AL22" s="1615"/>
      <c r="AM22" s="1615"/>
    </row>
    <row r="23" spans="1:39" ht="12.9" customHeight="1">
      <c r="B23" s="1089" t="s">
        <v>1995</v>
      </c>
      <c r="C23" s="1090"/>
      <c r="D23" s="1090"/>
      <c r="E23" s="1090"/>
      <c r="F23" s="1090"/>
      <c r="G23" s="1090"/>
      <c r="H23" s="1090"/>
      <c r="I23" s="1090"/>
      <c r="J23" s="1090"/>
      <c r="K23" s="1090"/>
      <c r="L23" s="1090"/>
      <c r="M23" s="1090"/>
      <c r="N23" s="1090"/>
      <c r="O23" s="1090"/>
      <c r="P23" s="1090"/>
      <c r="Q23" s="1090"/>
      <c r="R23" s="1090"/>
      <c r="S23" s="1092"/>
      <c r="T23" s="1579">
        <f>T11+T22</f>
        <v>11920705</v>
      </c>
      <c r="U23" s="1307"/>
      <c r="V23" s="1307"/>
      <c r="W23" s="1307"/>
      <c r="X23" s="1307"/>
      <c r="Y23" s="1579">
        <f>Y11+Y22</f>
        <v>0</v>
      </c>
      <c r="Z23" s="1307"/>
      <c r="AA23" s="1307"/>
      <c r="AB23" s="1307"/>
      <c r="AC23" s="1307"/>
      <c r="AD23" s="1579">
        <f>IF(AD11=AD21,0,AD11)</f>
        <v>0</v>
      </c>
      <c r="AE23" s="1307"/>
      <c r="AF23" s="1307"/>
      <c r="AG23" s="1307"/>
      <c r="AH23" s="1307"/>
      <c r="AI23" s="1579">
        <f>IF(AI11=AI21,0,AI11)</f>
        <v>0</v>
      </c>
      <c r="AJ23" s="1307"/>
      <c r="AK23" s="1307"/>
      <c r="AL23" s="1307"/>
      <c r="AM23" s="1307"/>
    </row>
    <row r="24" spans="1:39" ht="12.9" customHeight="1">
      <c r="B24" s="1089" t="s">
        <v>1268</v>
      </c>
      <c r="C24" s="1090"/>
      <c r="D24" s="1090"/>
      <c r="E24" s="1090"/>
      <c r="F24" s="1090"/>
      <c r="G24" s="1090"/>
      <c r="H24" s="1090"/>
      <c r="I24" s="1090"/>
      <c r="J24" s="1090"/>
      <c r="K24" s="1090"/>
      <c r="L24" s="1090"/>
      <c r="M24" s="1090"/>
      <c r="N24" s="1090"/>
      <c r="O24" s="1090"/>
      <c r="P24" s="1090"/>
      <c r="Q24" s="1090"/>
      <c r="R24" s="1090"/>
      <c r="S24" s="1092"/>
      <c r="T24" s="1580">
        <f>Application!AJ988</f>
        <v>15797797</v>
      </c>
      <c r="U24" s="1581"/>
      <c r="V24" s="1581"/>
      <c r="W24" s="1581"/>
      <c r="X24" s="1581"/>
      <c r="Y24" s="1581"/>
      <c r="Z24" s="1581"/>
      <c r="AA24" s="1581"/>
      <c r="AB24" s="1581"/>
      <c r="AC24" s="1581"/>
      <c r="AD24" s="1581"/>
      <c r="AE24" s="1581"/>
      <c r="AF24" s="1581"/>
      <c r="AG24" s="1581"/>
      <c r="AH24" s="1581"/>
      <c r="AI24" s="1581"/>
      <c r="AJ24" s="1581"/>
      <c r="AK24" s="1581"/>
      <c r="AL24" s="1581"/>
      <c r="AM24" s="1579"/>
    </row>
    <row r="25" spans="1:39" ht="12.9" customHeight="1">
      <c r="B25" s="1621" t="s">
        <v>1997</v>
      </c>
      <c r="C25" s="1622"/>
      <c r="D25" s="1622"/>
      <c r="E25" s="1622"/>
      <c r="F25" s="1622"/>
      <c r="G25" s="1622"/>
      <c r="H25" s="1622"/>
      <c r="I25" s="1622"/>
      <c r="J25" s="1622"/>
      <c r="K25" s="1622"/>
      <c r="L25" s="1622"/>
      <c r="M25" s="1622"/>
      <c r="N25" s="1622"/>
      <c r="O25" s="1622"/>
      <c r="P25" s="1622"/>
      <c r="Q25" s="1622"/>
      <c r="R25" s="1622"/>
      <c r="S25" s="1623"/>
      <c r="T25" s="1616">
        <f>IF(OR(AND(Application!T193="no",Application!T194="no",Application!T196="no",Application!Y211="no"),Application!T195="yes"),1,1.3)</f>
        <v>1.3</v>
      </c>
      <c r="U25" s="1617"/>
      <c r="V25" s="1617"/>
      <c r="W25" s="1617"/>
      <c r="X25" s="1617"/>
      <c r="Y25" s="1616">
        <v>1</v>
      </c>
      <c r="Z25" s="1617"/>
      <c r="AA25" s="1617"/>
      <c r="AB25" s="1617"/>
      <c r="AC25" s="1620"/>
      <c r="AD25" s="1616">
        <v>1</v>
      </c>
      <c r="AE25" s="1617"/>
      <c r="AF25" s="1617"/>
      <c r="AG25" s="1617"/>
      <c r="AH25" s="1620"/>
      <c r="AI25" s="1616">
        <v>1</v>
      </c>
      <c r="AJ25" s="1617"/>
      <c r="AK25" s="1617"/>
      <c r="AL25" s="1617"/>
      <c r="AM25" s="1620"/>
    </row>
    <row r="26" spans="1:39" ht="12.9" customHeight="1">
      <c r="B26" s="1089" t="s">
        <v>809</v>
      </c>
      <c r="C26" s="1090"/>
      <c r="D26" s="1090"/>
      <c r="E26" s="1090"/>
      <c r="F26" s="1090"/>
      <c r="G26" s="1090"/>
      <c r="H26" s="1090"/>
      <c r="I26" s="1090"/>
      <c r="J26" s="1090"/>
      <c r="K26" s="1090"/>
      <c r="L26" s="1090"/>
      <c r="M26" s="1090"/>
      <c r="N26" s="1090"/>
      <c r="O26" s="1090"/>
      <c r="P26" s="1090"/>
      <c r="Q26" s="1090"/>
      <c r="R26" s="1090"/>
      <c r="S26" s="1092"/>
      <c r="T26" s="1232">
        <f>T23*T25</f>
        <v>15496916.5</v>
      </c>
      <c r="U26" s="1591"/>
      <c r="V26" s="1591"/>
      <c r="W26" s="1591"/>
      <c r="X26" s="1591"/>
      <c r="Y26" s="1232">
        <f>Y23*Y25</f>
        <v>0</v>
      </c>
      <c r="Z26" s="1591"/>
      <c r="AA26" s="1591"/>
      <c r="AB26" s="1591"/>
      <c r="AC26" s="1591"/>
      <c r="AD26" s="1232">
        <f>AD23*AD25</f>
        <v>0</v>
      </c>
      <c r="AE26" s="1591"/>
      <c r="AF26" s="1591"/>
      <c r="AG26" s="1591"/>
      <c r="AH26" s="1591"/>
      <c r="AI26" s="1232">
        <f>AI23*AI25</f>
        <v>0</v>
      </c>
      <c r="AJ26" s="1591"/>
      <c r="AK26" s="1591"/>
      <c r="AL26" s="1591"/>
      <c r="AM26" s="1591"/>
    </row>
    <row r="27" spans="1:39" ht="12.9" customHeight="1">
      <c r="A27" s="4"/>
      <c r="B27" s="1624" t="s">
        <v>918</v>
      </c>
      <c r="C27" s="1625"/>
      <c r="D27" s="1625"/>
      <c r="E27" s="1625"/>
      <c r="F27" s="1625"/>
      <c r="G27" s="1625"/>
      <c r="H27" s="1625"/>
      <c r="I27" s="1625"/>
      <c r="J27" s="1625"/>
      <c r="K27" s="1625"/>
      <c r="L27" s="1625"/>
      <c r="M27" s="1625"/>
      <c r="N27" s="1625"/>
      <c r="O27" s="1625"/>
      <c r="P27" s="1625"/>
      <c r="Q27" s="1625"/>
      <c r="R27" s="1625"/>
      <c r="S27" s="1626"/>
      <c r="T27" s="1618">
        <f>Application!AG438</f>
        <v>1</v>
      </c>
      <c r="U27" s="1619"/>
      <c r="V27" s="1619"/>
      <c r="W27" s="1619"/>
      <c r="X27" s="1619"/>
      <c r="Y27" s="1618">
        <f>Application!AG438</f>
        <v>1</v>
      </c>
      <c r="Z27" s="1619"/>
      <c r="AA27" s="1619"/>
      <c r="AB27" s="1619"/>
      <c r="AC27" s="1619"/>
      <c r="AD27" s="1618">
        <f>Application!AG438</f>
        <v>1</v>
      </c>
      <c r="AE27" s="1619"/>
      <c r="AF27" s="1619"/>
      <c r="AG27" s="1619"/>
      <c r="AH27" s="1619"/>
      <c r="AI27" s="1618">
        <f>Application!AG438</f>
        <v>1</v>
      </c>
      <c r="AJ27" s="1619"/>
      <c r="AK27" s="1619"/>
      <c r="AL27" s="1619"/>
      <c r="AM27" s="1619"/>
    </row>
    <row r="28" spans="1:39" ht="12.9" customHeight="1">
      <c r="A28" s="3"/>
      <c r="B28" s="1089" t="s">
        <v>882</v>
      </c>
      <c r="C28" s="1090"/>
      <c r="D28" s="1090"/>
      <c r="E28" s="1090"/>
      <c r="F28" s="1090"/>
      <c r="G28" s="1090"/>
      <c r="H28" s="1090"/>
      <c r="I28" s="1090"/>
      <c r="J28" s="1090"/>
      <c r="K28" s="1090"/>
      <c r="L28" s="1090"/>
      <c r="M28" s="1090"/>
      <c r="N28" s="1090"/>
      <c r="O28" s="1090"/>
      <c r="P28" s="1090"/>
      <c r="Q28" s="1090"/>
      <c r="R28" s="1090"/>
      <c r="S28" s="1092"/>
      <c r="T28" s="1232">
        <f>IF(ISERROR((T26*T27)),0,(T26*T27))</f>
        <v>15496916.5</v>
      </c>
      <c r="U28" s="1591"/>
      <c r="V28" s="1591"/>
      <c r="W28" s="1591"/>
      <c r="X28" s="1591"/>
      <c r="Y28" s="1232">
        <f>IF(ISERROR((Y26*Y27)),0,(Y26*Y27))</f>
        <v>0</v>
      </c>
      <c r="Z28" s="1591"/>
      <c r="AA28" s="1591"/>
      <c r="AB28" s="1591"/>
      <c r="AC28" s="1591"/>
      <c r="AD28" s="1232">
        <f>IF(ISERROR((AD26*AD27)),0,(AD26*AD27))</f>
        <v>0</v>
      </c>
      <c r="AE28" s="1591"/>
      <c r="AF28" s="1591"/>
      <c r="AG28" s="1591"/>
      <c r="AH28" s="1591"/>
      <c r="AI28" s="1232">
        <f>IF(ISERROR((AI26*AI27)),0,(AI26*AI27))</f>
        <v>0</v>
      </c>
      <c r="AJ28" s="1591"/>
      <c r="AK28" s="1591"/>
      <c r="AL28" s="1591"/>
      <c r="AM28" s="1591"/>
    </row>
    <row r="29" spans="1:39" ht="12.9" customHeight="1">
      <c r="B29" s="1089" t="s">
        <v>657</v>
      </c>
      <c r="C29" s="1090"/>
      <c r="D29" s="1090"/>
      <c r="E29" s="1090"/>
      <c r="F29" s="1090"/>
      <c r="G29" s="1090"/>
      <c r="H29" s="1090"/>
      <c r="I29" s="1090"/>
      <c r="J29" s="1090"/>
      <c r="K29" s="1090"/>
      <c r="L29" s="1090"/>
      <c r="M29" s="1090"/>
      <c r="N29" s="1090"/>
      <c r="O29" s="1090"/>
      <c r="P29" s="1090"/>
      <c r="Q29" s="1090"/>
      <c r="R29" s="1090"/>
      <c r="S29" s="1092"/>
      <c r="T29" s="1580">
        <f>T28+Y28+AD28+AI28</f>
        <v>15496916.5</v>
      </c>
      <c r="U29" s="1581"/>
      <c r="V29" s="1581"/>
      <c r="W29" s="1581"/>
      <c r="X29" s="1581"/>
      <c r="Y29" s="1581"/>
      <c r="Z29" s="1581"/>
      <c r="AA29" s="1581"/>
      <c r="AB29" s="1581"/>
      <c r="AC29" s="1581"/>
      <c r="AD29" s="1581"/>
      <c r="AE29" s="1581"/>
      <c r="AF29" s="1581"/>
      <c r="AG29" s="1581"/>
      <c r="AH29" s="1581"/>
      <c r="AI29" s="1581"/>
      <c r="AJ29" s="1581"/>
      <c r="AK29" s="1581"/>
      <c r="AL29" s="1581"/>
      <c r="AM29" s="1579"/>
    </row>
    <row r="30" spans="1:39" ht="12.9" customHeight="1">
      <c r="B30" s="1596" t="s">
        <v>1996</v>
      </c>
      <c r="C30" s="1596"/>
      <c r="D30" s="1596"/>
      <c r="E30" s="1596"/>
      <c r="F30" s="1596"/>
      <c r="G30" s="1596"/>
      <c r="H30" s="1596"/>
      <c r="I30" s="1596"/>
      <c r="J30" s="1596"/>
      <c r="K30" s="1596"/>
      <c r="L30" s="1596"/>
      <c r="M30" s="1596"/>
      <c r="N30" s="1596"/>
      <c r="O30" s="1596"/>
      <c r="P30" s="1596"/>
      <c r="Q30" s="1596"/>
      <c r="R30" s="1596"/>
      <c r="S30" s="1596"/>
      <c r="T30" s="1596"/>
      <c r="U30" s="1596"/>
      <c r="V30" s="1596"/>
      <c r="W30" s="1596"/>
      <c r="X30" s="1596"/>
      <c r="Y30" s="1596"/>
      <c r="Z30" s="1596"/>
      <c r="AA30" s="1596"/>
      <c r="AB30" s="1596"/>
      <c r="AC30" s="1596"/>
      <c r="AD30" s="1596"/>
      <c r="AE30" s="1596"/>
      <c r="AF30" s="1596"/>
      <c r="AG30" s="1596"/>
      <c r="AH30" s="1596"/>
      <c r="AI30" s="1596"/>
      <c r="AJ30" s="1596"/>
      <c r="AK30" s="1596"/>
      <c r="AL30" s="1596"/>
      <c r="AM30" s="1596"/>
    </row>
    <row r="31" spans="1:39" ht="12.9" customHeight="1">
      <c r="B31" s="1574" t="s">
        <v>1998</v>
      </c>
      <c r="C31" s="1574"/>
      <c r="D31" s="1574"/>
      <c r="E31" s="1574"/>
      <c r="F31" s="1574"/>
      <c r="G31" s="1574"/>
      <c r="H31" s="1574"/>
      <c r="I31" s="1574"/>
      <c r="J31" s="1574"/>
      <c r="K31" s="1574"/>
      <c r="L31" s="1574"/>
      <c r="M31" s="1574"/>
      <c r="N31" s="1574"/>
      <c r="O31" s="1574"/>
      <c r="P31" s="1574"/>
      <c r="Q31" s="1574"/>
      <c r="R31" s="1574"/>
      <c r="S31" s="1574"/>
      <c r="T31" s="1574"/>
      <c r="U31" s="1574"/>
      <c r="V31" s="1574"/>
      <c r="W31" s="1574"/>
      <c r="X31" s="1574"/>
      <c r="Y31" s="1574"/>
      <c r="Z31" s="1574"/>
      <c r="AA31" s="1574"/>
      <c r="AB31" s="1574"/>
      <c r="AC31" s="1574"/>
      <c r="AD31" s="1574"/>
      <c r="AE31" s="1574"/>
      <c r="AF31" s="1574"/>
      <c r="AG31" s="1574"/>
      <c r="AH31" s="1574"/>
      <c r="AI31" s="1574"/>
      <c r="AJ31" s="1574"/>
      <c r="AK31" s="1574"/>
      <c r="AL31" s="1574"/>
      <c r="AM31" s="1574"/>
    </row>
    <row r="33" spans="1:44" ht="12.9" customHeight="1">
      <c r="C33" s="4"/>
      <c r="X33" s="62"/>
      <c r="Y33" s="181"/>
      <c r="Z33" s="181"/>
      <c r="AA33" s="181"/>
      <c r="AB33" s="181"/>
      <c r="AC33" s="181"/>
      <c r="AD33" s="181"/>
      <c r="AE33" s="181"/>
      <c r="AF33" s="181"/>
      <c r="AG33" s="181"/>
      <c r="AH33" s="181"/>
    </row>
    <row r="34" spans="1:44" ht="12.9" customHeight="1">
      <c r="A34" s="3" t="s">
        <v>8</v>
      </c>
      <c r="C34" s="3" t="s">
        <v>220</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82" t="s">
        <v>1674</v>
      </c>
      <c r="Z35" s="1582"/>
      <c r="AA35" s="1582"/>
      <c r="AB35" s="1582"/>
      <c r="AC35" s="1582"/>
      <c r="AD35" s="1222" t="s">
        <v>45</v>
      </c>
      <c r="AE35" s="1222"/>
      <c r="AF35" s="1222"/>
      <c r="AG35" s="1222"/>
      <c r="AH35" s="1222"/>
    </row>
    <row r="36" spans="1:44" ht="12.9" customHeight="1">
      <c r="B36" s="204"/>
      <c r="X36" s="71"/>
      <c r="Y36" s="1582"/>
      <c r="Z36" s="1582"/>
      <c r="AA36" s="1582"/>
      <c r="AB36" s="1582"/>
      <c r="AC36" s="1582"/>
      <c r="AD36" s="1222"/>
      <c r="AE36" s="1222"/>
      <c r="AF36" s="1222"/>
      <c r="AG36" s="1222"/>
      <c r="AH36" s="1222"/>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82"/>
      <c r="Z37" s="1582"/>
      <c r="AA37" s="1582"/>
      <c r="AB37" s="1582"/>
      <c r="AC37" s="1582"/>
      <c r="AD37" s="1222"/>
      <c r="AE37" s="1222"/>
      <c r="AF37" s="1222"/>
      <c r="AG37" s="1222"/>
      <c r="AH37" s="1222"/>
    </row>
    <row r="38" spans="1:44" ht="12.9" customHeight="1">
      <c r="A38" s="3"/>
      <c r="B38" s="1089" t="s">
        <v>882</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7">
        <f>IF(T24&gt;=(T23+Y23+AD23+AI23),T28+Y28,0)</f>
        <v>15496916.5</v>
      </c>
      <c r="Z38" s="1307"/>
      <c r="AA38" s="1307"/>
      <c r="AB38" s="1307"/>
      <c r="AC38" s="1307"/>
      <c r="AD38" s="1307">
        <f>IF(T24&gt;=(T23+Y23+AD23+AI23),AD28+AI28,0)</f>
        <v>0</v>
      </c>
      <c r="AE38" s="1307"/>
      <c r="AF38" s="1307"/>
      <c r="AG38" s="1307"/>
      <c r="AH38" s="1307"/>
    </row>
    <row r="39" spans="1:44" ht="12.9" customHeight="1">
      <c r="B39" s="1089" t="s">
        <v>1889</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578">
        <v>0.09</v>
      </c>
      <c r="Z39" s="1578"/>
      <c r="AA39" s="1578"/>
      <c r="AB39" s="1578"/>
      <c r="AC39" s="1578"/>
      <c r="AD39" s="1578">
        <v>0.04</v>
      </c>
      <c r="AE39" s="1578"/>
      <c r="AF39" s="1578"/>
      <c r="AG39" s="1578"/>
      <c r="AH39" s="1578"/>
    </row>
    <row r="40" spans="1:44" ht="12.9"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7">
        <f>ROUND(Y38*Y39,0)</f>
        <v>1394722</v>
      </c>
      <c r="Z40" s="1307"/>
      <c r="AA40" s="1307"/>
      <c r="AB40" s="1307"/>
      <c r="AC40" s="1307"/>
      <c r="AD40" s="1579">
        <f>ROUND(AD38*AD39,0)</f>
        <v>0</v>
      </c>
      <c r="AE40" s="1307"/>
      <c r="AF40" s="1307"/>
      <c r="AG40" s="1307"/>
      <c r="AH40" s="1307"/>
    </row>
    <row r="41" spans="1:44" ht="12.9" customHeight="1">
      <c r="B41" s="1089" t="s">
        <v>651</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0">
        <f>IF(Application!Y211="No",'Basis &amp; Credits'!AR42,AR43)</f>
        <v>1394722</v>
      </c>
      <c r="Z41" s="1581"/>
      <c r="AA41" s="1581"/>
      <c r="AB41" s="1581"/>
      <c r="AC41" s="1581"/>
      <c r="AD41" s="1581"/>
      <c r="AE41" s="1581"/>
      <c r="AF41" s="1581"/>
      <c r="AG41" s="1581"/>
      <c r="AH41" s="1579"/>
    </row>
    <row r="42" spans="1:44" ht="12.9" customHeight="1">
      <c r="A42" s="3"/>
      <c r="B42" s="1590" t="s">
        <v>1890</v>
      </c>
      <c r="C42" s="1590"/>
      <c r="D42" s="1590"/>
      <c r="E42" s="1590"/>
      <c r="F42" s="1590"/>
      <c r="G42" s="1590"/>
      <c r="H42" s="1590"/>
      <c r="I42" s="1590"/>
      <c r="J42" s="1590"/>
      <c r="K42" s="1590"/>
      <c r="L42" s="1590"/>
      <c r="M42" s="1590"/>
      <c r="N42" s="1590"/>
      <c r="O42" s="1590"/>
      <c r="P42" s="1590"/>
      <c r="Q42" s="1590"/>
      <c r="R42" s="1590"/>
      <c r="S42" s="1590"/>
      <c r="T42" s="1590"/>
      <c r="U42" s="1590"/>
      <c r="V42" s="1590"/>
      <c r="W42" s="1590"/>
      <c r="X42" s="1590"/>
      <c r="Y42" s="1590"/>
      <c r="Z42" s="1590"/>
      <c r="AA42" s="1590"/>
      <c r="AB42" s="1590"/>
      <c r="AC42" s="1590"/>
      <c r="AD42" s="1590"/>
      <c r="AE42" s="1590"/>
      <c r="AF42" s="1590"/>
      <c r="AG42" s="1590"/>
      <c r="AH42" s="1590"/>
      <c r="AI42" s="26"/>
      <c r="AJ42" s="26"/>
      <c r="AK42" s="26"/>
      <c r="AL42" s="26"/>
      <c r="AM42" s="26"/>
      <c r="AN42" s="26"/>
      <c r="AR42">
        <f>IF((Y40+AD40)&gt;2500000,2500000,Y40+AD40)</f>
        <v>1394722</v>
      </c>
    </row>
    <row r="43" spans="1:44" ht="12.9"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1394722</v>
      </c>
    </row>
    <row r="44" spans="1:44" ht="12.9"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 customHeight="1">
      <c r="A45" s="3" t="s">
        <v>126</v>
      </c>
      <c r="C45" s="3" t="s">
        <v>266</v>
      </c>
    </row>
    <row r="46" spans="1:44" ht="12.9" customHeight="1">
      <c r="D46" s="3" t="s">
        <v>267</v>
      </c>
      <c r="AB46" s="1147">
        <f>'Sources and Uses Budget'!B104-(MAX(IF('Sources and Uses Budget'!B15="",0,'Sources and Uses Budget'!B15),IF(Application!AG387="",0,Application!AG387)))</f>
        <v>14223843</v>
      </c>
      <c r="AC46" s="1148"/>
      <c r="AD46" s="1148"/>
      <c r="AE46" s="1148"/>
      <c r="AF46" s="1149"/>
    </row>
    <row r="47" spans="1:44" ht="12.9" customHeight="1">
      <c r="D47" s="3" t="s">
        <v>876</v>
      </c>
      <c r="AB47" s="1147">
        <f>Application!AO630-MAX(IF('Sources and Uses Budget'!B15="",0,'Sources and Uses Budget'!B15),IF(Application!AG387="",0,Application!AG387))</f>
        <v>2229231</v>
      </c>
      <c r="AC47" s="1148"/>
      <c r="AD47" s="1148"/>
      <c r="AE47" s="1148"/>
      <c r="AF47" s="1149"/>
    </row>
    <row r="48" spans="1:44" ht="12.9" customHeight="1">
      <c r="D48" s="3" t="s">
        <v>401</v>
      </c>
      <c r="AB48" s="1147">
        <f>AB46-AB47</f>
        <v>11994612</v>
      </c>
      <c r="AC48" s="1148"/>
      <c r="AD48" s="1148"/>
      <c r="AE48" s="1148"/>
      <c r="AF48" s="1149"/>
    </row>
    <row r="49" spans="1:40" ht="12.9" customHeight="1">
      <c r="D49" s="3" t="s">
        <v>911</v>
      </c>
      <c r="AA49" s="34"/>
      <c r="AB49" s="1585">
        <v>0.86000020075000005</v>
      </c>
      <c r="AC49" s="1586"/>
      <c r="AD49" s="1586"/>
      <c r="AE49" s="1586"/>
      <c r="AF49" s="1587"/>
    </row>
    <row r="50" spans="1:40" s="324" customFormat="1" ht="12.9" customHeight="1">
      <c r="A50"/>
      <c r="B50"/>
      <c r="C50"/>
      <c r="D50"/>
      <c r="E50" s="1595" t="s">
        <v>2045</v>
      </c>
      <c r="F50" s="1595"/>
      <c r="G50" s="1595"/>
      <c r="H50" s="1595"/>
      <c r="I50" s="1595"/>
      <c r="J50" s="1595"/>
      <c r="K50" s="1595"/>
      <c r="L50" s="1595"/>
      <c r="M50" s="1595"/>
      <c r="N50" s="1595"/>
      <c r="O50" s="1595"/>
      <c r="P50" s="1595"/>
      <c r="Q50" s="1595"/>
      <c r="R50" s="1595"/>
      <c r="S50" s="1595"/>
      <c r="T50" s="1595"/>
      <c r="U50" s="1595"/>
      <c r="V50" s="1595"/>
      <c r="W50" s="1595"/>
      <c r="X50" s="1595"/>
      <c r="Y50" s="1595"/>
      <c r="Z50" s="1595"/>
      <c r="AA50" s="358"/>
      <c r="AB50" s="358"/>
      <c r="AC50" s="358"/>
      <c r="AD50" s="358"/>
      <c r="AE50" s="358"/>
      <c r="AF50" s="358"/>
      <c r="AG50"/>
      <c r="AH50"/>
      <c r="AI50"/>
      <c r="AJ50"/>
      <c r="AK50"/>
      <c r="AL50"/>
      <c r="AM50"/>
      <c r="AN50"/>
    </row>
    <row r="51" spans="1:40" s="324" customFormat="1" ht="12.9" customHeight="1">
      <c r="A51"/>
      <c r="B51"/>
      <c r="C51"/>
      <c r="D51"/>
      <c r="E51" s="1595"/>
      <c r="F51" s="1595"/>
      <c r="G51" s="1595"/>
      <c r="H51" s="1595"/>
      <c r="I51" s="1595"/>
      <c r="J51" s="1595"/>
      <c r="K51" s="1595"/>
      <c r="L51" s="1595"/>
      <c r="M51" s="1595"/>
      <c r="N51" s="1595"/>
      <c r="O51" s="1595"/>
      <c r="P51" s="1595"/>
      <c r="Q51" s="1595"/>
      <c r="R51" s="1595"/>
      <c r="S51" s="1595"/>
      <c r="T51" s="1595"/>
      <c r="U51" s="1595"/>
      <c r="V51" s="1595"/>
      <c r="W51" s="1595"/>
      <c r="X51" s="1595"/>
      <c r="Y51" s="1595"/>
      <c r="Z51" s="1595"/>
      <c r="AA51" s="496"/>
      <c r="AB51" s="496"/>
      <c r="AC51" s="496"/>
      <c r="AD51" s="496"/>
      <c r="AE51" s="496"/>
      <c r="AF51" s="496"/>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26</v>
      </c>
      <c r="AB53" s="1147">
        <f>ROUND(IF(ISERROR((AB48/AB49)),0,(AB48/AB49)),0)</f>
        <v>13947220</v>
      </c>
      <c r="AC53" s="1148"/>
      <c r="AD53" s="1148"/>
      <c r="AE53" s="1148"/>
      <c r="AF53" s="1149"/>
    </row>
    <row r="54" spans="1:40" ht="12.9" customHeight="1">
      <c r="D54" s="3" t="s">
        <v>590</v>
      </c>
      <c r="AB54" s="1147">
        <f>(AB53/10)</f>
        <v>1394722</v>
      </c>
      <c r="AC54" s="1148"/>
      <c r="AD54" s="1148"/>
      <c r="AE54" s="1148"/>
      <c r="AF54" s="1149"/>
    </row>
    <row r="55" spans="1:40" ht="12.9" customHeight="1">
      <c r="D55" s="3" t="s">
        <v>360</v>
      </c>
      <c r="AB55" s="1592">
        <f>(IF((Y41&lt;AB54),Y41,AB54))</f>
        <v>1394722</v>
      </c>
      <c r="AC55" s="1593"/>
      <c r="AD55" s="1593"/>
      <c r="AE55" s="1593"/>
      <c r="AF55" s="1594"/>
    </row>
    <row r="56" spans="1:40" ht="12.9" customHeight="1">
      <c r="D56" s="3" t="s">
        <v>114</v>
      </c>
      <c r="AB56" s="1147">
        <f>ROUND((10*AB55*AB49),0)</f>
        <v>11994612</v>
      </c>
      <c r="AC56" s="1148"/>
      <c r="AD56" s="1148"/>
      <c r="AE56" s="1148"/>
      <c r="AF56" s="1149"/>
    </row>
    <row r="57" spans="1:40" ht="12.9" customHeight="1">
      <c r="D57" s="3"/>
      <c r="AB57" s="276"/>
      <c r="AC57" s="276"/>
      <c r="AD57" s="276"/>
      <c r="AE57" s="276"/>
      <c r="AF57" s="276"/>
    </row>
    <row r="58" spans="1:40" ht="12.9" customHeight="1">
      <c r="D58" s="3" t="s">
        <v>113</v>
      </c>
      <c r="AB58" s="1153">
        <f>AB48-AB56</f>
        <v>0</v>
      </c>
      <c r="AC58" s="1153"/>
      <c r="AD58" s="1153"/>
      <c r="AE58" s="1153"/>
      <c r="AF58" s="1153"/>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75" t="s">
        <v>1821</v>
      </c>
      <c r="B60" s="1575"/>
      <c r="C60" s="1575"/>
      <c r="D60" s="1575"/>
      <c r="E60" s="1575"/>
      <c r="F60" s="1575"/>
      <c r="G60" s="1575"/>
      <c r="H60" s="1575"/>
      <c r="I60" s="1575"/>
      <c r="J60" s="1575"/>
      <c r="K60" s="1575"/>
      <c r="L60" s="1575"/>
      <c r="M60" s="1575"/>
      <c r="N60" s="1575"/>
      <c r="O60" s="1575"/>
      <c r="P60" s="1575"/>
      <c r="Q60" s="1575"/>
      <c r="R60" s="1575"/>
      <c r="S60" s="1575"/>
      <c r="T60" s="1575"/>
      <c r="U60" s="1575"/>
      <c r="V60" s="1575"/>
      <c r="W60" s="1575"/>
      <c r="X60" s="1575"/>
      <c r="Y60" s="1575"/>
      <c r="Z60" s="1575"/>
      <c r="AA60" s="1575"/>
      <c r="AB60" s="1575"/>
      <c r="AC60" s="1575"/>
      <c r="AD60" s="1575"/>
      <c r="AE60" s="1575"/>
      <c r="AF60" s="1575"/>
      <c r="AG60" s="1575"/>
      <c r="AH60" s="1575"/>
      <c r="AI60" s="1575"/>
      <c r="AJ60" s="1575"/>
      <c r="AK60" s="1575"/>
      <c r="AL60" s="1575"/>
      <c r="AM60" s="1575"/>
      <c r="AN60" s="1575"/>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129</v>
      </c>
      <c r="C62" s="3" t="s">
        <v>538</v>
      </c>
      <c r="Y62" s="1577" t="s">
        <v>314</v>
      </c>
      <c r="Z62" s="1577"/>
      <c r="AA62" s="1577"/>
      <c r="AB62" s="1577"/>
      <c r="AC62" s="1577"/>
      <c r="AD62" s="1577" t="s">
        <v>45</v>
      </c>
      <c r="AE62" s="1577"/>
      <c r="AF62" s="1577"/>
      <c r="AG62" s="1577"/>
      <c r="AH62" s="1577"/>
    </row>
    <row r="63" spans="1:40" ht="12.9"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1">
        <f>IF(AND(Application!T193="No",Application!T194="No"),T28,IF(OR(AND(T25=1.3,Application!T196="Yes",Application!D214="Special Needs"),T25=1),(T23*T27)+Y28,Y28))</f>
        <v>0</v>
      </c>
      <c r="Z63" s="1588"/>
      <c r="AA63" s="1588"/>
      <c r="AB63" s="1588"/>
      <c r="AC63" s="1588"/>
      <c r="AD63" s="1307">
        <f>IF(AND(T25=1.3,Application!D214="At-Risk"),AI28,IF(Application!D214&lt;&gt;"At-Risk",0,AD28))</f>
        <v>0</v>
      </c>
      <c r="AE63" s="1588"/>
      <c r="AF63" s="1588"/>
      <c r="AG63" s="1588"/>
      <c r="AH63" s="1588"/>
    </row>
    <row r="64" spans="1:40" ht="12.9" customHeight="1">
      <c r="C64" s="3"/>
      <c r="E64" s="1576" t="s">
        <v>1340</v>
      </c>
      <c r="F64" s="1576"/>
      <c r="G64" s="1576"/>
      <c r="H64" s="1576"/>
      <c r="I64" s="1576"/>
      <c r="J64" s="1576"/>
      <c r="K64" s="1576"/>
      <c r="L64" s="1576"/>
      <c r="M64" s="1576"/>
      <c r="N64" s="1576"/>
      <c r="O64" s="1576"/>
      <c r="P64" s="1576"/>
      <c r="Q64" s="1576"/>
      <c r="R64" s="1576"/>
      <c r="S64" s="1576"/>
      <c r="T64" s="1576"/>
      <c r="U64" s="1576"/>
      <c r="V64" s="1576"/>
      <c r="W64" s="1576"/>
      <c r="X64" s="1576"/>
      <c r="Y64" s="1576"/>
      <c r="Z64" s="1576"/>
      <c r="AA64" s="1576"/>
      <c r="AB64" s="1576"/>
      <c r="AC64" s="1576"/>
      <c r="AD64" s="1576"/>
      <c r="AE64" s="1576"/>
      <c r="AF64" s="1576"/>
      <c r="AG64" s="1576"/>
      <c r="AH64" s="1576"/>
    </row>
    <row r="65" spans="1:34" ht="21.75" customHeight="1">
      <c r="C65" s="3"/>
      <c r="E65" s="1576"/>
      <c r="F65" s="1576"/>
      <c r="G65" s="1576"/>
      <c r="H65" s="1576"/>
      <c r="I65" s="1576"/>
      <c r="J65" s="1576"/>
      <c r="K65" s="1576"/>
      <c r="L65" s="1576"/>
      <c r="M65" s="1576"/>
      <c r="N65" s="1576"/>
      <c r="O65" s="1576"/>
      <c r="P65" s="1576"/>
      <c r="Q65" s="1576"/>
      <c r="R65" s="1576"/>
      <c r="S65" s="1576"/>
      <c r="T65" s="1576"/>
      <c r="U65" s="1576"/>
      <c r="V65" s="1576"/>
      <c r="W65" s="1576"/>
      <c r="X65" s="1576"/>
      <c r="Y65" s="1576"/>
      <c r="Z65" s="1576"/>
      <c r="AA65" s="1576"/>
      <c r="AB65" s="1576"/>
      <c r="AC65" s="1576"/>
      <c r="AD65" s="1576"/>
      <c r="AE65" s="1576"/>
      <c r="AF65" s="1576"/>
      <c r="AG65" s="1576"/>
      <c r="AH65" s="1576"/>
    </row>
    <row r="66" spans="1:34" ht="12.9"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84">
        <f>IF(Application!W198="Yes",95%, 30%)</f>
        <v>0.3</v>
      </c>
      <c r="Z66" s="1584"/>
      <c r="AA66" s="1584"/>
      <c r="AB66" s="1584"/>
      <c r="AC66" s="1584"/>
      <c r="AD66" s="1584">
        <f>IF(Application!W198="Yes",95%, 13%)</f>
        <v>0.13</v>
      </c>
      <c r="AE66" s="1584"/>
      <c r="AF66" s="1584"/>
      <c r="AG66" s="1584"/>
      <c r="AH66" s="1584"/>
    </row>
    <row r="67" spans="1:34" ht="12.9" customHeight="1">
      <c r="C67" s="3"/>
      <c r="D67" s="3" t="s">
        <v>983</v>
      </c>
      <c r="Y67" s="1307">
        <f>ROUND(Y63*Y66,0)</f>
        <v>0</v>
      </c>
      <c r="Z67" s="1588"/>
      <c r="AA67" s="1588"/>
      <c r="AB67" s="1588"/>
      <c r="AC67" s="1588"/>
      <c r="AD67" s="1307" t="str">
        <f>IF(OR(Application!D211="At-Risk",Application!D211="At-Risk/Located in Rural Census Tract",Application!D214="At-Risk"),ROUND(AD63*AD66,0),"$0")</f>
        <v>$0</v>
      </c>
      <c r="AE67" s="1307"/>
      <c r="AF67" s="1307"/>
      <c r="AG67" s="1307"/>
      <c r="AH67" s="1307"/>
    </row>
    <row r="68" spans="1:34" ht="12.9"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 customHeight="1">
      <c r="A70" s="3"/>
      <c r="C70" s="3"/>
      <c r="D70" s="3" t="s">
        <v>912</v>
      </c>
      <c r="AB70" s="1585"/>
      <c r="AC70" s="1586"/>
      <c r="AD70" s="1586"/>
      <c r="AE70" s="1586"/>
      <c r="AF70" s="1587"/>
    </row>
    <row r="71" spans="1:34" ht="12.9" customHeight="1">
      <c r="A71" s="3"/>
      <c r="C71" s="3"/>
      <c r="D71" s="3"/>
      <c r="E71" s="1589" t="s">
        <v>1816</v>
      </c>
      <c r="F71" s="1589"/>
      <c r="G71" s="1589"/>
      <c r="H71" s="1589"/>
      <c r="I71" s="1589"/>
      <c r="J71" s="1589"/>
      <c r="K71" s="1589"/>
      <c r="L71" s="1589"/>
      <c r="M71" s="1589"/>
      <c r="N71" s="1589"/>
      <c r="O71" s="1589"/>
      <c r="P71" s="1589"/>
      <c r="Q71" s="1589"/>
      <c r="R71" s="1589"/>
      <c r="S71" s="1589"/>
      <c r="T71" s="1589"/>
      <c r="U71" s="1589"/>
      <c r="V71" s="1589"/>
      <c r="W71" s="1589"/>
      <c r="X71" s="1589"/>
      <c r="Y71" s="1589"/>
      <c r="Z71" s="1589"/>
      <c r="AA71" s="253"/>
      <c r="AB71" s="253"/>
      <c r="AC71" s="253"/>
    </row>
    <row r="72" spans="1:34" ht="12.9" customHeight="1">
      <c r="A72" s="3"/>
      <c r="C72" s="3"/>
      <c r="D72" s="3"/>
      <c r="E72" s="1589"/>
      <c r="F72" s="1589"/>
      <c r="G72" s="1589"/>
      <c r="H72" s="1589"/>
      <c r="I72" s="1589"/>
      <c r="J72" s="1589"/>
      <c r="K72" s="1589"/>
      <c r="L72" s="1589"/>
      <c r="M72" s="1589"/>
      <c r="N72" s="1589"/>
      <c r="O72" s="1589"/>
      <c r="P72" s="1589"/>
      <c r="Q72" s="1589"/>
      <c r="R72" s="1589"/>
      <c r="S72" s="1589"/>
      <c r="T72" s="1589"/>
      <c r="U72" s="1589"/>
      <c r="V72" s="1589"/>
      <c r="W72" s="1589"/>
      <c r="X72" s="1589"/>
      <c r="Y72" s="1589"/>
      <c r="Z72" s="1589"/>
      <c r="AA72" s="253"/>
      <c r="AB72" s="253"/>
      <c r="AC72" s="253"/>
    </row>
    <row r="73" spans="1:34" ht="12.9" customHeight="1">
      <c r="A73" s="3"/>
      <c r="C73" s="3"/>
      <c r="D73" s="3"/>
      <c r="E73" s="1589"/>
      <c r="F73" s="1589"/>
      <c r="G73" s="1589"/>
      <c r="H73" s="1589"/>
      <c r="I73" s="1589"/>
      <c r="J73" s="1589"/>
      <c r="K73" s="1589"/>
      <c r="L73" s="1589"/>
      <c r="M73" s="1589"/>
      <c r="N73" s="1589"/>
      <c r="O73" s="1589"/>
      <c r="P73" s="1589"/>
      <c r="Q73" s="1589"/>
      <c r="R73" s="1589"/>
      <c r="S73" s="1589"/>
      <c r="T73" s="1589"/>
      <c r="U73" s="1589"/>
      <c r="V73" s="1589"/>
      <c r="W73" s="1589"/>
      <c r="X73" s="1589"/>
      <c r="Y73" s="1589"/>
      <c r="Z73" s="158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111</v>
      </c>
      <c r="AB75" s="1214">
        <f>ROUND(IF(ISERROR((AB58/AB70)),0,(AB58/AB70)),0)</f>
        <v>0</v>
      </c>
      <c r="AC75" s="1214"/>
      <c r="AD75" s="1214"/>
      <c r="AE75" s="1214"/>
      <c r="AF75" s="1214"/>
    </row>
    <row r="76" spans="1:34" ht="12.9" customHeight="1">
      <c r="C76" s="3"/>
      <c r="D76" s="3" t="s">
        <v>112</v>
      </c>
      <c r="AB76" s="1209">
        <f>IF((Y67+AD67&lt;AB75),Y67+AD67,AB75)</f>
        <v>0</v>
      </c>
      <c r="AC76" s="1210"/>
      <c r="AD76" s="1210"/>
      <c r="AE76" s="1210"/>
      <c r="AF76" s="1211"/>
    </row>
    <row r="77" spans="1:34" ht="12.9" customHeight="1">
      <c r="C77" s="3"/>
      <c r="D77" s="3" t="s">
        <v>984</v>
      </c>
      <c r="AB77" s="1583">
        <f>AB76*AB70</f>
        <v>0</v>
      </c>
      <c r="AC77" s="1583"/>
      <c r="AD77" s="1583"/>
      <c r="AE77" s="1583"/>
      <c r="AF77" s="1583"/>
    </row>
    <row r="78" spans="1:34" ht="12.9" customHeight="1">
      <c r="C78" s="3"/>
      <c r="D78" s="3"/>
      <c r="AB78" s="605"/>
      <c r="AC78" s="605"/>
      <c r="AD78" s="605"/>
      <c r="AE78" s="605"/>
      <c r="AF78" s="605"/>
    </row>
    <row r="79" spans="1:34" ht="12.9" customHeight="1">
      <c r="D79" s="3" t="s">
        <v>113</v>
      </c>
      <c r="AB79" s="1153">
        <f>AB48-(AB56+AB77)</f>
        <v>0</v>
      </c>
      <c r="AC79" s="1153"/>
      <c r="AD79" s="1153"/>
      <c r="AE79" s="1153"/>
      <c r="AF79" s="1153"/>
    </row>
    <row r="80" spans="1:34" ht="12.9" customHeight="1">
      <c r="F80" s="16"/>
      <c r="J80" s="16" t="str">
        <f>IF(AB79&gt;0,"FUNDING GAP MUST NOT EXCEED ZERO","")</f>
        <v/>
      </c>
    </row>
    <row r="81" spans="4:4" ht="12.9"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E44" sqref="E44"/>
    </sheetView>
  </sheetViews>
  <sheetFormatPr defaultColWidth="8.88671875" defaultRowHeight="12" zeroHeight="1"/>
  <cols>
    <col min="1" max="1" width="32.5546875" style="489" customWidth="1"/>
    <col min="2" max="3" width="12.109375" style="487" customWidth="1"/>
    <col min="4" max="4" width="12.88671875" style="487" customWidth="1"/>
    <col min="5" max="6" width="12.6640625" style="487" customWidth="1"/>
    <col min="7" max="7" width="13.44140625" style="487" customWidth="1"/>
    <col min="8" max="9" width="12.109375" style="487" customWidth="1"/>
    <col min="10" max="10" width="12.109375" style="582" customWidth="1"/>
    <col min="11" max="11" width="7" style="588" customWidth="1"/>
    <col min="12" max="16384" width="8.88671875" style="487"/>
  </cols>
  <sheetData>
    <row r="1" spans="1:11" s="356" customFormat="1" ht="13.2">
      <c r="A1" s="1627" t="s">
        <v>1897</v>
      </c>
      <c r="B1" s="1628"/>
      <c r="C1" s="1628"/>
      <c r="D1" s="1628"/>
      <c r="E1" s="1628"/>
      <c r="F1" s="1628"/>
      <c r="G1" s="1628"/>
      <c r="H1" s="1628"/>
      <c r="I1" s="1628"/>
      <c r="J1" s="1629"/>
      <c r="K1" s="585"/>
    </row>
    <row r="2" spans="1:11" s="603" customFormat="1" ht="72">
      <c r="A2" s="601"/>
      <c r="B2" s="232" t="s">
        <v>1416</v>
      </c>
      <c r="C2" s="232" t="s">
        <v>1898</v>
      </c>
      <c r="D2" s="232" t="s">
        <v>1899</v>
      </c>
      <c r="E2" s="232" t="s">
        <v>1420</v>
      </c>
      <c r="F2" s="232" t="s">
        <v>1900</v>
      </c>
      <c r="G2" s="232" t="s">
        <v>1901</v>
      </c>
      <c r="H2" s="232" t="s">
        <v>1419</v>
      </c>
      <c r="I2" s="232" t="s">
        <v>1902</v>
      </c>
      <c r="J2" s="671" t="s">
        <v>1903</v>
      </c>
      <c r="K2" s="602"/>
    </row>
    <row r="3" spans="1:11" s="253" customFormat="1" ht="11.4">
      <c r="A3" s="235" t="s">
        <v>362</v>
      </c>
      <c r="B3" s="590"/>
      <c r="C3" s="590"/>
      <c r="D3" s="590"/>
      <c r="E3" s="590"/>
      <c r="F3" s="590"/>
      <c r="G3" s="590"/>
      <c r="H3" s="590"/>
      <c r="I3" s="590"/>
      <c r="J3" s="590"/>
      <c r="K3" s="586"/>
    </row>
    <row r="4" spans="1:11" s="253" customFormat="1" ht="13.2">
      <c r="A4" s="300" t="s">
        <v>71</v>
      </c>
      <c r="B4" s="591">
        <f>'Sources and Uses Budget'!C4</f>
        <v>725000</v>
      </c>
      <c r="C4" s="592"/>
      <c r="D4" s="592"/>
      <c r="E4" s="593"/>
      <c r="F4" s="593"/>
      <c r="G4" s="593"/>
      <c r="H4" s="593"/>
      <c r="I4" s="593"/>
      <c r="J4" s="593"/>
      <c r="K4" s="586"/>
    </row>
    <row r="5" spans="1:11" s="253" customFormat="1" ht="13.2">
      <c r="A5" s="300" t="s">
        <v>72</v>
      </c>
      <c r="B5" s="591">
        <f>'Sources and Uses Budget'!C5</f>
        <v>0</v>
      </c>
      <c r="C5" s="592"/>
      <c r="D5" s="592"/>
      <c r="E5" s="593"/>
      <c r="F5" s="593"/>
      <c r="G5" s="593"/>
      <c r="H5" s="593"/>
      <c r="I5" s="593"/>
      <c r="J5" s="593"/>
      <c r="K5" s="586"/>
    </row>
    <row r="6" spans="1:11" s="253" customFormat="1" ht="11.4">
      <c r="A6" s="239" t="s">
        <v>363</v>
      </c>
      <c r="B6" s="591">
        <f>'Sources and Uses Budget'!C6</f>
        <v>0</v>
      </c>
      <c r="C6" s="592"/>
      <c r="D6" s="592"/>
      <c r="E6" s="593"/>
      <c r="F6" s="593"/>
      <c r="G6" s="593"/>
      <c r="H6" s="593"/>
      <c r="I6" s="593"/>
      <c r="J6" s="593"/>
      <c r="K6" s="586"/>
    </row>
    <row r="7" spans="1:11" s="253" customFormat="1" ht="11.4">
      <c r="A7" s="239" t="s">
        <v>295</v>
      </c>
      <c r="B7" s="591">
        <f>'Sources and Uses Budget'!C7</f>
        <v>0</v>
      </c>
      <c r="C7" s="592"/>
      <c r="D7" s="592"/>
      <c r="E7" s="593"/>
      <c r="F7" s="593"/>
      <c r="G7" s="593"/>
      <c r="H7" s="593"/>
      <c r="I7" s="593"/>
      <c r="J7" s="593"/>
      <c r="K7" s="586"/>
    </row>
    <row r="8" spans="1:11" s="253" customFormat="1" ht="13.8">
      <c r="A8" s="301" t="s">
        <v>738</v>
      </c>
      <c r="B8" s="591">
        <f>'Sources and Uses Budget'!C8</f>
        <v>725000</v>
      </c>
      <c r="C8" s="591">
        <f>SUM(C4:C7)</f>
        <v>0</v>
      </c>
      <c r="D8" s="591">
        <f>SUM(D4:D7)</f>
        <v>0</v>
      </c>
      <c r="E8" s="593"/>
      <c r="F8" s="593"/>
      <c r="G8" s="593"/>
      <c r="H8" s="593"/>
      <c r="I8" s="593"/>
      <c r="J8" s="593"/>
      <c r="K8" s="586"/>
    </row>
    <row r="9" spans="1:11" s="253" customFormat="1" ht="11.4">
      <c r="A9" s="239" t="s">
        <v>1791</v>
      </c>
      <c r="B9" s="591">
        <f>'Sources and Uses Budget'!C9</f>
        <v>0</v>
      </c>
      <c r="C9" s="592"/>
      <c r="D9" s="592"/>
      <c r="E9" s="593"/>
      <c r="F9" s="593"/>
      <c r="G9" s="593"/>
      <c r="H9" s="591">
        <f>'Sources and Uses Budget'!T9</f>
        <v>0</v>
      </c>
      <c r="I9" s="592"/>
      <c r="J9" s="592"/>
      <c r="K9" s="586"/>
    </row>
    <row r="10" spans="1:11" s="253" customFormat="1" ht="13.2">
      <c r="A10" s="300" t="s">
        <v>73</v>
      </c>
      <c r="B10" s="591">
        <f>'Sources and Uses Budget'!C10</f>
        <v>222673</v>
      </c>
      <c r="C10" s="592"/>
      <c r="D10" s="592"/>
      <c r="E10" s="591">
        <f>'Sources and Uses Budget'!S10</f>
        <v>222673</v>
      </c>
      <c r="F10" s="592"/>
      <c r="G10" s="592"/>
      <c r="H10" s="591">
        <f>'Sources and Uses Budget'!T10</f>
        <v>0</v>
      </c>
      <c r="I10" s="592"/>
      <c r="J10" s="592"/>
      <c r="K10" s="586"/>
    </row>
    <row r="11" spans="1:11" s="253" customFormat="1">
      <c r="A11" s="243" t="s">
        <v>615</v>
      </c>
      <c r="B11" s="591">
        <f>'Sources and Uses Budget'!C11</f>
        <v>222673</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947673</v>
      </c>
      <c r="C12" s="591">
        <f>SUM(C8+C11)</f>
        <v>0</v>
      </c>
      <c r="D12" s="591">
        <f>SUM(D8+D11)</f>
        <v>0</v>
      </c>
      <c r="E12" s="593"/>
      <c r="F12" s="593"/>
      <c r="G12" s="593"/>
      <c r="H12" s="593"/>
      <c r="I12" s="593"/>
      <c r="J12" s="593"/>
      <c r="K12" s="586"/>
    </row>
    <row r="13" spans="1:11" s="253" customFormat="1" ht="11.4">
      <c r="A13" s="461" t="s">
        <v>1155</v>
      </c>
      <c r="B13" s="591">
        <f>'Sources and Uses Budget'!C13</f>
        <v>0</v>
      </c>
      <c r="C13" s="592"/>
      <c r="D13" s="592"/>
      <c r="E13" s="591">
        <f>'Sources and Uses Budget'!S13</f>
        <v>0</v>
      </c>
      <c r="F13" s="592"/>
      <c r="G13" s="592"/>
      <c r="H13" s="591">
        <f>'Sources and Uses Budget'!T13</f>
        <v>0</v>
      </c>
      <c r="I13" s="592"/>
      <c r="J13" s="592"/>
      <c r="K13" s="586"/>
    </row>
    <row r="14" spans="1:11" s="253" customFormat="1" ht="22.8">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ht="11.4">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ht="11.4">
      <c r="A16" s="235" t="s">
        <v>951</v>
      </c>
      <c r="B16" s="590"/>
      <c r="C16" s="590"/>
      <c r="D16" s="590"/>
      <c r="E16" s="590"/>
      <c r="F16" s="590"/>
      <c r="G16" s="590"/>
      <c r="H16" s="590"/>
      <c r="I16" s="590"/>
      <c r="J16" s="590"/>
      <c r="K16" s="586"/>
    </row>
    <row r="17" spans="1:11" s="253" customFormat="1" ht="11.4">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ht="11.4">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ht="11.4">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ht="11.4">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ht="11.4">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ht="11.4">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ht="11.4">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ht="11.4">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ht="11.4">
      <c r="A27" s="235" t="s">
        <v>960</v>
      </c>
      <c r="B27" s="590"/>
      <c r="C27" s="590"/>
      <c r="D27" s="590"/>
      <c r="E27" s="590"/>
      <c r="F27" s="590"/>
      <c r="G27" s="590"/>
      <c r="H27" s="590"/>
      <c r="I27" s="590"/>
      <c r="J27" s="590"/>
      <c r="K27" s="586"/>
    </row>
    <row r="28" spans="1:11" s="253" customFormat="1" ht="11.4">
      <c r="A28" s="239" t="s">
        <v>952</v>
      </c>
      <c r="B28" s="591">
        <f>'Sources and Uses Budget'!C29</f>
        <v>1127327</v>
      </c>
      <c r="C28" s="592"/>
      <c r="D28" s="592"/>
      <c r="E28" s="591">
        <f>'Sources and Uses Budget'!S29</f>
        <v>1127327</v>
      </c>
      <c r="F28" s="592"/>
      <c r="G28" s="592"/>
      <c r="H28" s="591">
        <f>'Sources and Uses Budget'!T29</f>
        <v>0</v>
      </c>
      <c r="I28" s="592"/>
      <c r="J28" s="592"/>
      <c r="K28" s="586"/>
    </row>
    <row r="29" spans="1:11" s="253" customFormat="1" ht="11.4">
      <c r="A29" s="239" t="s">
        <v>953</v>
      </c>
      <c r="B29" s="591">
        <f>'Sources and Uses Budget'!C30</f>
        <v>5685210</v>
      </c>
      <c r="C29" s="592"/>
      <c r="D29" s="592"/>
      <c r="E29" s="591">
        <f>'Sources and Uses Budget'!S30</f>
        <v>5685210</v>
      </c>
      <c r="F29" s="592"/>
      <c r="G29" s="592"/>
      <c r="H29" s="591">
        <f>'Sources and Uses Budget'!T30</f>
        <v>0</v>
      </c>
      <c r="I29" s="592"/>
      <c r="J29" s="592"/>
      <c r="K29" s="586"/>
    </row>
    <row r="30" spans="1:11" s="253" customFormat="1" ht="11.4">
      <c r="A30" s="239" t="s">
        <v>954</v>
      </c>
      <c r="B30" s="591">
        <f>'Sources and Uses Budget'!C31</f>
        <v>422113</v>
      </c>
      <c r="C30" s="592"/>
      <c r="D30" s="592"/>
      <c r="E30" s="591">
        <f>'Sources and Uses Budget'!S31</f>
        <v>422113</v>
      </c>
      <c r="F30" s="592"/>
      <c r="G30" s="592"/>
      <c r="H30" s="591">
        <f>'Sources and Uses Budget'!T31</f>
        <v>0</v>
      </c>
      <c r="I30" s="592"/>
      <c r="J30" s="592"/>
      <c r="K30" s="586"/>
    </row>
    <row r="31" spans="1:11" s="253" customFormat="1" ht="11.4">
      <c r="A31" s="239" t="s">
        <v>955</v>
      </c>
      <c r="B31" s="591">
        <f>'Sources and Uses Budget'!C32</f>
        <v>140704</v>
      </c>
      <c r="C31" s="592"/>
      <c r="D31" s="592"/>
      <c r="E31" s="591">
        <f>'Sources and Uses Budget'!S32</f>
        <v>140704</v>
      </c>
      <c r="F31" s="592"/>
      <c r="G31" s="592"/>
      <c r="H31" s="591">
        <f>'Sources and Uses Budget'!T32</f>
        <v>0</v>
      </c>
      <c r="I31" s="592"/>
      <c r="J31" s="592"/>
      <c r="K31" s="586"/>
    </row>
    <row r="32" spans="1:11" s="253" customFormat="1" ht="11.4">
      <c r="A32" s="239" t="s">
        <v>956</v>
      </c>
      <c r="B32" s="591">
        <f>'Sources and Uses Budget'!C33</f>
        <v>422113</v>
      </c>
      <c r="C32" s="592"/>
      <c r="D32" s="592"/>
      <c r="E32" s="591">
        <f>'Sources and Uses Budget'!S33</f>
        <v>422113</v>
      </c>
      <c r="F32" s="592"/>
      <c r="G32" s="592"/>
      <c r="H32" s="591">
        <f>'Sources and Uses Budget'!T33</f>
        <v>0</v>
      </c>
      <c r="I32" s="592"/>
      <c r="J32" s="592"/>
      <c r="K32" s="586"/>
    </row>
    <row r="33" spans="1:11" s="253" customFormat="1" ht="11.4">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ht="11.4">
      <c r="A34" s="239" t="s">
        <v>958</v>
      </c>
      <c r="B34" s="591">
        <f>'Sources and Uses Budget'!C35</f>
        <v>0</v>
      </c>
      <c r="C34" s="592"/>
      <c r="D34" s="592"/>
      <c r="E34" s="591">
        <f>'Sources and Uses Budget'!S35</f>
        <v>0</v>
      </c>
      <c r="F34" s="592"/>
      <c r="G34" s="592"/>
      <c r="H34" s="591">
        <f>'Sources and Uses Budget'!T35</f>
        <v>0</v>
      </c>
      <c r="I34" s="592"/>
      <c r="J34" s="592"/>
      <c r="K34" s="586"/>
    </row>
    <row r="35" spans="1:11" s="253" customFormat="1" ht="11.4">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ht="11.4">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961</v>
      </c>
      <c r="B37" s="591">
        <f>'Sources and Uses Budget'!C38</f>
        <v>7797467</v>
      </c>
      <c r="C37" s="591">
        <f>SUM(C28:C36)</f>
        <v>0</v>
      </c>
      <c r="D37" s="591">
        <f>SUM(D28:D36)</f>
        <v>0</v>
      </c>
      <c r="E37" s="591">
        <f>'Sources and Uses Budget'!S38</f>
        <v>7797467</v>
      </c>
      <c r="F37" s="594">
        <f>SUM(F28:F36)</f>
        <v>0</v>
      </c>
      <c r="G37" s="594">
        <f>SUM(G28:G36)</f>
        <v>0</v>
      </c>
      <c r="H37" s="591">
        <f>'Sources and Uses Budget'!T38</f>
        <v>0</v>
      </c>
      <c r="I37" s="594">
        <f>SUM(I28:I36)</f>
        <v>0</v>
      </c>
      <c r="J37" s="594">
        <f>SUM(J28:J36)</f>
        <v>0</v>
      </c>
      <c r="K37" s="586"/>
    </row>
    <row r="38" spans="1:11" s="253" customFormat="1" ht="11.4">
      <c r="A38" s="235" t="s">
        <v>962</v>
      </c>
      <c r="B38" s="590"/>
      <c r="C38" s="590"/>
      <c r="D38" s="590"/>
      <c r="E38" s="590"/>
      <c r="F38" s="590"/>
      <c r="G38" s="590"/>
      <c r="H38" s="590"/>
      <c r="I38" s="590"/>
      <c r="J38" s="590"/>
      <c r="K38" s="586"/>
    </row>
    <row r="39" spans="1:11" s="253" customFormat="1" ht="11.4">
      <c r="A39" s="239" t="s">
        <v>963</v>
      </c>
      <c r="B39" s="591">
        <f>'Sources and Uses Budget'!C40</f>
        <v>400000</v>
      </c>
      <c r="C39" s="592"/>
      <c r="D39" s="592"/>
      <c r="E39" s="591">
        <f>'Sources and Uses Budget'!S40</f>
        <v>400000</v>
      </c>
      <c r="F39" s="592"/>
      <c r="G39" s="592"/>
      <c r="H39" s="591">
        <f>'Sources and Uses Budget'!T40</f>
        <v>0</v>
      </c>
      <c r="I39" s="592"/>
      <c r="J39" s="592"/>
      <c r="K39" s="586"/>
    </row>
    <row r="40" spans="1:11" s="253" customFormat="1" ht="11.4">
      <c r="A40" s="239" t="s">
        <v>964</v>
      </c>
      <c r="B40" s="591">
        <f>'Sources and Uses Budget'!C41</f>
        <v>0</v>
      </c>
      <c r="C40" s="592"/>
      <c r="D40" s="592"/>
      <c r="E40" s="591">
        <f>'Sources and Uses Budget'!S41</f>
        <v>0</v>
      </c>
      <c r="F40" s="592"/>
      <c r="G40" s="592"/>
      <c r="H40" s="591">
        <f>'Sources and Uses Budget'!T41</f>
        <v>0</v>
      </c>
      <c r="I40" s="592"/>
      <c r="J40" s="592"/>
      <c r="K40" s="586"/>
    </row>
    <row r="41" spans="1:11" s="253" customFormat="1">
      <c r="A41" s="243" t="s">
        <v>965</v>
      </c>
      <c r="B41" s="591">
        <f>'Sources and Uses Budget'!C42</f>
        <v>400000</v>
      </c>
      <c r="C41" s="591">
        <f>SUM(C38:C40)</f>
        <v>0</v>
      </c>
      <c r="D41" s="591">
        <f>SUM(D38:D40)</f>
        <v>0</v>
      </c>
      <c r="E41" s="591">
        <f>'Sources and Uses Budget'!S42</f>
        <v>400000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300000</v>
      </c>
      <c r="C42" s="592"/>
      <c r="D42" s="592"/>
      <c r="E42" s="591">
        <f>'Sources and Uses Budget'!S43</f>
        <v>300000</v>
      </c>
      <c r="F42" s="592"/>
      <c r="G42" s="592"/>
      <c r="H42" s="591">
        <f>'Sources and Uses Budget'!T43</f>
        <v>0</v>
      </c>
      <c r="I42" s="592"/>
      <c r="J42" s="592"/>
      <c r="K42" s="586"/>
    </row>
    <row r="43" spans="1:11" s="253" customFormat="1" ht="11.4">
      <c r="A43" s="235" t="s">
        <v>967</v>
      </c>
      <c r="B43" s="590"/>
      <c r="C43" s="590"/>
      <c r="D43" s="590"/>
      <c r="E43" s="590"/>
      <c r="F43" s="590"/>
      <c r="G43" s="590"/>
      <c r="H43" s="590"/>
      <c r="I43" s="590"/>
      <c r="J43" s="590"/>
      <c r="K43" s="586"/>
    </row>
    <row r="44" spans="1:11" s="253" customFormat="1" ht="11.4">
      <c r="A44" s="239" t="s">
        <v>968</v>
      </c>
      <c r="B44" s="591">
        <f>'Sources and Uses Budget'!C45</f>
        <v>450000</v>
      </c>
      <c r="C44" s="592"/>
      <c r="D44" s="592"/>
      <c r="E44" s="591">
        <f>'Sources and Uses Budget'!S45</f>
        <v>450000</v>
      </c>
      <c r="F44" s="592"/>
      <c r="G44" s="592"/>
      <c r="H44" s="591">
        <f>'Sources and Uses Budget'!T45</f>
        <v>0</v>
      </c>
      <c r="I44" s="592"/>
      <c r="J44" s="592"/>
      <c r="K44" s="586"/>
    </row>
    <row r="45" spans="1:11" s="253" customFormat="1" ht="11.4">
      <c r="A45" s="239" t="s">
        <v>969</v>
      </c>
      <c r="B45" s="591">
        <f>'Sources and Uses Budget'!C46</f>
        <v>70000</v>
      </c>
      <c r="C45" s="592"/>
      <c r="D45" s="592"/>
      <c r="E45" s="591">
        <f>'Sources and Uses Budget'!S46</f>
        <v>70000</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ht="11.4">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ht="11.4">
      <c r="A48" s="239" t="s">
        <v>974</v>
      </c>
      <c r="B48" s="591">
        <f>'Sources and Uses Budget'!C49</f>
        <v>99900</v>
      </c>
      <c r="C48" s="592"/>
      <c r="D48" s="592"/>
      <c r="E48" s="591">
        <f>'Sources and Uses Budget'!S49</f>
        <v>99900</v>
      </c>
      <c r="F48" s="592"/>
      <c r="G48" s="592"/>
      <c r="H48" s="591">
        <f>'Sources and Uses Budget'!T49</f>
        <v>0</v>
      </c>
      <c r="I48" s="592"/>
      <c r="J48" s="592"/>
      <c r="K48" s="586"/>
    </row>
    <row r="49" spans="1:11" s="253" customFormat="1" ht="11.4">
      <c r="A49" s="239" t="s">
        <v>972</v>
      </c>
      <c r="B49" s="591">
        <f>'Sources and Uses Budget'!C50</f>
        <v>10000</v>
      </c>
      <c r="C49" s="592"/>
      <c r="D49" s="592"/>
      <c r="E49" s="591">
        <f>'Sources and Uses Budget'!S50</f>
        <v>10000</v>
      </c>
      <c r="F49" s="592"/>
      <c r="G49" s="592"/>
      <c r="H49" s="591">
        <f>'Sources and Uses Budget'!T50</f>
        <v>0</v>
      </c>
      <c r="I49" s="592"/>
      <c r="J49" s="592"/>
      <c r="K49" s="586"/>
    </row>
    <row r="50" spans="1:11" s="253" customFormat="1" ht="11.4">
      <c r="A50" s="239" t="s">
        <v>973</v>
      </c>
      <c r="B50" s="591">
        <f>'Sources and Uses Budget'!C51</f>
        <v>50000</v>
      </c>
      <c r="C50" s="592"/>
      <c r="D50" s="592"/>
      <c r="E50" s="591">
        <f>'Sources and Uses Budget'!S51</f>
        <v>50000</v>
      </c>
      <c r="F50" s="592"/>
      <c r="G50" s="592"/>
      <c r="H50" s="591">
        <f>'Sources and Uses Budget'!T51</f>
        <v>0</v>
      </c>
      <c r="I50" s="592"/>
      <c r="J50" s="592"/>
      <c r="K50" s="586"/>
    </row>
    <row r="51" spans="1:11" s="253" customFormat="1" ht="11.4">
      <c r="A51" s="239" t="str">
        <f>'Sources and Uses Budget'!$A52</f>
        <v>Other: (Specify)</v>
      </c>
      <c r="B51" s="591">
        <f>'Sources and Uses Budget'!C52</f>
        <v>0</v>
      </c>
      <c r="C51" s="592"/>
      <c r="D51" s="592"/>
      <c r="E51" s="591">
        <f>'Sources and Uses Budget'!S52</f>
        <v>0</v>
      </c>
      <c r="F51" s="592"/>
      <c r="G51" s="592"/>
      <c r="H51" s="591">
        <f>'Sources and Uses Budget'!T52</f>
        <v>0</v>
      </c>
      <c r="I51" s="592"/>
      <c r="J51" s="592"/>
      <c r="K51" s="586"/>
    </row>
    <row r="52" spans="1:11" s="584" customFormat="1">
      <c r="A52" s="243" t="s">
        <v>975</v>
      </c>
      <c r="B52" s="591">
        <f>'Sources and Uses Budget'!C53</f>
        <v>679900</v>
      </c>
      <c r="C52" s="594">
        <f>SUM(C44:C51)</f>
        <v>0</v>
      </c>
      <c r="D52" s="594">
        <f>SUM(D44:D51)</f>
        <v>0</v>
      </c>
      <c r="E52" s="591">
        <f>'Sources and Uses Budget'!S53</f>
        <v>679900</v>
      </c>
      <c r="F52" s="594">
        <f>SUM(F44:F51)</f>
        <v>0</v>
      </c>
      <c r="G52" s="594">
        <f>SUM(G44:G51)</f>
        <v>0</v>
      </c>
      <c r="H52" s="591">
        <f>'Sources and Uses Budget'!T53</f>
        <v>0</v>
      </c>
      <c r="I52" s="594">
        <f>SUM(I44:I51)</f>
        <v>0</v>
      </c>
      <c r="J52" s="594">
        <f>SUM(J44:J51)</f>
        <v>0</v>
      </c>
      <c r="K52" s="587"/>
    </row>
    <row r="53" spans="1:11" s="253" customFormat="1" ht="11.4">
      <c r="A53" s="235" t="s">
        <v>717</v>
      </c>
      <c r="B53" s="590"/>
      <c r="C53" s="590"/>
      <c r="D53" s="590"/>
      <c r="E53" s="590"/>
      <c r="F53" s="590"/>
      <c r="G53" s="590"/>
      <c r="H53" s="590"/>
      <c r="I53" s="590"/>
      <c r="J53" s="590"/>
      <c r="K53" s="586"/>
    </row>
    <row r="54" spans="1:11" s="253" customFormat="1" ht="11.4">
      <c r="A54" s="239" t="s">
        <v>976</v>
      </c>
      <c r="B54" s="591">
        <f>'Sources and Uses Budget'!C55</f>
        <v>40000</v>
      </c>
      <c r="C54" s="592"/>
      <c r="D54" s="592"/>
      <c r="E54" s="593"/>
      <c r="F54" s="593"/>
      <c r="G54" s="593"/>
      <c r="H54" s="593"/>
      <c r="I54" s="593"/>
      <c r="J54" s="593"/>
      <c r="K54" s="586"/>
    </row>
    <row r="55" spans="1:11" s="253" customFormat="1" ht="12" customHeight="1">
      <c r="A55" s="239" t="s">
        <v>970</v>
      </c>
      <c r="B55" s="591">
        <f>'Sources and Uses Budget'!C56</f>
        <v>0</v>
      </c>
      <c r="C55" s="592"/>
      <c r="D55" s="592"/>
      <c r="E55" s="593"/>
      <c r="F55" s="593"/>
      <c r="G55" s="593"/>
      <c r="H55" s="593"/>
      <c r="I55" s="593"/>
      <c r="J55" s="593"/>
      <c r="K55" s="586"/>
    </row>
    <row r="56" spans="1:11" s="253" customFormat="1" ht="11.4">
      <c r="A56" s="239" t="s">
        <v>974</v>
      </c>
      <c r="B56" s="591">
        <f>'Sources and Uses Budget'!C57</f>
        <v>0</v>
      </c>
      <c r="C56" s="592"/>
      <c r="D56" s="592"/>
      <c r="E56" s="593"/>
      <c r="F56" s="593"/>
      <c r="G56" s="593"/>
      <c r="H56" s="593"/>
      <c r="I56" s="593"/>
      <c r="J56" s="593"/>
      <c r="K56" s="586"/>
    </row>
    <row r="57" spans="1:11" s="253" customFormat="1" ht="11.4">
      <c r="A57" s="239" t="s">
        <v>972</v>
      </c>
      <c r="B57" s="591">
        <f>'Sources and Uses Budget'!C58</f>
        <v>0</v>
      </c>
      <c r="C57" s="592"/>
      <c r="D57" s="592"/>
      <c r="E57" s="593"/>
      <c r="F57" s="593"/>
      <c r="G57" s="593"/>
      <c r="H57" s="593"/>
      <c r="I57" s="593"/>
      <c r="J57" s="593"/>
      <c r="K57" s="586"/>
    </row>
    <row r="58" spans="1:11" s="253" customFormat="1" ht="11.4">
      <c r="A58" s="239" t="s">
        <v>973</v>
      </c>
      <c r="B58" s="591">
        <f>'Sources and Uses Budget'!C59</f>
        <v>0</v>
      </c>
      <c r="C58" s="592"/>
      <c r="D58" s="592"/>
      <c r="E58" s="593"/>
      <c r="F58" s="593"/>
      <c r="G58" s="593"/>
      <c r="H58" s="593"/>
      <c r="I58" s="593"/>
      <c r="J58" s="593"/>
      <c r="K58" s="586"/>
    </row>
    <row r="59" spans="1:11" s="253" customFormat="1" ht="11.4">
      <c r="A59" s="239" t="str">
        <f>'Sources and Uses Budget'!$A60</f>
        <v>Other: (Specify)</v>
      </c>
      <c r="B59" s="591">
        <f>'Sources and Uses Budget'!C60</f>
        <v>0</v>
      </c>
      <c r="C59" s="592"/>
      <c r="D59" s="592"/>
      <c r="E59" s="593"/>
      <c r="F59" s="593"/>
      <c r="G59" s="593"/>
      <c r="H59" s="593"/>
      <c r="I59" s="593"/>
      <c r="J59" s="593"/>
      <c r="K59" s="586"/>
    </row>
    <row r="60" spans="1:11" s="253" customFormat="1" ht="13.95" customHeight="1">
      <c r="A60" s="243" t="s">
        <v>527</v>
      </c>
      <c r="B60" s="591">
        <f>'Sources and Uses Budget'!C61</f>
        <v>40000</v>
      </c>
      <c r="C60" s="591">
        <f>SUM(C54:C59)</f>
        <v>0</v>
      </c>
      <c r="D60" s="591">
        <f>SUM(D54:D59)</f>
        <v>0</v>
      </c>
      <c r="E60" s="593"/>
      <c r="F60" s="593"/>
      <c r="G60" s="593"/>
      <c r="H60" s="593"/>
      <c r="I60" s="593"/>
      <c r="J60" s="593"/>
      <c r="K60" s="586"/>
    </row>
    <row r="61" spans="1:11" s="253" customFormat="1" ht="11.4">
      <c r="A61" s="249" t="s">
        <v>528</v>
      </c>
      <c r="B61" s="591">
        <f>'Sources and Uses Budget'!C62</f>
        <v>10165040</v>
      </c>
      <c r="C61" s="591">
        <f>SUM(C8+C11+C13+C14+C15+C25+C26+C37+C41+C42+C52+C60)</f>
        <v>0</v>
      </c>
      <c r="D61" s="591">
        <f>SUM(D8+D11+D13+D14+D15+D25+D26+D37+D41+D42+D52+D60)</f>
        <v>0</v>
      </c>
      <c r="E61" s="591">
        <f>'Sources and Uses Budget'!S62</f>
        <v>9400040</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2.8">
      <c r="A62" s="235" t="s">
        <v>2047</v>
      </c>
      <c r="B62" s="590"/>
      <c r="C62" s="590"/>
      <c r="D62" s="590"/>
      <c r="E62" s="590"/>
      <c r="F62" s="590"/>
      <c r="G62" s="590"/>
      <c r="H62" s="590"/>
      <c r="I62" s="590"/>
      <c r="J62" s="590"/>
      <c r="K62" s="586"/>
    </row>
    <row r="63" spans="1:11" s="253" customFormat="1" ht="11.4">
      <c r="A63" s="239" t="s">
        <v>297</v>
      </c>
      <c r="B63" s="591">
        <f>'Sources and Uses Budget'!C64</f>
        <v>60000</v>
      </c>
      <c r="C63" s="592"/>
      <c r="D63" s="592"/>
      <c r="E63" s="591">
        <f>'Sources and Uses Budget'!S64</f>
        <v>60000</v>
      </c>
      <c r="F63" s="592"/>
      <c r="G63" s="592"/>
      <c r="H63" s="591">
        <f>'Sources and Uses Budget'!T64</f>
        <v>0</v>
      </c>
      <c r="I63" s="592"/>
      <c r="J63" s="592"/>
      <c r="K63" s="586"/>
    </row>
    <row r="64" spans="1:11" s="253" customFormat="1" ht="22.8">
      <c r="A64" s="239" t="s">
        <v>2048</v>
      </c>
      <c r="B64" s="591">
        <f>'Sources and Uses Budget'!C65</f>
        <v>0</v>
      </c>
      <c r="C64" s="592"/>
      <c r="D64" s="592"/>
      <c r="E64" s="591">
        <f>'Sources and Uses Budget'!S65</f>
        <v>0</v>
      </c>
      <c r="F64" s="592"/>
      <c r="G64" s="592"/>
      <c r="H64" s="591">
        <f>'Sources and Uses Budget'!T65</f>
        <v>0</v>
      </c>
      <c r="I64" s="592"/>
      <c r="J64" s="592"/>
      <c r="K64" s="586"/>
    </row>
    <row r="65" spans="1:11" s="253" customFormat="1" ht="22.8">
      <c r="A65" s="239" t="s">
        <v>2049</v>
      </c>
      <c r="B65" s="591">
        <f>'Sources and Uses Budget'!C66</f>
        <v>0</v>
      </c>
      <c r="C65" s="592"/>
      <c r="D65" s="592"/>
      <c r="E65" s="591">
        <f>'Sources and Uses Budget'!S66</f>
        <v>0</v>
      </c>
      <c r="F65" s="592"/>
      <c r="G65" s="592"/>
      <c r="H65" s="591">
        <f>'Sources and Uses Budget'!T66</f>
        <v>0</v>
      </c>
      <c r="I65" s="592"/>
      <c r="J65" s="592"/>
      <c r="K65" s="586"/>
    </row>
    <row r="66" spans="1:11" s="253" customFormat="1" ht="11.4">
      <c r="A66" s="239" t="s">
        <v>2050</v>
      </c>
      <c r="B66" s="591">
        <f>'Sources and Uses Budget'!C67</f>
        <v>0</v>
      </c>
      <c r="C66" s="592"/>
      <c r="D66" s="592"/>
      <c r="E66" s="591">
        <f>'Sources and Uses Budget'!S67</f>
        <v>0</v>
      </c>
      <c r="F66" s="592"/>
      <c r="G66" s="592"/>
      <c r="H66" s="591">
        <f>'Sources and Uses Budget'!T67</f>
        <v>0</v>
      </c>
      <c r="I66" s="592"/>
      <c r="J66" s="592"/>
      <c r="K66" s="586"/>
    </row>
    <row r="67" spans="1:11" s="253" customFormat="1" ht="11.4">
      <c r="A67" s="239" t="str">
        <f>'Sources and Uses Budget'!$A68</f>
        <v>Other: Borrower Atty</v>
      </c>
      <c r="B67" s="591">
        <f>'Sources and Uses Budget'!C68</f>
        <v>50000</v>
      </c>
      <c r="C67" s="592"/>
      <c r="D67" s="592"/>
      <c r="E67" s="591">
        <f>'Sources and Uses Budget'!S68</f>
        <v>50000</v>
      </c>
      <c r="F67" s="592"/>
      <c r="G67" s="592"/>
      <c r="H67" s="591">
        <f>'Sources and Uses Budget'!T68</f>
        <v>0</v>
      </c>
      <c r="I67" s="592"/>
      <c r="J67" s="592"/>
      <c r="K67" s="586"/>
    </row>
    <row r="68" spans="1:11" s="253" customFormat="1">
      <c r="A68" s="243" t="s">
        <v>2051</v>
      </c>
      <c r="B68" s="591">
        <f>'Sources and Uses Budget'!C69</f>
        <v>110000</v>
      </c>
      <c r="C68" s="591">
        <f>SUM(C62:C67)</f>
        <v>0</v>
      </c>
      <c r="D68" s="591">
        <f>SUM(D62:D67)</f>
        <v>0</v>
      </c>
      <c r="E68" s="591">
        <f>'Sources and Uses Budget'!S69</f>
        <v>110000</v>
      </c>
      <c r="F68" s="594">
        <f>SUM(F63:F67)</f>
        <v>0</v>
      </c>
      <c r="G68" s="594">
        <f>SUM(G63:G67)</f>
        <v>0</v>
      </c>
      <c r="H68" s="591">
        <f>'Sources and Uses Budget'!T69</f>
        <v>0</v>
      </c>
      <c r="I68" s="594">
        <f>SUM(I63:I67)</f>
        <v>0</v>
      </c>
      <c r="J68" s="594">
        <f>SUM(J63:J67)</f>
        <v>0</v>
      </c>
      <c r="K68" s="586"/>
    </row>
    <row r="69" spans="1:11" s="253" customFormat="1" ht="11.4">
      <c r="A69" s="235" t="s">
        <v>298</v>
      </c>
      <c r="B69" s="590"/>
      <c r="C69" s="590"/>
      <c r="D69" s="590"/>
      <c r="E69" s="590"/>
      <c r="F69" s="590"/>
      <c r="G69" s="590"/>
      <c r="H69" s="590"/>
      <c r="I69" s="590"/>
      <c r="J69" s="590"/>
      <c r="K69" s="586"/>
    </row>
    <row r="70" spans="1:11" s="253" customFormat="1" ht="11.4">
      <c r="A70" s="239" t="s">
        <v>299</v>
      </c>
      <c r="B70" s="591">
        <f>'Sources and Uses Budget'!C71</f>
        <v>200000</v>
      </c>
      <c r="C70" s="592"/>
      <c r="D70" s="592"/>
      <c r="E70" s="593"/>
      <c r="F70" s="593"/>
      <c r="G70" s="593"/>
      <c r="H70" s="593"/>
      <c r="I70" s="593"/>
      <c r="J70" s="593"/>
      <c r="K70" s="586"/>
    </row>
    <row r="71" spans="1:11" s="253" customFormat="1" ht="11.4">
      <c r="A71" s="239" t="s">
        <v>300</v>
      </c>
      <c r="B71" s="591">
        <f>'Sources and Uses Budget'!C72</f>
        <v>0</v>
      </c>
      <c r="C71" s="592"/>
      <c r="D71" s="592"/>
      <c r="E71" s="593"/>
      <c r="F71" s="593"/>
      <c r="G71" s="593"/>
      <c r="H71" s="593"/>
      <c r="I71" s="593"/>
      <c r="J71" s="593"/>
      <c r="K71" s="586"/>
    </row>
    <row r="72" spans="1:11" s="253" customFormat="1" ht="11.4">
      <c r="A72" s="461" t="s">
        <v>1290</v>
      </c>
      <c r="B72" s="591">
        <f>'Sources and Uses Budget'!C73</f>
        <v>0</v>
      </c>
      <c r="C72" s="592"/>
      <c r="D72" s="592"/>
      <c r="E72" s="593"/>
      <c r="F72" s="593"/>
      <c r="G72" s="593"/>
      <c r="H72" s="593"/>
      <c r="I72" s="593"/>
      <c r="J72" s="593"/>
      <c r="K72" s="586"/>
    </row>
    <row r="73" spans="1:11" s="253" customFormat="1" ht="11.4">
      <c r="A73" s="239" t="s">
        <v>301</v>
      </c>
      <c r="B73" s="591">
        <f>'Sources and Uses Budget'!C74</f>
        <v>228429</v>
      </c>
      <c r="C73" s="592"/>
      <c r="D73" s="592"/>
      <c r="E73" s="593"/>
      <c r="F73" s="593"/>
      <c r="G73" s="593"/>
      <c r="H73" s="593"/>
      <c r="I73" s="593"/>
      <c r="J73" s="593"/>
      <c r="K73" s="586"/>
    </row>
    <row r="74" spans="1:11" s="253" customFormat="1" ht="11.4">
      <c r="A74" s="239" t="str">
        <f>'Sources and Uses Budget'!$A75</f>
        <v>Other: (Specify)</v>
      </c>
      <c r="B74" s="591">
        <f>'Sources and Uses Budget'!C75</f>
        <v>0</v>
      </c>
      <c r="C74" s="592"/>
      <c r="D74" s="592"/>
      <c r="E74" s="593"/>
      <c r="F74" s="593"/>
      <c r="G74" s="593"/>
      <c r="H74" s="593"/>
      <c r="I74" s="593"/>
      <c r="J74" s="593"/>
      <c r="K74" s="586"/>
    </row>
    <row r="75" spans="1:11" s="253" customFormat="1">
      <c r="A75" s="243" t="s">
        <v>302</v>
      </c>
      <c r="B75" s="591">
        <f>'Sources and Uses Budget'!C76</f>
        <v>428429</v>
      </c>
      <c r="C75" s="591">
        <f>SUM(C70:C74)</f>
        <v>0</v>
      </c>
      <c r="D75" s="591">
        <f>SUM(D70:D74)</f>
        <v>0</v>
      </c>
      <c r="E75" s="593"/>
      <c r="F75" s="593"/>
      <c r="G75" s="593"/>
      <c r="H75" s="593"/>
      <c r="I75" s="593"/>
      <c r="J75" s="593"/>
      <c r="K75" s="586"/>
    </row>
    <row r="76" spans="1:11" s="253" customFormat="1" ht="11.4">
      <c r="A76" s="235" t="s">
        <v>1814</v>
      </c>
      <c r="B76" s="590"/>
      <c r="C76" s="590"/>
      <c r="D76" s="590"/>
      <c r="E76" s="590"/>
      <c r="F76" s="590"/>
      <c r="G76" s="590"/>
      <c r="H76" s="590"/>
      <c r="I76" s="590"/>
      <c r="J76" s="590"/>
      <c r="K76" s="586"/>
    </row>
    <row r="77" spans="1:11" s="253" customFormat="1" ht="11.4">
      <c r="A77" s="239" t="s">
        <v>1815</v>
      </c>
      <c r="B77" s="591">
        <f>'Sources and Uses Budget'!C78</f>
        <v>401007</v>
      </c>
      <c r="C77" s="592"/>
      <c r="D77" s="592"/>
      <c r="E77" s="591">
        <f>'Sources and Uses Budget'!S78</f>
        <v>401007</v>
      </c>
      <c r="F77" s="592"/>
      <c r="G77" s="592"/>
      <c r="H77" s="591">
        <f>'Sources and Uses Budget'!T78</f>
        <v>0</v>
      </c>
      <c r="I77" s="592"/>
      <c r="J77" s="592"/>
      <c r="K77" s="586"/>
    </row>
    <row r="78" spans="1:11" s="253" customFormat="1" ht="11.4">
      <c r="A78" s="239" t="s">
        <v>567</v>
      </c>
      <c r="B78" s="591">
        <f>'Sources and Uses Budget'!C79</f>
        <v>300000</v>
      </c>
      <c r="C78" s="592"/>
      <c r="D78" s="592"/>
      <c r="E78" s="591">
        <f>'Sources and Uses Budget'!S79</f>
        <v>300000</v>
      </c>
      <c r="F78" s="592"/>
      <c r="G78" s="592"/>
      <c r="H78" s="591">
        <f>'Sources and Uses Budget'!T79</f>
        <v>0</v>
      </c>
      <c r="I78" s="592"/>
      <c r="J78" s="592"/>
      <c r="K78" s="586"/>
    </row>
    <row r="79" spans="1:11" s="253" customFormat="1">
      <c r="A79" s="243" t="s">
        <v>1813</v>
      </c>
      <c r="B79" s="591">
        <f>'Sources and Uses Budget'!C80</f>
        <v>701007</v>
      </c>
      <c r="C79" s="674">
        <f>SUM(C77:C78)</f>
        <v>0</v>
      </c>
      <c r="D79" s="674">
        <f>SUM(D77:D78)</f>
        <v>0</v>
      </c>
      <c r="E79" s="591">
        <f>'Sources and Uses Budget'!S80</f>
        <v>701007</v>
      </c>
      <c r="F79" s="674">
        <f>SUM(F77:F78)</f>
        <v>0</v>
      </c>
      <c r="G79" s="674">
        <f>SUM(G77:G78)</f>
        <v>0</v>
      </c>
      <c r="H79" s="591">
        <f>'Sources and Uses Budget'!T80</f>
        <v>0</v>
      </c>
      <c r="I79" s="674">
        <f>SUM(I77:I78)</f>
        <v>0</v>
      </c>
      <c r="J79" s="674">
        <f>SUM(J77:J78)</f>
        <v>0</v>
      </c>
      <c r="K79" s="586"/>
    </row>
    <row r="80" spans="1:11" s="253" customFormat="1" ht="11.4">
      <c r="A80" s="235" t="s">
        <v>544</v>
      </c>
      <c r="B80" s="590"/>
      <c r="C80" s="590"/>
      <c r="D80" s="590"/>
      <c r="E80" s="590"/>
      <c r="F80" s="590"/>
      <c r="G80" s="590"/>
      <c r="H80" s="590"/>
      <c r="I80" s="590"/>
      <c r="J80" s="590"/>
      <c r="K80" s="586"/>
    </row>
    <row r="81" spans="1:11" s="253" customFormat="1" ht="13.95" customHeight="1">
      <c r="A81" s="239" t="s">
        <v>2230</v>
      </c>
      <c r="B81" s="591">
        <f>'Sources and Uses Budget'!C82</f>
        <v>77108</v>
      </c>
      <c r="C81" s="592"/>
      <c r="D81" s="592"/>
      <c r="E81" s="593"/>
      <c r="F81" s="593"/>
      <c r="G81" s="593"/>
      <c r="H81" s="593"/>
      <c r="I81" s="593"/>
      <c r="J81" s="593"/>
      <c r="K81" s="586"/>
    </row>
    <row r="82" spans="1:11" s="253" customFormat="1" ht="11.4">
      <c r="A82" s="239" t="s">
        <v>545</v>
      </c>
      <c r="B82" s="591">
        <f>'Sources and Uses Budget'!C83</f>
        <v>0</v>
      </c>
      <c r="C82" s="592"/>
      <c r="D82" s="592"/>
      <c r="E82" s="591">
        <f>'Sources and Uses Budget'!S83</f>
        <v>0</v>
      </c>
      <c r="F82" s="592"/>
      <c r="G82" s="592"/>
      <c r="H82" s="591">
        <f>'Sources and Uses Budget'!T83</f>
        <v>0</v>
      </c>
      <c r="I82" s="592"/>
      <c r="J82" s="592"/>
      <c r="K82" s="586"/>
    </row>
    <row r="83" spans="1:11" s="253" customFormat="1" ht="11.4">
      <c r="A83" s="239" t="s">
        <v>546</v>
      </c>
      <c r="B83" s="591">
        <f>'Sources and Uses Budget'!C84</f>
        <v>835131</v>
      </c>
      <c r="C83" s="592"/>
      <c r="D83" s="592"/>
      <c r="E83" s="591">
        <f>'Sources and Uses Budget'!S84</f>
        <v>835131</v>
      </c>
      <c r="F83" s="592"/>
      <c r="G83" s="592"/>
      <c r="H83" s="591">
        <f>'Sources and Uses Budget'!T84</f>
        <v>0</v>
      </c>
      <c r="I83" s="592"/>
      <c r="J83" s="592"/>
      <c r="K83" s="586"/>
    </row>
    <row r="84" spans="1:11" s="253" customFormat="1" ht="11.4">
      <c r="A84" s="239" t="s">
        <v>547</v>
      </c>
      <c r="B84" s="591">
        <f>'Sources and Uses Budget'!C85</f>
        <v>100000</v>
      </c>
      <c r="C84" s="592"/>
      <c r="D84" s="592"/>
      <c r="E84" s="591">
        <f>'Sources and Uses Budget'!S85</f>
        <v>100000</v>
      </c>
      <c r="F84" s="592"/>
      <c r="G84" s="592"/>
      <c r="H84" s="591">
        <f>'Sources and Uses Budget'!T85</f>
        <v>0</v>
      </c>
      <c r="I84" s="592"/>
      <c r="J84" s="592"/>
      <c r="K84" s="586"/>
    </row>
    <row r="85" spans="1:11" s="253" customFormat="1" ht="11.4">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ht="11.4">
      <c r="A86" s="239" t="s">
        <v>549</v>
      </c>
      <c r="B86" s="591">
        <f>'Sources and Uses Budget'!C87</f>
        <v>58201</v>
      </c>
      <c r="C86" s="592"/>
      <c r="D86" s="592"/>
      <c r="E86" s="593"/>
      <c r="F86" s="593"/>
      <c r="G86" s="593"/>
      <c r="H86" s="593"/>
      <c r="I86" s="593"/>
      <c r="J86" s="593"/>
      <c r="K86" s="586"/>
    </row>
    <row r="87" spans="1:11" s="253" customFormat="1" ht="11.4">
      <c r="A87" s="239" t="s">
        <v>550</v>
      </c>
      <c r="B87" s="591">
        <f>'Sources and Uses Budget'!C88</f>
        <v>50000</v>
      </c>
      <c r="C87" s="592"/>
      <c r="D87" s="592"/>
      <c r="E87" s="591">
        <f>'Sources and Uses Budget'!S88</f>
        <v>50000</v>
      </c>
      <c r="F87" s="592"/>
      <c r="G87" s="592"/>
      <c r="H87" s="591">
        <f>'Sources and Uses Budget'!T88</f>
        <v>0</v>
      </c>
      <c r="I87" s="592"/>
      <c r="J87" s="592"/>
      <c r="K87" s="586"/>
    </row>
    <row r="88" spans="1:11" s="253" customFormat="1" ht="11.4">
      <c r="A88" s="239" t="s">
        <v>551</v>
      </c>
      <c r="B88" s="591">
        <f>'Sources and Uses Budget'!C89</f>
        <v>10000</v>
      </c>
      <c r="C88" s="592"/>
      <c r="D88" s="592"/>
      <c r="E88" s="591">
        <f>'Sources and Uses Budget'!S89</f>
        <v>10000</v>
      </c>
      <c r="F88" s="592"/>
      <c r="G88" s="592"/>
      <c r="H88" s="591">
        <f>'Sources and Uses Budget'!T89</f>
        <v>0</v>
      </c>
      <c r="I88" s="592"/>
      <c r="J88" s="592"/>
      <c r="K88" s="586"/>
    </row>
    <row r="89" spans="1:11" s="253" customFormat="1" ht="11.4">
      <c r="A89" s="239" t="s">
        <v>1366</v>
      </c>
      <c r="B89" s="591">
        <f>'Sources and Uses Budget'!C90</f>
        <v>0</v>
      </c>
      <c r="C89" s="592"/>
      <c r="D89" s="592"/>
      <c r="E89" s="591">
        <f>'Sources and Uses Budget'!S90</f>
        <v>0</v>
      </c>
      <c r="F89" s="592"/>
      <c r="G89" s="592"/>
      <c r="H89" s="591">
        <f>'Sources and Uses Budget'!T90</f>
        <v>0</v>
      </c>
      <c r="I89" s="592"/>
      <c r="J89" s="592"/>
      <c r="K89" s="586"/>
    </row>
    <row r="90" spans="1:11" s="253" customFormat="1" ht="11.4">
      <c r="A90" s="239" t="s">
        <v>1811</v>
      </c>
      <c r="B90" s="591">
        <f>'Sources and Uses Budget'!C91</f>
        <v>10000</v>
      </c>
      <c r="C90" s="592"/>
      <c r="D90" s="592"/>
      <c r="E90" s="591">
        <f>'Sources and Uses Budget'!S91</f>
        <v>10000</v>
      </c>
      <c r="F90" s="592"/>
      <c r="G90" s="592"/>
      <c r="H90" s="591">
        <f>'Sources and Uses Budget'!T91</f>
        <v>0</v>
      </c>
      <c r="I90" s="592"/>
      <c r="J90" s="592"/>
      <c r="K90" s="586"/>
    </row>
    <row r="91" spans="1:11" s="253" customFormat="1" ht="11.4">
      <c r="A91" s="239" t="str">
        <f>'Sources and Uses Budget'!$A92</f>
        <v>Other: Cost Cert</v>
      </c>
      <c r="B91" s="591">
        <f>'Sources and Uses Budget'!C92</f>
        <v>10000</v>
      </c>
      <c r="C91" s="592"/>
      <c r="D91" s="592"/>
      <c r="E91" s="591">
        <f>'Sources and Uses Budget'!S92</f>
        <v>10000</v>
      </c>
      <c r="F91" s="592"/>
      <c r="G91" s="592"/>
      <c r="H91" s="591">
        <f>'Sources and Uses Budget'!T92</f>
        <v>0</v>
      </c>
      <c r="I91" s="592"/>
      <c r="J91" s="592"/>
      <c r="K91" s="586"/>
    </row>
    <row r="92" spans="1:11" s="253" customFormat="1" ht="11.4">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ht="11.4">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1150440</v>
      </c>
      <c r="C94" s="591">
        <f>SUM(C81:C93)</f>
        <v>0</v>
      </c>
      <c r="D94" s="591">
        <f>SUM(D81:D93)</f>
        <v>0</v>
      </c>
      <c r="E94" s="591">
        <f>'Sources and Uses Budget'!S95</f>
        <v>1015131</v>
      </c>
      <c r="F94" s="594">
        <f>SUM(F82:F85,F87:F93)</f>
        <v>0</v>
      </c>
      <c r="G94" s="594">
        <f>SUM(G82:G85,G87:G93)</f>
        <v>0</v>
      </c>
      <c r="H94" s="591">
        <f>'Sources and Uses Budget'!T95</f>
        <v>0</v>
      </c>
      <c r="I94" s="591">
        <f>SUM(I82:I85,I87:I93)</f>
        <v>0</v>
      </c>
      <c r="J94" s="591">
        <f>SUM(J82:J85,J87:J93)</f>
        <v>0</v>
      </c>
      <c r="K94" s="586"/>
    </row>
    <row r="95" spans="1:11" s="253" customFormat="1">
      <c r="A95" s="243" t="s">
        <v>1417</v>
      </c>
      <c r="B95" s="591">
        <f>'Sources and Uses Budget'!C96</f>
        <v>12554916</v>
      </c>
      <c r="C95" s="591">
        <f>SUM(C61+C68+C75+C79+C94)</f>
        <v>0</v>
      </c>
      <c r="D95" s="591">
        <f>SUM(D61+D68+D75+D79+D94)</f>
        <v>0</v>
      </c>
      <c r="E95" s="591">
        <f>'Sources and Uses Budget'!S96</f>
        <v>11226178</v>
      </c>
      <c r="F95" s="594">
        <f>SUM(+F61+F68+F79+F94)</f>
        <v>0</v>
      </c>
      <c r="G95" s="594">
        <f>SUM(+G61+G68+G79+G94)</f>
        <v>0</v>
      </c>
      <c r="H95" s="591">
        <f>'Sources and Uses Budget'!T96</f>
        <v>0</v>
      </c>
      <c r="I95" s="594">
        <f>SUM(I61+I68+I79+I94)</f>
        <v>0</v>
      </c>
      <c r="J95" s="594">
        <f>SUM(J61+J68+J79+J94)</f>
        <v>0</v>
      </c>
      <c r="K95" s="586"/>
    </row>
    <row r="96" spans="1:11" s="253" customFormat="1" ht="11.4">
      <c r="A96" s="235" t="s">
        <v>554</v>
      </c>
      <c r="B96" s="590"/>
      <c r="C96" s="590"/>
      <c r="D96" s="590"/>
      <c r="E96" s="590"/>
      <c r="F96" s="590"/>
      <c r="G96" s="590"/>
      <c r="H96" s="590"/>
      <c r="I96" s="590"/>
      <c r="J96" s="590"/>
      <c r="K96" s="586"/>
    </row>
    <row r="97" spans="1:11" s="253" customFormat="1" ht="11.4">
      <c r="A97" s="239" t="s">
        <v>555</v>
      </c>
      <c r="B97" s="591">
        <f>'Sources and Uses Budget'!C98</f>
        <v>1668927</v>
      </c>
      <c r="C97" s="592"/>
      <c r="D97" s="592"/>
      <c r="E97" s="591">
        <f>'Sources and Uses Budget'!S98</f>
        <v>1668927</v>
      </c>
      <c r="F97" s="592"/>
      <c r="G97" s="592"/>
      <c r="H97" s="591">
        <f>'Sources and Uses Budget'!T98</f>
        <v>0</v>
      </c>
      <c r="I97" s="592"/>
      <c r="J97" s="592"/>
      <c r="K97" s="586"/>
    </row>
    <row r="98" spans="1:11" s="253" customFormat="1" ht="11.4">
      <c r="A98" s="239" t="s">
        <v>2052</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ht="11.4">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ht="11.4">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1668927</v>
      </c>
      <c r="C102" s="591">
        <f>SUM(C97:C101)</f>
        <v>0</v>
      </c>
      <c r="D102" s="591">
        <f>SUM(D97:D101)</f>
        <v>0</v>
      </c>
      <c r="E102" s="591">
        <f>'Sources and Uses Budget'!S103</f>
        <v>1668927</v>
      </c>
      <c r="F102" s="594">
        <f>SUM(F97:F101)</f>
        <v>0</v>
      </c>
      <c r="G102" s="594">
        <f>SUM(G97:G101)</f>
        <v>0</v>
      </c>
      <c r="H102" s="591">
        <f>'Sources and Uses Budget'!T103</f>
        <v>0</v>
      </c>
      <c r="I102" s="594">
        <f>SUM(I97:I101)</f>
        <v>0</v>
      </c>
      <c r="J102" s="594">
        <f>SUM(J97:J101)</f>
        <v>0</v>
      </c>
      <c r="K102" s="586"/>
    </row>
    <row r="103" spans="1:11" s="253" customFormat="1">
      <c r="A103" s="243" t="s">
        <v>1418</v>
      </c>
      <c r="B103" s="591">
        <f>'Sources and Uses Budget'!C104</f>
        <v>14223843</v>
      </c>
      <c r="C103" s="594">
        <f>SUM(C95+C102)</f>
        <v>0</v>
      </c>
      <c r="D103" s="594">
        <f>SUM(D95+D102)</f>
        <v>0</v>
      </c>
      <c r="E103" s="591">
        <f>'Sources and Uses Budget'!S104</f>
        <v>12895105</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12895105</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279" workbookViewId="0">
      <selection activeCell="U651" sqref="U651"/>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76" customWidth="1"/>
    <col min="41" max="41" width="5.5546875" style="38" hidden="1" customWidth="1"/>
    <col min="42" max="55" width="5.5546875" style="21" hidden="1" customWidth="1"/>
    <col min="56" max="60" width="5.5546875" style="40" hidden="1" customWidth="1"/>
    <col min="61" max="109" width="5.5546875" style="21" hidden="1" customWidth="1"/>
    <col min="110" max="16384" width="9.109375" style="21" hidden="1"/>
  </cols>
  <sheetData>
    <row r="1" spans="1:42" ht="15.75" customHeight="1">
      <c r="A1" s="1282" t="s">
        <v>885</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c r="AA1" s="1282"/>
      <c r="AB1" s="1282"/>
      <c r="AC1" s="1282"/>
      <c r="AD1" s="1282"/>
      <c r="AE1" s="1282"/>
      <c r="AF1" s="1282"/>
      <c r="AG1" s="1282"/>
      <c r="AH1" s="1282"/>
      <c r="AI1" s="1282"/>
      <c r="AJ1" s="1282"/>
      <c r="AK1" s="1282"/>
      <c r="AL1" s="1282"/>
      <c r="AM1" s="1282"/>
    </row>
    <row r="2" spans="1:42" s="5" customFormat="1" ht="12.75" customHeight="1" thickBot="1">
      <c r="A2" s="1283"/>
      <c r="B2" s="1283"/>
      <c r="C2" s="1283"/>
      <c r="D2" s="1283"/>
      <c r="E2" s="1283"/>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83"/>
      <c r="AF2" s="1283"/>
      <c r="AG2" s="1283"/>
      <c r="AH2" s="1283"/>
      <c r="AI2" s="1283"/>
      <c r="AJ2" s="1283"/>
      <c r="AK2" s="1283"/>
      <c r="AL2" s="1283"/>
      <c r="AM2" s="1283"/>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673" t="s">
        <v>387</v>
      </c>
      <c r="AF4" s="1673"/>
      <c r="AG4" s="1673"/>
      <c r="AH4" s="1673"/>
      <c r="AI4" s="1673"/>
      <c r="AJ4" s="1673"/>
      <c r="AK4" s="1673"/>
      <c r="AL4" s="18"/>
      <c r="AN4" s="678"/>
    </row>
    <row r="5" spans="1:42" s="3" customFormat="1" ht="12.9"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75" t="s">
        <v>893</v>
      </c>
      <c r="AG6" s="1675"/>
      <c r="AH6" s="1675"/>
      <c r="AI6" s="1675"/>
      <c r="AJ6" s="1675"/>
      <c r="AK6" s="1675"/>
      <c r="AL6" s="1675"/>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699" t="s">
        <v>2363</v>
      </c>
      <c r="C8" s="1699"/>
      <c r="D8" s="1699"/>
      <c r="E8" s="1699"/>
      <c r="F8" s="1699"/>
      <c r="G8" s="1699"/>
      <c r="H8" s="1699"/>
      <c r="I8" s="1699"/>
      <c r="J8" s="1699"/>
      <c r="K8" s="1699"/>
      <c r="L8" s="1699"/>
      <c r="M8" s="1699"/>
      <c r="N8" s="1699"/>
      <c r="O8" s="1699"/>
      <c r="P8" s="1699"/>
      <c r="Q8" s="1699"/>
      <c r="R8" s="1699"/>
      <c r="S8" s="1699"/>
      <c r="T8" s="1699"/>
      <c r="U8" s="1699"/>
      <c r="V8" s="1699"/>
      <c r="W8" s="1699"/>
      <c r="X8" s="1699"/>
      <c r="Y8" s="1699"/>
      <c r="Z8" s="1699"/>
      <c r="AA8" s="1699"/>
      <c r="AB8" s="1699"/>
      <c r="AC8" s="1699"/>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699" t="s">
        <v>1294</v>
      </c>
      <c r="C11" s="1699"/>
      <c r="D11" s="1699"/>
      <c r="E11" s="1699"/>
      <c r="F11" s="1699"/>
      <c r="G11" s="1699"/>
      <c r="H11" s="1699"/>
      <c r="I11" s="1699"/>
      <c r="J11" s="1699"/>
      <c r="K11" s="1699"/>
      <c r="L11" s="1699"/>
      <c r="M11" s="1699"/>
      <c r="N11" s="1699"/>
      <c r="O11" s="1699"/>
      <c r="P11" s="1699"/>
      <c r="Q11" s="1699"/>
      <c r="R11" s="1699"/>
      <c r="S11" s="1699"/>
      <c r="T11" s="1699"/>
      <c r="U11" s="1699"/>
      <c r="V11" s="1699"/>
      <c r="W11" s="1699"/>
      <c r="X11" s="1699"/>
      <c r="Y11" s="1699"/>
      <c r="Z11" s="1699"/>
      <c r="AA11" s="1699"/>
      <c r="AB11" s="1699"/>
      <c r="AC11" s="1699"/>
      <c r="AD11" s="1699"/>
      <c r="AE11" s="1699"/>
      <c r="AF11" s="1699"/>
      <c r="AG11" s="1699"/>
      <c r="AH11" s="1699"/>
      <c r="AI11" s="1699"/>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84" t="s">
        <v>131</v>
      </c>
      <c r="AC13" s="1784"/>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699" t="s">
        <v>1164</v>
      </c>
      <c r="C16" s="1699"/>
      <c r="D16" s="1699"/>
      <c r="E16" s="1699"/>
      <c r="F16" s="1699"/>
      <c r="G16" s="1699"/>
      <c r="H16" s="1699"/>
      <c r="I16" s="1699"/>
      <c r="J16" s="1699"/>
      <c r="K16" s="1699"/>
      <c r="L16" s="1699"/>
      <c r="M16" s="1699"/>
      <c r="N16" s="1699"/>
      <c r="O16" s="1699"/>
      <c r="P16" s="1699"/>
      <c r="Q16" s="1699"/>
      <c r="R16" s="1699"/>
      <c r="S16" s="1699"/>
      <c r="T16" s="1699"/>
      <c r="U16" s="1699"/>
      <c r="V16" s="1699"/>
      <c r="W16" s="1699"/>
      <c r="X16" s="1699"/>
      <c r="Y16" s="1699"/>
      <c r="Z16" s="1699"/>
      <c r="AA16" s="1699"/>
      <c r="AB16" s="1699"/>
      <c r="AC16" s="1699"/>
      <c r="AD16" s="1699"/>
      <c r="AE16" s="1699"/>
      <c r="AF16" s="1699"/>
      <c r="AG16" s="1699"/>
      <c r="AH16" s="1699"/>
      <c r="AI16" s="1699"/>
      <c r="AJ16" s="1699"/>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4" t="s">
        <v>2328</v>
      </c>
      <c r="C20" s="1664"/>
      <c r="D20" s="1664"/>
      <c r="E20" s="1664"/>
      <c r="F20" s="1664"/>
      <c r="G20" s="1664"/>
      <c r="H20" s="1664"/>
      <c r="I20" s="1664"/>
      <c r="J20" s="1664"/>
      <c r="K20" s="1664"/>
      <c r="L20" s="1664"/>
      <c r="M20" s="1664"/>
      <c r="N20" s="1664"/>
      <c r="O20" s="1664"/>
      <c r="P20" s="1664"/>
      <c r="Q20" s="1664"/>
      <c r="R20" s="1664"/>
      <c r="S20" s="1664"/>
      <c r="T20" s="1664"/>
      <c r="U20" s="1664"/>
      <c r="V20" s="1664"/>
      <c r="W20" s="1664"/>
      <c r="X20" s="1664"/>
      <c r="Y20" s="1664"/>
      <c r="Z20" s="1664"/>
      <c r="AA20" s="1664"/>
      <c r="AB20" s="1664"/>
      <c r="AC20" s="1664"/>
      <c r="AD20" s="1664"/>
      <c r="AE20" s="1664"/>
      <c r="AF20" s="1664"/>
      <c r="AG20" s="1664"/>
      <c r="AH20" s="1664"/>
      <c r="AI20" s="1664"/>
      <c r="AJ20" s="1664"/>
      <c r="AK20" s="1664"/>
      <c r="AL20" s="103"/>
      <c r="AM20" s="27"/>
      <c r="AN20" s="677"/>
    </row>
    <row r="21" spans="1:42" s="5" customFormat="1" ht="12.75" customHeight="1">
      <c r="A21" s="27"/>
      <c r="B21" s="1664"/>
      <c r="C21" s="1664"/>
      <c r="D21" s="1664"/>
      <c r="E21" s="1664"/>
      <c r="F21" s="1664"/>
      <c r="G21" s="1664"/>
      <c r="H21" s="1664"/>
      <c r="I21" s="1664"/>
      <c r="J21" s="1664"/>
      <c r="K21" s="1664"/>
      <c r="L21" s="1664"/>
      <c r="M21" s="1664"/>
      <c r="N21" s="1664"/>
      <c r="O21" s="1664"/>
      <c r="P21" s="1664"/>
      <c r="Q21" s="1664"/>
      <c r="R21" s="1664"/>
      <c r="S21" s="1664"/>
      <c r="T21" s="1664"/>
      <c r="U21" s="1664"/>
      <c r="V21" s="1664"/>
      <c r="W21" s="1664"/>
      <c r="X21" s="1664"/>
      <c r="Y21" s="1664"/>
      <c r="Z21" s="1664"/>
      <c r="AA21" s="1664"/>
      <c r="AB21" s="1664"/>
      <c r="AC21" s="1664"/>
      <c r="AD21" s="1664"/>
      <c r="AE21" s="1664"/>
      <c r="AF21" s="1664"/>
      <c r="AG21" s="1664"/>
      <c r="AH21" s="1664"/>
      <c r="AI21" s="1664"/>
      <c r="AJ21" s="1664"/>
      <c r="AK21" s="1664"/>
      <c r="AL21" s="103"/>
      <c r="AM21" s="27"/>
      <c r="AN21" s="677"/>
      <c r="AP21" s="341"/>
    </row>
    <row r="22" spans="1:42" s="5" customFormat="1" ht="12.75" customHeight="1">
      <c r="A22" s="27"/>
      <c r="B22" s="1664"/>
      <c r="C22" s="1664"/>
      <c r="D22" s="1664"/>
      <c r="E22" s="1664"/>
      <c r="F22" s="1664"/>
      <c r="G22" s="1664"/>
      <c r="H22" s="1664"/>
      <c r="I22" s="1664"/>
      <c r="J22" s="1664"/>
      <c r="K22" s="1664"/>
      <c r="L22" s="1664"/>
      <c r="M22" s="1664"/>
      <c r="N22" s="1664"/>
      <c r="O22" s="1664"/>
      <c r="P22" s="1664"/>
      <c r="Q22" s="1664"/>
      <c r="R22" s="1664"/>
      <c r="S22" s="1664"/>
      <c r="T22" s="1664"/>
      <c r="U22" s="1664"/>
      <c r="V22" s="1664"/>
      <c r="W22" s="1664"/>
      <c r="X22" s="1664"/>
      <c r="Y22" s="1664"/>
      <c r="Z22" s="1664"/>
      <c r="AA22" s="1664"/>
      <c r="AB22" s="1664"/>
      <c r="AC22" s="1664"/>
      <c r="AD22" s="1664"/>
      <c r="AE22" s="1664"/>
      <c r="AF22" s="1664"/>
      <c r="AG22" s="1664"/>
      <c r="AH22" s="1664"/>
      <c r="AI22" s="1664"/>
      <c r="AJ22" s="1664"/>
      <c r="AK22" s="1664"/>
      <c r="AL22" s="103"/>
      <c r="AM22" s="27"/>
      <c r="AN22" s="677"/>
    </row>
    <row r="23" spans="1:42" s="4" customFormat="1" ht="12.75" customHeight="1">
      <c r="A23" s="27"/>
      <c r="B23" s="1664"/>
      <c r="C23" s="1664"/>
      <c r="D23" s="1664"/>
      <c r="E23" s="1664"/>
      <c r="F23" s="1664"/>
      <c r="G23" s="1664"/>
      <c r="H23" s="1664"/>
      <c r="I23" s="1664"/>
      <c r="J23" s="1664"/>
      <c r="K23" s="1664"/>
      <c r="L23" s="1664"/>
      <c r="M23" s="1664"/>
      <c r="N23" s="1664"/>
      <c r="O23" s="1664"/>
      <c r="P23" s="1664"/>
      <c r="Q23" s="1664"/>
      <c r="R23" s="1664"/>
      <c r="S23" s="1664"/>
      <c r="T23" s="1664"/>
      <c r="U23" s="1664"/>
      <c r="V23" s="1664"/>
      <c r="W23" s="1664"/>
      <c r="X23" s="1664"/>
      <c r="Y23" s="1664"/>
      <c r="Z23" s="1664"/>
      <c r="AA23" s="1664"/>
      <c r="AB23" s="1664"/>
      <c r="AC23" s="1664"/>
      <c r="AD23" s="1664"/>
      <c r="AE23" s="1664"/>
      <c r="AF23" s="1664"/>
      <c r="AG23" s="1664"/>
      <c r="AH23" s="1664"/>
      <c r="AI23" s="1664"/>
      <c r="AJ23" s="1664"/>
      <c r="AK23" s="1664"/>
      <c r="AL23" s="103"/>
      <c r="AM23" s="27"/>
      <c r="AN23" s="281"/>
    </row>
    <row r="24" spans="1:42" s="4" customFormat="1" ht="12.75" customHeight="1">
      <c r="A24" s="27"/>
      <c r="B24" s="1664"/>
      <c r="C24" s="1664"/>
      <c r="D24" s="1664"/>
      <c r="E24" s="1664"/>
      <c r="F24" s="1664"/>
      <c r="G24" s="1664"/>
      <c r="H24" s="1664"/>
      <c r="I24" s="1664"/>
      <c r="J24" s="1664"/>
      <c r="K24" s="1664"/>
      <c r="L24" s="1664"/>
      <c r="M24" s="1664"/>
      <c r="N24" s="1664"/>
      <c r="O24" s="1664"/>
      <c r="P24" s="1664"/>
      <c r="Q24" s="1664"/>
      <c r="R24" s="1664"/>
      <c r="S24" s="1664"/>
      <c r="T24" s="1664"/>
      <c r="U24" s="1664"/>
      <c r="V24" s="1664"/>
      <c r="W24" s="1664"/>
      <c r="X24" s="1664"/>
      <c r="Y24" s="1664"/>
      <c r="Z24" s="1664"/>
      <c r="AA24" s="1664"/>
      <c r="AB24" s="1664"/>
      <c r="AC24" s="1664"/>
      <c r="AD24" s="1664"/>
      <c r="AE24" s="1664"/>
      <c r="AF24" s="1664"/>
      <c r="AG24" s="1664"/>
      <c r="AH24" s="1664"/>
      <c r="AI24" s="1664"/>
      <c r="AJ24" s="1664"/>
      <c r="AK24" s="1664"/>
      <c r="AL24" s="103"/>
      <c r="AM24" s="27"/>
      <c r="AN24" s="679"/>
      <c r="AO24" s="91"/>
    </row>
    <row r="25" spans="1:42" s="4" customFormat="1" ht="12.75" customHeight="1">
      <c r="A25" s="27"/>
      <c r="B25" s="1664"/>
      <c r="C25" s="1664"/>
      <c r="D25" s="1664"/>
      <c r="E25" s="1664"/>
      <c r="F25" s="1664"/>
      <c r="G25" s="1664"/>
      <c r="H25" s="1664"/>
      <c r="I25" s="1664"/>
      <c r="J25" s="1664"/>
      <c r="K25" s="1664"/>
      <c r="L25" s="1664"/>
      <c r="M25" s="1664"/>
      <c r="N25" s="1664"/>
      <c r="O25" s="1664"/>
      <c r="P25" s="1664"/>
      <c r="Q25" s="1664"/>
      <c r="R25" s="1664"/>
      <c r="S25" s="1664"/>
      <c r="T25" s="1664"/>
      <c r="U25" s="1664"/>
      <c r="V25" s="1664"/>
      <c r="W25" s="1664"/>
      <c r="X25" s="1664"/>
      <c r="Y25" s="1664"/>
      <c r="Z25" s="1664"/>
      <c r="AA25" s="1664"/>
      <c r="AB25" s="1664"/>
      <c r="AC25" s="1664"/>
      <c r="AD25" s="1664"/>
      <c r="AE25" s="1664"/>
      <c r="AF25" s="1664"/>
      <c r="AG25" s="1664"/>
      <c r="AH25" s="1664"/>
      <c r="AI25" s="1664"/>
      <c r="AJ25" s="1664"/>
      <c r="AK25" s="1664"/>
      <c r="AL25" s="103"/>
      <c r="AM25" s="27"/>
      <c r="AN25" s="679"/>
    </row>
    <row r="26" spans="1:42" s="4" customFormat="1" ht="12.75" customHeight="1">
      <c r="A26" s="27"/>
      <c r="B26" s="1664"/>
      <c r="C26" s="1664"/>
      <c r="D26" s="1664"/>
      <c r="E26" s="1664"/>
      <c r="F26" s="1664"/>
      <c r="G26" s="1664"/>
      <c r="H26" s="1664"/>
      <c r="I26" s="1664"/>
      <c r="J26" s="1664"/>
      <c r="K26" s="1664"/>
      <c r="L26" s="1664"/>
      <c r="M26" s="1664"/>
      <c r="N26" s="1664"/>
      <c r="O26" s="1664"/>
      <c r="P26" s="1664"/>
      <c r="Q26" s="1664"/>
      <c r="R26" s="1664"/>
      <c r="S26" s="1664"/>
      <c r="T26" s="1664"/>
      <c r="U26" s="1664"/>
      <c r="V26" s="1664"/>
      <c r="W26" s="1664"/>
      <c r="X26" s="1664"/>
      <c r="Y26" s="1664"/>
      <c r="Z26" s="1664"/>
      <c r="AA26" s="1664"/>
      <c r="AB26" s="1664"/>
      <c r="AC26" s="1664"/>
      <c r="AD26" s="1664"/>
      <c r="AE26" s="1664"/>
      <c r="AF26" s="1664"/>
      <c r="AG26" s="1664"/>
      <c r="AH26" s="1664"/>
      <c r="AI26" s="1664"/>
      <c r="AJ26" s="1664"/>
      <c r="AK26" s="1664"/>
      <c r="AL26" s="103"/>
      <c r="AM26" s="27"/>
      <c r="AN26" s="281"/>
    </row>
    <row r="27" spans="1:42" s="4" customFormat="1" ht="12.75" customHeight="1">
      <c r="A27" s="27"/>
      <c r="B27" s="1664"/>
      <c r="C27" s="1664"/>
      <c r="D27" s="1664"/>
      <c r="E27" s="1664"/>
      <c r="F27" s="1664"/>
      <c r="G27" s="1664"/>
      <c r="H27" s="1664"/>
      <c r="I27" s="1664"/>
      <c r="J27" s="1664"/>
      <c r="K27" s="1664"/>
      <c r="L27" s="1664"/>
      <c r="M27" s="1664"/>
      <c r="N27" s="1664"/>
      <c r="O27" s="1664"/>
      <c r="P27" s="1664"/>
      <c r="Q27" s="1664"/>
      <c r="R27" s="1664"/>
      <c r="S27" s="1664"/>
      <c r="T27" s="1664"/>
      <c r="U27" s="1664"/>
      <c r="V27" s="1664"/>
      <c r="W27" s="1664"/>
      <c r="X27" s="1664"/>
      <c r="Y27" s="1664"/>
      <c r="Z27" s="1664"/>
      <c r="AA27" s="1664"/>
      <c r="AB27" s="1664"/>
      <c r="AC27" s="1664"/>
      <c r="AD27" s="1664"/>
      <c r="AE27" s="1664"/>
      <c r="AF27" s="1664"/>
      <c r="AG27" s="1664"/>
      <c r="AH27" s="1664"/>
      <c r="AI27" s="1664"/>
      <c r="AJ27" s="1664"/>
      <c r="AK27" s="1664"/>
      <c r="AL27" s="103"/>
      <c r="AM27" s="27"/>
      <c r="AN27" s="621"/>
    </row>
    <row r="28" spans="1:42" s="4" customFormat="1" ht="12.75" customHeight="1">
      <c r="A28" s="27"/>
      <c r="B28" s="1664"/>
      <c r="C28" s="1664"/>
      <c r="D28" s="1664"/>
      <c r="E28" s="1664"/>
      <c r="F28" s="1664"/>
      <c r="G28" s="1664"/>
      <c r="H28" s="1664"/>
      <c r="I28" s="1664"/>
      <c r="J28" s="1664"/>
      <c r="K28" s="1664"/>
      <c r="L28" s="1664"/>
      <c r="M28" s="1664"/>
      <c r="N28" s="1664"/>
      <c r="O28" s="1664"/>
      <c r="P28" s="1664"/>
      <c r="Q28" s="1664"/>
      <c r="R28" s="1664"/>
      <c r="S28" s="1664"/>
      <c r="T28" s="1664"/>
      <c r="U28" s="1664"/>
      <c r="V28" s="1664"/>
      <c r="W28" s="1664"/>
      <c r="X28" s="1664"/>
      <c r="Y28" s="1664"/>
      <c r="Z28" s="1664"/>
      <c r="AA28" s="1664"/>
      <c r="AB28" s="1664"/>
      <c r="AC28" s="1664"/>
      <c r="AD28" s="1664"/>
      <c r="AE28" s="1664"/>
      <c r="AF28" s="1664"/>
      <c r="AG28" s="1664"/>
      <c r="AH28" s="1664"/>
      <c r="AI28" s="1664"/>
      <c r="AJ28" s="1664"/>
      <c r="AK28" s="1664"/>
      <c r="AL28" s="103"/>
      <c r="AM28" s="27"/>
      <c r="AN28" s="621"/>
    </row>
    <row r="29" spans="1:42" s="4" customFormat="1" ht="31.65" customHeight="1">
      <c r="A29" s="27"/>
      <c r="B29" s="1664"/>
      <c r="C29" s="1664"/>
      <c r="D29" s="1664"/>
      <c r="E29" s="1664"/>
      <c r="F29" s="1664"/>
      <c r="G29" s="1664"/>
      <c r="H29" s="1664"/>
      <c r="I29" s="1664"/>
      <c r="J29" s="1664"/>
      <c r="K29" s="1664"/>
      <c r="L29" s="1664"/>
      <c r="M29" s="1664"/>
      <c r="N29" s="1664"/>
      <c r="O29" s="1664"/>
      <c r="P29" s="1664"/>
      <c r="Q29" s="1664"/>
      <c r="R29" s="1664"/>
      <c r="S29" s="1664"/>
      <c r="T29" s="1664"/>
      <c r="U29" s="1664"/>
      <c r="V29" s="1664"/>
      <c r="W29" s="1664"/>
      <c r="X29" s="1664"/>
      <c r="Y29" s="1664"/>
      <c r="Z29" s="1664"/>
      <c r="AA29" s="1664"/>
      <c r="AB29" s="1664"/>
      <c r="AC29" s="1664"/>
      <c r="AD29" s="1664"/>
      <c r="AE29" s="1664"/>
      <c r="AF29" s="1664"/>
      <c r="AG29" s="1664"/>
      <c r="AH29" s="1664"/>
      <c r="AI29" s="1664"/>
      <c r="AJ29" s="1664"/>
      <c r="AK29" s="1664"/>
      <c r="AL29" s="103"/>
      <c r="AM29" s="27"/>
      <c r="AN29" s="621"/>
      <c r="AO29" s="365" t="s">
        <v>83</v>
      </c>
      <c r="AP29" s="365"/>
    </row>
    <row r="30" spans="1:42" s="4" customFormat="1" ht="12.75" customHeight="1">
      <c r="A30" s="5"/>
      <c r="B30" s="1701"/>
      <c r="C30" s="1701"/>
      <c r="D30" s="1701"/>
      <c r="E30" s="1701"/>
      <c r="F30" s="1701"/>
      <c r="G30" s="1701"/>
      <c r="H30" s="1701"/>
      <c r="I30" s="1701"/>
      <c r="J30" s="1701"/>
      <c r="K30" s="1701"/>
      <c r="L30" s="1701"/>
      <c r="M30" s="1701"/>
      <c r="N30" s="1701"/>
      <c r="O30" s="1701"/>
      <c r="P30" s="1701"/>
      <c r="Q30" s="1701"/>
      <c r="R30" s="1701"/>
      <c r="S30" s="1701"/>
      <c r="T30" s="1701"/>
      <c r="U30" s="1701"/>
      <c r="V30" s="1701"/>
      <c r="W30" s="1701"/>
      <c r="X30" s="1701"/>
      <c r="Y30" s="1701"/>
      <c r="Z30" s="1701"/>
      <c r="AA30" s="1701"/>
      <c r="AB30" s="1701"/>
      <c r="AC30" s="1701"/>
      <c r="AD30" s="1701"/>
      <c r="AE30" s="1701"/>
      <c r="AF30" s="1701"/>
      <c r="AG30" s="1701"/>
      <c r="AH30" s="1701"/>
      <c r="AI30" s="1701"/>
      <c r="AJ30" s="1701"/>
      <c r="AK30" s="1701"/>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736">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6"/>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5" t="s">
        <v>64</v>
      </c>
      <c r="AG33" s="1675"/>
      <c r="AH33" s="1675"/>
      <c r="AI33" s="1675"/>
      <c r="AJ33" s="1675"/>
      <c r="AK33" s="1675"/>
      <c r="AL33" s="1675"/>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699" t="s">
        <v>1298</v>
      </c>
      <c r="D35" s="1699"/>
      <c r="E35" s="1699"/>
      <c r="F35" s="1699"/>
      <c r="G35" s="1699"/>
      <c r="H35" s="1699"/>
      <c r="I35" s="1699"/>
      <c r="J35" s="1699"/>
      <c r="K35" s="1699"/>
      <c r="L35" s="1699"/>
      <c r="M35" s="1699"/>
      <c r="N35" s="1699"/>
      <c r="O35" s="1699"/>
      <c r="P35" s="1699"/>
      <c r="Q35" s="1699"/>
      <c r="R35" s="1699"/>
      <c r="S35" s="1699"/>
      <c r="T35" s="1699"/>
      <c r="U35" s="1699"/>
      <c r="V35" s="1699"/>
      <c r="W35" s="1699"/>
      <c r="X35" s="1699"/>
      <c r="Y35" s="1699"/>
      <c r="Z35" s="1699"/>
      <c r="AA35" s="1699"/>
      <c r="AB35" s="1699"/>
      <c r="AC35" s="1699"/>
      <c r="AD35" s="1699"/>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4" t="s">
        <v>131</v>
      </c>
      <c r="AD37" s="1784"/>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699" t="s">
        <v>1164</v>
      </c>
      <c r="D40" s="1699"/>
      <c r="E40" s="1699"/>
      <c r="F40" s="1699"/>
      <c r="G40" s="1699"/>
      <c r="H40" s="1699"/>
      <c r="I40" s="1699"/>
      <c r="J40" s="1699"/>
      <c r="K40" s="1699"/>
      <c r="L40" s="1699"/>
      <c r="M40" s="1699"/>
      <c r="N40" s="1699"/>
      <c r="O40" s="1699"/>
      <c r="P40" s="1699"/>
      <c r="Q40" s="1699"/>
      <c r="R40" s="1699"/>
      <c r="S40" s="1699"/>
      <c r="T40" s="1699"/>
      <c r="U40" s="1699"/>
      <c r="V40" s="1699"/>
      <c r="W40" s="1699"/>
      <c r="X40" s="1699"/>
      <c r="Y40" s="1699"/>
      <c r="Z40" s="1699"/>
      <c r="AA40" s="1699"/>
      <c r="AB40" s="1699"/>
      <c r="AC40" s="1699"/>
      <c r="AD40" s="1699"/>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699" t="s">
        <v>2419</v>
      </c>
      <c r="D45" s="1699"/>
      <c r="E45" s="1699"/>
      <c r="F45" s="1699"/>
      <c r="G45" s="1699"/>
      <c r="H45" s="1699"/>
      <c r="I45" s="1699"/>
      <c r="J45" s="1699"/>
      <c r="K45" s="1699"/>
      <c r="L45" s="1699"/>
      <c r="M45" s="1699"/>
      <c r="N45" s="1699"/>
      <c r="O45" s="1699"/>
      <c r="P45" s="1699"/>
      <c r="Q45" s="1699"/>
      <c r="R45" s="1699"/>
      <c r="S45" s="1699"/>
      <c r="T45" s="1699"/>
      <c r="U45" s="1699"/>
      <c r="V45" s="1699"/>
      <c r="W45" s="1699"/>
      <c r="X45" s="1699"/>
      <c r="Y45" s="1699"/>
      <c r="Z45" s="1699"/>
      <c r="AA45" s="1699"/>
      <c r="AB45" s="1699"/>
      <c r="AC45" s="1699"/>
      <c r="AD45" s="1699"/>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12">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2"/>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64" t="s">
        <v>1535</v>
      </c>
      <c r="C49" s="1664"/>
      <c r="D49" s="1664"/>
      <c r="E49" s="1664"/>
      <c r="F49" s="1664"/>
      <c r="G49" s="1664"/>
      <c r="H49" s="1664"/>
      <c r="I49" s="1664"/>
      <c r="J49" s="1664"/>
      <c r="K49" s="1664"/>
      <c r="L49" s="1664"/>
      <c r="M49" s="1664"/>
      <c r="N49" s="1664"/>
      <c r="O49" s="1664"/>
      <c r="P49" s="1664"/>
      <c r="Q49" s="1664"/>
      <c r="R49" s="1664"/>
      <c r="S49" s="1664"/>
      <c r="T49" s="1664"/>
      <c r="U49" s="1664"/>
      <c r="V49" s="1664"/>
      <c r="W49" s="1664"/>
      <c r="X49" s="1664"/>
      <c r="Y49" s="1664"/>
      <c r="Z49" s="1664"/>
      <c r="AA49" s="1664"/>
      <c r="AB49" s="1664"/>
      <c r="AC49" s="1664"/>
      <c r="AD49" s="1664"/>
      <c r="AE49" s="1664"/>
      <c r="AF49" s="1664"/>
      <c r="AG49" s="1664"/>
      <c r="AH49" s="1664"/>
      <c r="AI49" s="1664"/>
      <c r="AJ49" s="1664"/>
      <c r="AK49" s="1664"/>
      <c r="AL49" s="103"/>
      <c r="AM49" s="27"/>
      <c r="AN49" s="281"/>
      <c r="AP49" s="4" t="s">
        <v>593</v>
      </c>
      <c r="AQ49" s="4">
        <v>10</v>
      </c>
    </row>
    <row r="50" spans="1:43" s="4" customFormat="1" ht="12.75" customHeight="1">
      <c r="A50" s="26"/>
      <c r="B50" s="1664"/>
      <c r="C50" s="1664"/>
      <c r="D50" s="1664"/>
      <c r="E50" s="1664"/>
      <c r="F50" s="1664"/>
      <c r="G50" s="1664"/>
      <c r="H50" s="1664"/>
      <c r="I50" s="1664"/>
      <c r="J50" s="1664"/>
      <c r="K50" s="1664"/>
      <c r="L50" s="1664"/>
      <c r="M50" s="1664"/>
      <c r="N50" s="1664"/>
      <c r="O50" s="1664"/>
      <c r="P50" s="1664"/>
      <c r="Q50" s="1664"/>
      <c r="R50" s="1664"/>
      <c r="S50" s="1664"/>
      <c r="T50" s="1664"/>
      <c r="U50" s="1664"/>
      <c r="V50" s="1664"/>
      <c r="W50" s="1664"/>
      <c r="X50" s="1664"/>
      <c r="Y50" s="1664"/>
      <c r="Z50" s="1664"/>
      <c r="AA50" s="1664"/>
      <c r="AB50" s="1664"/>
      <c r="AC50" s="1664"/>
      <c r="AD50" s="1664"/>
      <c r="AE50" s="1664"/>
      <c r="AF50" s="1664"/>
      <c r="AG50" s="1664"/>
      <c r="AH50" s="1664"/>
      <c r="AI50" s="1664"/>
      <c r="AJ50" s="1664"/>
      <c r="AK50" s="1664"/>
      <c r="AL50" s="103"/>
      <c r="AM50" s="27"/>
      <c r="AN50" s="281"/>
      <c r="AP50" s="4" t="s">
        <v>649</v>
      </c>
      <c r="AQ50" s="4">
        <v>10</v>
      </c>
    </row>
    <row r="51" spans="1:43" s="4" customFormat="1" ht="12.75" customHeight="1">
      <c r="A51" s="26"/>
      <c r="B51" s="1664"/>
      <c r="C51" s="1664"/>
      <c r="D51" s="1664"/>
      <c r="E51" s="1664"/>
      <c r="F51" s="1664"/>
      <c r="G51" s="1664"/>
      <c r="H51" s="1664"/>
      <c r="I51" s="1664"/>
      <c r="J51" s="1664"/>
      <c r="K51" s="1664"/>
      <c r="L51" s="1664"/>
      <c r="M51" s="1664"/>
      <c r="N51" s="1664"/>
      <c r="O51" s="1664"/>
      <c r="P51" s="1664"/>
      <c r="Q51" s="1664"/>
      <c r="R51" s="1664"/>
      <c r="S51" s="1664"/>
      <c r="T51" s="1664"/>
      <c r="U51" s="1664"/>
      <c r="V51" s="1664"/>
      <c r="W51" s="1664"/>
      <c r="X51" s="1664"/>
      <c r="Y51" s="1664"/>
      <c r="Z51" s="1664"/>
      <c r="AA51" s="1664"/>
      <c r="AB51" s="1664"/>
      <c r="AC51" s="1664"/>
      <c r="AD51" s="1664"/>
      <c r="AE51" s="1664"/>
      <c r="AF51" s="1664"/>
      <c r="AG51" s="1664"/>
      <c r="AH51" s="1664"/>
      <c r="AI51" s="1664"/>
      <c r="AJ51" s="1664"/>
      <c r="AK51" s="1664"/>
      <c r="AL51" s="103"/>
      <c r="AM51" s="27"/>
      <c r="AN51" s="281"/>
    </row>
    <row r="52" spans="1:43" s="4" customFormat="1" ht="12.75" customHeight="1">
      <c r="A52" s="26"/>
      <c r="B52" s="1664"/>
      <c r="C52" s="1664"/>
      <c r="D52" s="1664"/>
      <c r="E52" s="1664"/>
      <c r="F52" s="1664"/>
      <c r="G52" s="1664"/>
      <c r="H52" s="1664"/>
      <c r="I52" s="1664"/>
      <c r="J52" s="1664"/>
      <c r="K52" s="1664"/>
      <c r="L52" s="1664"/>
      <c r="M52" s="1664"/>
      <c r="N52" s="1664"/>
      <c r="O52" s="1664"/>
      <c r="P52" s="1664"/>
      <c r="Q52" s="1664"/>
      <c r="R52" s="1664"/>
      <c r="S52" s="1664"/>
      <c r="T52" s="1664"/>
      <c r="U52" s="1664"/>
      <c r="V52" s="1664"/>
      <c r="W52" s="1664"/>
      <c r="X52" s="1664"/>
      <c r="Y52" s="1664"/>
      <c r="Z52" s="1664"/>
      <c r="AA52" s="1664"/>
      <c r="AB52" s="1664"/>
      <c r="AC52" s="1664"/>
      <c r="AD52" s="1664"/>
      <c r="AE52" s="1664"/>
      <c r="AF52" s="1664"/>
      <c r="AG52" s="1664"/>
      <c r="AH52" s="1664"/>
      <c r="AI52" s="1664"/>
      <c r="AJ52" s="1664"/>
      <c r="AK52" s="1664"/>
      <c r="AL52" s="103"/>
      <c r="AM52" s="27"/>
      <c r="AN52" s="281"/>
    </row>
    <row r="53" spans="1:43" s="4" customFormat="1" ht="12.75" customHeight="1">
      <c r="A53" s="26"/>
      <c r="B53" s="1664"/>
      <c r="C53" s="1664"/>
      <c r="D53" s="1664"/>
      <c r="E53" s="1664"/>
      <c r="F53" s="1664"/>
      <c r="G53" s="1664"/>
      <c r="H53" s="1664"/>
      <c r="I53" s="1664"/>
      <c r="J53" s="1664"/>
      <c r="K53" s="1664"/>
      <c r="L53" s="1664"/>
      <c r="M53" s="1664"/>
      <c r="N53" s="1664"/>
      <c r="O53" s="1664"/>
      <c r="P53" s="1664"/>
      <c r="Q53" s="1664"/>
      <c r="R53" s="1664"/>
      <c r="S53" s="1664"/>
      <c r="T53" s="1664"/>
      <c r="U53" s="1664"/>
      <c r="V53" s="1664"/>
      <c r="W53" s="1664"/>
      <c r="X53" s="1664"/>
      <c r="Y53" s="1664"/>
      <c r="Z53" s="1664"/>
      <c r="AA53" s="1664"/>
      <c r="AB53" s="1664"/>
      <c r="AC53" s="1664"/>
      <c r="AD53" s="1664"/>
      <c r="AE53" s="1664"/>
      <c r="AF53" s="1664"/>
      <c r="AG53" s="1664"/>
      <c r="AH53" s="1664"/>
      <c r="AI53" s="1664"/>
      <c r="AJ53" s="1664"/>
      <c r="AK53" s="1664"/>
      <c r="AL53" s="103"/>
      <c r="AM53" s="27"/>
      <c r="AN53" s="281"/>
    </row>
    <row r="54" spans="1:43" s="4" customFormat="1" ht="12.75" customHeight="1">
      <c r="A54" s="26"/>
      <c r="B54" s="1664"/>
      <c r="C54" s="1664"/>
      <c r="D54" s="1664"/>
      <c r="E54" s="1664"/>
      <c r="F54" s="1664"/>
      <c r="G54" s="1664"/>
      <c r="H54" s="1664"/>
      <c r="I54" s="1664"/>
      <c r="J54" s="1664"/>
      <c r="K54" s="1664"/>
      <c r="L54" s="1664"/>
      <c r="M54" s="1664"/>
      <c r="N54" s="1664"/>
      <c r="O54" s="1664"/>
      <c r="P54" s="1664"/>
      <c r="Q54" s="1664"/>
      <c r="R54" s="1664"/>
      <c r="S54" s="1664"/>
      <c r="T54" s="1664"/>
      <c r="U54" s="1664"/>
      <c r="V54" s="1664"/>
      <c r="W54" s="1664"/>
      <c r="X54" s="1664"/>
      <c r="Y54" s="1664"/>
      <c r="Z54" s="1664"/>
      <c r="AA54" s="1664"/>
      <c r="AB54" s="1664"/>
      <c r="AC54" s="1664"/>
      <c r="AD54" s="1664"/>
      <c r="AE54" s="1664"/>
      <c r="AF54" s="1664"/>
      <c r="AG54" s="1664"/>
      <c r="AH54" s="1664"/>
      <c r="AI54" s="1664"/>
      <c r="AJ54" s="1664"/>
      <c r="AK54" s="1664"/>
      <c r="AL54" s="103"/>
      <c r="AM54" s="27"/>
      <c r="AN54" s="281"/>
    </row>
    <row r="55" spans="1:43" s="4" customFormat="1" ht="33.450000000000003" customHeight="1">
      <c r="A55" s="26"/>
      <c r="B55" s="1664"/>
      <c r="C55" s="1664"/>
      <c r="D55" s="1664"/>
      <c r="E55" s="1664"/>
      <c r="F55" s="1664"/>
      <c r="G55" s="1664"/>
      <c r="H55" s="1664"/>
      <c r="I55" s="1664"/>
      <c r="J55" s="1664"/>
      <c r="K55" s="1664"/>
      <c r="L55" s="1664"/>
      <c r="M55" s="1664"/>
      <c r="N55" s="1664"/>
      <c r="O55" s="1664"/>
      <c r="P55" s="1664"/>
      <c r="Q55" s="1664"/>
      <c r="R55" s="1664"/>
      <c r="S55" s="1664"/>
      <c r="T55" s="1664"/>
      <c r="U55" s="1664"/>
      <c r="V55" s="1664"/>
      <c r="W55" s="1664"/>
      <c r="X55" s="1664"/>
      <c r="Y55" s="1664"/>
      <c r="Z55" s="1664"/>
      <c r="AA55" s="1664"/>
      <c r="AB55" s="1664"/>
      <c r="AC55" s="1664"/>
      <c r="AD55" s="1664"/>
      <c r="AE55" s="1664"/>
      <c r="AF55" s="1664"/>
      <c r="AG55" s="1664"/>
      <c r="AH55" s="1664"/>
      <c r="AI55" s="1664"/>
      <c r="AJ55" s="1664"/>
      <c r="AK55" s="1664"/>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4" t="s">
        <v>2319</v>
      </c>
      <c r="C57" s="1664"/>
      <c r="D57" s="1664"/>
      <c r="E57" s="1664"/>
      <c r="F57" s="1664"/>
      <c r="G57" s="1664"/>
      <c r="H57" s="1664"/>
      <c r="I57" s="1664"/>
      <c r="J57" s="1664"/>
      <c r="K57" s="1664"/>
      <c r="L57" s="1664"/>
      <c r="M57" s="1664"/>
      <c r="N57" s="1664"/>
      <c r="O57" s="1664"/>
      <c r="P57" s="1664"/>
      <c r="Q57" s="1664"/>
      <c r="R57" s="1664"/>
      <c r="S57" s="1664"/>
      <c r="T57" s="1664"/>
      <c r="U57" s="1664"/>
      <c r="V57" s="1664"/>
      <c r="W57" s="1664"/>
      <c r="X57" s="1664"/>
      <c r="Y57" s="1664"/>
      <c r="Z57" s="1664"/>
      <c r="AA57" s="1664"/>
      <c r="AB57" s="1664"/>
      <c r="AC57" s="1664"/>
      <c r="AD57" s="1664"/>
      <c r="AE57" s="1664"/>
      <c r="AF57" s="1664"/>
      <c r="AG57" s="1664"/>
      <c r="AH57" s="1664"/>
      <c r="AI57" s="1664"/>
      <c r="AJ57" s="1664"/>
      <c r="AK57" s="1664"/>
      <c r="AL57" s="103"/>
      <c r="AM57" s="27"/>
      <c r="AN57" s="281"/>
    </row>
    <row r="58" spans="1:43" s="4" customFormat="1" ht="12.75" customHeight="1">
      <c r="B58" s="1664"/>
      <c r="C58" s="1664"/>
      <c r="D58" s="1664"/>
      <c r="E58" s="1664"/>
      <c r="F58" s="1664"/>
      <c r="G58" s="1664"/>
      <c r="H58" s="1664"/>
      <c r="I58" s="1664"/>
      <c r="J58" s="1664"/>
      <c r="K58" s="1664"/>
      <c r="L58" s="1664"/>
      <c r="M58" s="1664"/>
      <c r="N58" s="1664"/>
      <c r="O58" s="1664"/>
      <c r="P58" s="1664"/>
      <c r="Q58" s="1664"/>
      <c r="R58" s="1664"/>
      <c r="S58" s="1664"/>
      <c r="T58" s="1664"/>
      <c r="U58" s="1664"/>
      <c r="V58" s="1664"/>
      <c r="W58" s="1664"/>
      <c r="X58" s="1664"/>
      <c r="Y58" s="1664"/>
      <c r="Z58" s="1664"/>
      <c r="AA58" s="1664"/>
      <c r="AB58" s="1664"/>
      <c r="AC58" s="1664"/>
      <c r="AD58" s="1664"/>
      <c r="AE58" s="1664"/>
      <c r="AF58" s="1664"/>
      <c r="AG58" s="1664"/>
      <c r="AH58" s="1664"/>
      <c r="AI58" s="1664"/>
      <c r="AJ58" s="1664"/>
      <c r="AK58" s="1664"/>
      <c r="AL58" s="103"/>
      <c r="AM58" s="27"/>
      <c r="AN58" s="281"/>
    </row>
    <row r="59" spans="1:43" s="4" customFormat="1" ht="22.95" customHeight="1">
      <c r="A59" s="430"/>
      <c r="B59" s="1664"/>
      <c r="C59" s="1664"/>
      <c r="D59" s="1664"/>
      <c r="E59" s="1664"/>
      <c r="F59" s="1664"/>
      <c r="G59" s="1664"/>
      <c r="H59" s="1664"/>
      <c r="I59" s="1664"/>
      <c r="J59" s="1664"/>
      <c r="K59" s="1664"/>
      <c r="L59" s="1664"/>
      <c r="M59" s="1664"/>
      <c r="N59" s="1664"/>
      <c r="O59" s="1664"/>
      <c r="P59" s="1664"/>
      <c r="Q59" s="1664"/>
      <c r="R59" s="1664"/>
      <c r="S59" s="1664"/>
      <c r="T59" s="1664"/>
      <c r="U59" s="1664"/>
      <c r="V59" s="1664"/>
      <c r="W59" s="1664"/>
      <c r="X59" s="1664"/>
      <c r="Y59" s="1664"/>
      <c r="Z59" s="1664"/>
      <c r="AA59" s="1664"/>
      <c r="AB59" s="1664"/>
      <c r="AC59" s="1664"/>
      <c r="AD59" s="1664"/>
      <c r="AE59" s="1664"/>
      <c r="AF59" s="1664"/>
      <c r="AG59" s="1664"/>
      <c r="AH59" s="1664"/>
      <c r="AI59" s="1664"/>
      <c r="AJ59" s="1664"/>
      <c r="AK59" s="1664"/>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02">
        <f>$AJ$31+$AJ$47</f>
        <v>10</v>
      </c>
      <c r="AL61" s="1703"/>
      <c r="AM61" s="1704"/>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673" t="s">
        <v>387</v>
      </c>
      <c r="AF64" s="1673"/>
      <c r="AG64" s="1673"/>
      <c r="AH64" s="1673"/>
      <c r="AI64" s="1673"/>
      <c r="AJ64" s="1673"/>
      <c r="AK64" s="1673"/>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699" t="s">
        <v>697</v>
      </c>
      <c r="C66" s="1699"/>
      <c r="D66" s="1699"/>
      <c r="E66" s="1699"/>
      <c r="F66" s="1699"/>
      <c r="G66" s="1699"/>
      <c r="H66" s="1699"/>
      <c r="I66" s="1699"/>
      <c r="J66" s="1699"/>
      <c r="K66" s="1699"/>
      <c r="AF66" s="1675" t="s">
        <v>980</v>
      </c>
      <c r="AG66" s="1675"/>
      <c r="AH66" s="1675"/>
      <c r="AI66" s="1675"/>
      <c r="AJ66" s="1675"/>
      <c r="AK66" s="1675"/>
      <c r="AL66" s="1675"/>
      <c r="AN66" s="281"/>
      <c r="AP66" s="4" t="s">
        <v>131</v>
      </c>
    </row>
    <row r="67" spans="1:42" s="4" customFormat="1" ht="12.75" customHeight="1">
      <c r="B67" s="1783" t="s">
        <v>1370</v>
      </c>
      <c r="C67" s="1783"/>
      <c r="D67" s="1783"/>
      <c r="E67" s="1783"/>
      <c r="F67" s="1783"/>
      <c r="G67" s="1783"/>
      <c r="H67" s="1783"/>
      <c r="I67" s="1783"/>
      <c r="J67" s="1783"/>
      <c r="K67" s="1783"/>
      <c r="L67" s="1783"/>
      <c r="M67" s="1783"/>
      <c r="N67" s="1783"/>
      <c r="O67" s="1783"/>
      <c r="P67" s="1783"/>
      <c r="Q67" s="1783"/>
      <c r="R67" s="1783"/>
      <c r="S67" s="1783"/>
      <c r="T67" s="1699" t="s">
        <v>131</v>
      </c>
      <c r="U67" s="1699"/>
      <c r="V67" s="1699"/>
      <c r="W67" s="1699"/>
      <c r="X67" s="1699"/>
      <c r="Y67" s="1699"/>
      <c r="Z67" s="1699"/>
      <c r="AA67" s="1699"/>
      <c r="AB67" s="1699"/>
      <c r="AC67" s="1699"/>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37">
        <f>VLOOKUP($B$66,$AP$45:$AR$50,2,FALSE)</f>
        <v>10</v>
      </c>
      <c r="AL68" s="1238"/>
      <c r="AM68" s="1238"/>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3" t="s">
        <v>1019</v>
      </c>
      <c r="AF73" s="1673"/>
      <c r="AG73" s="1673"/>
      <c r="AH73" s="1673"/>
      <c r="AI73" s="1673"/>
      <c r="AJ73" s="1673"/>
      <c r="AK73" s="1673"/>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4" t="s">
        <v>2232</v>
      </c>
      <c r="C75" s="1664"/>
      <c r="D75" s="1664"/>
      <c r="E75" s="1664"/>
      <c r="F75" s="1664"/>
      <c r="G75" s="1664"/>
      <c r="H75" s="1664"/>
      <c r="I75" s="1664"/>
      <c r="J75" s="1664"/>
      <c r="K75" s="1664"/>
      <c r="L75" s="1664"/>
      <c r="M75" s="1664"/>
      <c r="N75" s="1664"/>
      <c r="O75" s="1664"/>
      <c r="P75" s="1664"/>
      <c r="Q75" s="1664"/>
      <c r="R75" s="1664"/>
      <c r="S75" s="1664"/>
      <c r="T75" s="1664"/>
      <c r="U75" s="1664"/>
      <c r="V75" s="1664"/>
      <c r="W75" s="1664"/>
      <c r="X75" s="1664"/>
      <c r="Y75" s="1664"/>
      <c r="Z75" s="1664"/>
      <c r="AA75" s="1664"/>
      <c r="AB75" s="1664"/>
      <c r="AC75" s="1664"/>
      <c r="AD75" s="1664"/>
      <c r="AE75" s="1664"/>
      <c r="AF75" s="1664"/>
      <c r="AG75" s="1664"/>
      <c r="AH75" s="1664"/>
      <c r="AI75" s="1664"/>
      <c r="AJ75" s="1664"/>
      <c r="AK75" s="1664"/>
      <c r="AL75" s="103"/>
      <c r="AM75" s="27"/>
      <c r="AN75" s="281"/>
    </row>
    <row r="76" spans="1:42" s="4" customFormat="1" ht="12.75" customHeight="1">
      <c r="A76" s="27"/>
      <c r="B76" s="1664"/>
      <c r="C76" s="1664"/>
      <c r="D76" s="1664"/>
      <c r="E76" s="1664"/>
      <c r="F76" s="1664"/>
      <c r="G76" s="1664"/>
      <c r="H76" s="1664"/>
      <c r="I76" s="1664"/>
      <c r="J76" s="1664"/>
      <c r="K76" s="1664"/>
      <c r="L76" s="1664"/>
      <c r="M76" s="1664"/>
      <c r="N76" s="1664"/>
      <c r="O76" s="1664"/>
      <c r="P76" s="1664"/>
      <c r="Q76" s="1664"/>
      <c r="R76" s="1664"/>
      <c r="S76" s="1664"/>
      <c r="T76" s="1664"/>
      <c r="U76" s="1664"/>
      <c r="V76" s="1664"/>
      <c r="W76" s="1664"/>
      <c r="X76" s="1664"/>
      <c r="Y76" s="1664"/>
      <c r="Z76" s="1664"/>
      <c r="AA76" s="1664"/>
      <c r="AB76" s="1664"/>
      <c r="AC76" s="1664"/>
      <c r="AD76" s="1664"/>
      <c r="AE76" s="1664"/>
      <c r="AF76" s="1664"/>
      <c r="AG76" s="1664"/>
      <c r="AH76" s="1664"/>
      <c r="AI76" s="1664"/>
      <c r="AJ76" s="1664"/>
      <c r="AK76" s="1664"/>
      <c r="AL76" s="103"/>
      <c r="AM76" s="27"/>
      <c r="AN76" s="281"/>
    </row>
    <row r="77" spans="1:42" s="4" customFormat="1" ht="12.75" customHeight="1">
      <c r="A77" s="27"/>
      <c r="B77" s="1664"/>
      <c r="C77" s="1664"/>
      <c r="D77" s="1664"/>
      <c r="E77" s="1664"/>
      <c r="F77" s="1664"/>
      <c r="G77" s="1664"/>
      <c r="H77" s="1664"/>
      <c r="I77" s="1664"/>
      <c r="J77" s="1664"/>
      <c r="K77" s="1664"/>
      <c r="L77" s="1664"/>
      <c r="M77" s="1664"/>
      <c r="N77" s="1664"/>
      <c r="O77" s="1664"/>
      <c r="P77" s="1664"/>
      <c r="Q77" s="1664"/>
      <c r="R77" s="1664"/>
      <c r="S77" s="1664"/>
      <c r="T77" s="1664"/>
      <c r="U77" s="1664"/>
      <c r="V77" s="1664"/>
      <c r="W77" s="1664"/>
      <c r="X77" s="1664"/>
      <c r="Y77" s="1664"/>
      <c r="Z77" s="1664"/>
      <c r="AA77" s="1664"/>
      <c r="AB77" s="1664"/>
      <c r="AC77" s="1664"/>
      <c r="AD77" s="1664"/>
      <c r="AE77" s="1664"/>
      <c r="AF77" s="1664"/>
      <c r="AG77" s="1664"/>
      <c r="AH77" s="1664"/>
      <c r="AI77" s="1664"/>
      <c r="AJ77" s="1664"/>
      <c r="AK77" s="1664"/>
      <c r="AL77" s="103"/>
      <c r="AM77" s="27"/>
      <c r="AN77" s="281"/>
    </row>
    <row r="78" spans="1:42" s="4" customFormat="1" ht="12.75" customHeight="1">
      <c r="A78" s="27"/>
      <c r="B78" s="1664"/>
      <c r="C78" s="1664"/>
      <c r="D78" s="1664"/>
      <c r="E78" s="1664"/>
      <c r="F78" s="1664"/>
      <c r="G78" s="1664"/>
      <c r="H78" s="1664"/>
      <c r="I78" s="1664"/>
      <c r="J78" s="1664"/>
      <c r="K78" s="1664"/>
      <c r="L78" s="1664"/>
      <c r="M78" s="1664"/>
      <c r="N78" s="1664"/>
      <c r="O78" s="1664"/>
      <c r="P78" s="1664"/>
      <c r="Q78" s="1664"/>
      <c r="R78" s="1664"/>
      <c r="S78" s="1664"/>
      <c r="T78" s="1664"/>
      <c r="U78" s="1664"/>
      <c r="V78" s="1664"/>
      <c r="W78" s="1664"/>
      <c r="X78" s="1664"/>
      <c r="Y78" s="1664"/>
      <c r="Z78" s="1664"/>
      <c r="AA78" s="1664"/>
      <c r="AB78" s="1664"/>
      <c r="AC78" s="1664"/>
      <c r="AD78" s="1664"/>
      <c r="AE78" s="1664"/>
      <c r="AF78" s="1664"/>
      <c r="AG78" s="1664"/>
      <c r="AH78" s="1664"/>
      <c r="AI78" s="1664"/>
      <c r="AJ78" s="1664"/>
      <c r="AK78" s="1664"/>
      <c r="AL78" s="103"/>
      <c r="AM78" s="27"/>
      <c r="AN78" s="281"/>
    </row>
    <row r="79" spans="1:42" s="4" customFormat="1" ht="12.75" customHeight="1">
      <c r="A79" s="27"/>
      <c r="B79" s="1664"/>
      <c r="C79" s="1664"/>
      <c r="D79" s="1664"/>
      <c r="E79" s="1664"/>
      <c r="F79" s="1664"/>
      <c r="G79" s="1664"/>
      <c r="H79" s="1664"/>
      <c r="I79" s="1664"/>
      <c r="J79" s="1664"/>
      <c r="K79" s="1664"/>
      <c r="L79" s="1664"/>
      <c r="M79" s="1664"/>
      <c r="N79" s="1664"/>
      <c r="O79" s="1664"/>
      <c r="P79" s="1664"/>
      <c r="Q79" s="1664"/>
      <c r="R79" s="1664"/>
      <c r="S79" s="1664"/>
      <c r="T79" s="1664"/>
      <c r="U79" s="1664"/>
      <c r="V79" s="1664"/>
      <c r="W79" s="1664"/>
      <c r="X79" s="1664"/>
      <c r="Y79" s="1664"/>
      <c r="Z79" s="1664"/>
      <c r="AA79" s="1664"/>
      <c r="AB79" s="1664"/>
      <c r="AC79" s="1664"/>
      <c r="AD79" s="1664"/>
      <c r="AE79" s="1664"/>
      <c r="AF79" s="1664"/>
      <c r="AG79" s="1664"/>
      <c r="AH79" s="1664"/>
      <c r="AI79" s="1664"/>
      <c r="AJ79" s="1664"/>
      <c r="AK79" s="1664"/>
      <c r="AL79" s="103"/>
      <c r="AM79" s="27"/>
      <c r="AN79" s="281"/>
    </row>
    <row r="80" spans="1:42" s="4" customFormat="1" ht="12.75" customHeight="1">
      <c r="A80" s="27"/>
      <c r="B80" s="1664"/>
      <c r="C80" s="1664"/>
      <c r="D80" s="1664"/>
      <c r="E80" s="1664"/>
      <c r="F80" s="1664"/>
      <c r="G80" s="1664"/>
      <c r="H80" s="1664"/>
      <c r="I80" s="1664"/>
      <c r="J80" s="1664"/>
      <c r="K80" s="1664"/>
      <c r="L80" s="1664"/>
      <c r="M80" s="1664"/>
      <c r="N80" s="1664"/>
      <c r="O80" s="1664"/>
      <c r="P80" s="1664"/>
      <c r="Q80" s="1664"/>
      <c r="R80" s="1664"/>
      <c r="S80" s="1664"/>
      <c r="T80" s="1664"/>
      <c r="U80" s="1664"/>
      <c r="V80" s="1664"/>
      <c r="W80" s="1664"/>
      <c r="X80" s="1664"/>
      <c r="Y80" s="1664"/>
      <c r="Z80" s="1664"/>
      <c r="AA80" s="1664"/>
      <c r="AB80" s="1664"/>
      <c r="AC80" s="1664"/>
      <c r="AD80" s="1664"/>
      <c r="AE80" s="1664"/>
      <c r="AF80" s="1664"/>
      <c r="AG80" s="1664"/>
      <c r="AH80" s="1664"/>
      <c r="AI80" s="1664"/>
      <c r="AJ80" s="1664"/>
      <c r="AK80" s="1664"/>
      <c r="AL80" s="103"/>
      <c r="AM80" s="27"/>
      <c r="AN80" s="281"/>
    </row>
    <row r="81" spans="1:42" ht="12.75" customHeight="1">
      <c r="A81" s="27"/>
      <c r="B81" s="1664"/>
      <c r="C81" s="1664"/>
      <c r="D81" s="1664"/>
      <c r="E81" s="1664"/>
      <c r="F81" s="1664"/>
      <c r="G81" s="1664"/>
      <c r="H81" s="1664"/>
      <c r="I81" s="1664"/>
      <c r="J81" s="1664"/>
      <c r="K81" s="1664"/>
      <c r="L81" s="1664"/>
      <c r="M81" s="1664"/>
      <c r="N81" s="1664"/>
      <c r="O81" s="1664"/>
      <c r="P81" s="1664"/>
      <c r="Q81" s="1664"/>
      <c r="R81" s="1664"/>
      <c r="S81" s="1664"/>
      <c r="T81" s="1664"/>
      <c r="U81" s="1664"/>
      <c r="V81" s="1664"/>
      <c r="W81" s="1664"/>
      <c r="X81" s="1664"/>
      <c r="Y81" s="1664"/>
      <c r="Z81" s="1664"/>
      <c r="AA81" s="1664"/>
      <c r="AB81" s="1664"/>
      <c r="AC81" s="1664"/>
      <c r="AD81" s="1664"/>
      <c r="AE81" s="1664"/>
      <c r="AF81" s="1664"/>
      <c r="AG81" s="1664"/>
      <c r="AH81" s="1664"/>
      <c r="AI81" s="1664"/>
      <c r="AJ81" s="1664"/>
      <c r="AK81" s="1664"/>
      <c r="AL81" s="103"/>
      <c r="AM81" s="27"/>
    </row>
    <row r="82" spans="1:42" s="4" customFormat="1" ht="12.75" customHeight="1">
      <c r="B82" s="1664"/>
      <c r="C82" s="1664"/>
      <c r="D82" s="1664"/>
      <c r="E82" s="1664"/>
      <c r="F82" s="1664"/>
      <c r="G82" s="1664"/>
      <c r="H82" s="1664"/>
      <c r="I82" s="1664"/>
      <c r="J82" s="1664"/>
      <c r="K82" s="1664"/>
      <c r="L82" s="1664"/>
      <c r="M82" s="1664"/>
      <c r="N82" s="1664"/>
      <c r="O82" s="1664"/>
      <c r="P82" s="1664"/>
      <c r="Q82" s="1664"/>
      <c r="R82" s="1664"/>
      <c r="S82" s="1664"/>
      <c r="T82" s="1664"/>
      <c r="U82" s="1664"/>
      <c r="V82" s="1664"/>
      <c r="W82" s="1664"/>
      <c r="X82" s="1664"/>
      <c r="Y82" s="1664"/>
      <c r="Z82" s="1664"/>
      <c r="AA82" s="1664"/>
      <c r="AB82" s="1664"/>
      <c r="AC82" s="1664"/>
      <c r="AD82" s="1664"/>
      <c r="AE82" s="1664"/>
      <c r="AF82" s="1664"/>
      <c r="AG82" s="1664"/>
      <c r="AH82" s="1664"/>
      <c r="AI82" s="1664"/>
      <c r="AJ82" s="1664"/>
      <c r="AK82" s="1664"/>
      <c r="AL82" s="103"/>
      <c r="AN82" s="281"/>
    </row>
    <row r="83" spans="1:42" s="4" customFormat="1" ht="12.75" customHeight="1">
      <c r="B83" s="1664"/>
      <c r="C83" s="1664"/>
      <c r="D83" s="1664"/>
      <c r="E83" s="1664"/>
      <c r="F83" s="1664"/>
      <c r="G83" s="1664"/>
      <c r="H83" s="1664"/>
      <c r="I83" s="1664"/>
      <c r="J83" s="1664"/>
      <c r="K83" s="1664"/>
      <c r="L83" s="1664"/>
      <c r="M83" s="1664"/>
      <c r="N83" s="1664"/>
      <c r="O83" s="1664"/>
      <c r="P83" s="1664"/>
      <c r="Q83" s="1664"/>
      <c r="R83" s="1664"/>
      <c r="S83" s="1664"/>
      <c r="T83" s="1664"/>
      <c r="U83" s="1664"/>
      <c r="V83" s="1664"/>
      <c r="W83" s="1664"/>
      <c r="X83" s="1664"/>
      <c r="Y83" s="1664"/>
      <c r="Z83" s="1664"/>
      <c r="AA83" s="1664"/>
      <c r="AB83" s="1664"/>
      <c r="AC83" s="1664"/>
      <c r="AD83" s="1664"/>
      <c r="AE83" s="1664"/>
      <c r="AF83" s="1664"/>
      <c r="AG83" s="1664"/>
      <c r="AH83" s="1664"/>
      <c r="AI83" s="1664"/>
      <c r="AJ83" s="1664"/>
      <c r="AK83" s="1664"/>
      <c r="AL83" s="103"/>
      <c r="AN83" s="281"/>
    </row>
    <row r="84" spans="1:42" s="4" customFormat="1" ht="14.4" customHeight="1">
      <c r="B84" s="1664"/>
      <c r="C84" s="1664"/>
      <c r="D84" s="1664"/>
      <c r="E84" s="1664"/>
      <c r="F84" s="1664"/>
      <c r="G84" s="1664"/>
      <c r="H84" s="1664"/>
      <c r="I84" s="1664"/>
      <c r="J84" s="1664"/>
      <c r="K84" s="1664"/>
      <c r="L84" s="1664"/>
      <c r="M84" s="1664"/>
      <c r="N84" s="1664"/>
      <c r="O84" s="1664"/>
      <c r="P84" s="1664"/>
      <c r="Q84" s="1664"/>
      <c r="R84" s="1664"/>
      <c r="S84" s="1664"/>
      <c r="T84" s="1664"/>
      <c r="U84" s="1664"/>
      <c r="V84" s="1664"/>
      <c r="W84" s="1664"/>
      <c r="X84" s="1664"/>
      <c r="Y84" s="1664"/>
      <c r="Z84" s="1664"/>
      <c r="AA84" s="1664"/>
      <c r="AB84" s="1664"/>
      <c r="AC84" s="1664"/>
      <c r="AD84" s="1664"/>
      <c r="AE84" s="1664"/>
      <c r="AF84" s="1664"/>
      <c r="AG84" s="1664"/>
      <c r="AH84" s="1664"/>
      <c r="AI84" s="1664"/>
      <c r="AJ84" s="1664"/>
      <c r="AK84" s="1664"/>
      <c r="AL84" s="103"/>
      <c r="AN84" s="281"/>
    </row>
    <row r="85" spans="1:42" s="4" customFormat="1" ht="12.75" customHeight="1">
      <c r="B85" s="1664"/>
      <c r="C85" s="1664"/>
      <c r="D85" s="1664"/>
      <c r="E85" s="1664"/>
      <c r="F85" s="1664"/>
      <c r="G85" s="1664"/>
      <c r="H85" s="1664"/>
      <c r="I85" s="1664"/>
      <c r="J85" s="1664"/>
      <c r="K85" s="1664"/>
      <c r="L85" s="1664"/>
      <c r="M85" s="1664"/>
      <c r="N85" s="1664"/>
      <c r="O85" s="1664"/>
      <c r="P85" s="1664"/>
      <c r="Q85" s="1664"/>
      <c r="R85" s="1664"/>
      <c r="S85" s="1664"/>
      <c r="T85" s="1664"/>
      <c r="U85" s="1664"/>
      <c r="V85" s="1664"/>
      <c r="W85" s="1664"/>
      <c r="X85" s="1664"/>
      <c r="Y85" s="1664"/>
      <c r="Z85" s="1664"/>
      <c r="AA85" s="1664"/>
      <c r="AB85" s="1664"/>
      <c r="AC85" s="1664"/>
      <c r="AD85" s="1664"/>
      <c r="AE85" s="1664"/>
      <c r="AF85" s="1664"/>
      <c r="AG85" s="1664"/>
      <c r="AH85" s="1664"/>
      <c r="AI85" s="1664"/>
      <c r="AJ85" s="1664"/>
      <c r="AK85" s="1664"/>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75" t="s">
        <v>893</v>
      </c>
      <c r="AG90" s="1675"/>
      <c r="AH90" s="1675"/>
      <c r="AI90" s="1675"/>
      <c r="AJ90" s="1675"/>
      <c r="AK90" s="1675"/>
      <c r="AL90" s="1675"/>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5" t="s">
        <v>61</v>
      </c>
      <c r="AG95" s="1675"/>
      <c r="AH95" s="1675"/>
      <c r="AI95" s="1675"/>
      <c r="AJ95" s="1675"/>
      <c r="AK95" s="1675"/>
      <c r="AL95" s="1675"/>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5" t="s">
        <v>62</v>
      </c>
      <c r="AG100" s="1675"/>
      <c r="AH100" s="1675"/>
      <c r="AI100" s="1675"/>
      <c r="AJ100" s="1675"/>
      <c r="AK100" s="1675"/>
      <c r="AL100" s="1675"/>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5" t="s">
        <v>63</v>
      </c>
      <c r="AG105" s="1675"/>
      <c r="AH105" s="1675"/>
      <c r="AI105" s="1675"/>
      <c r="AJ105" s="1675"/>
      <c r="AK105" s="1675"/>
      <c r="AL105" s="1675"/>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5" t="s">
        <v>64</v>
      </c>
      <c r="AG109" s="1675"/>
      <c r="AH109" s="1675"/>
      <c r="AI109" s="1675"/>
      <c r="AJ109" s="1675"/>
      <c r="AK109" s="1675"/>
      <c r="AL109" s="1675"/>
      <c r="AN109" s="281"/>
      <c r="AO109" s="4" t="s">
        <v>2199</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663" t="s">
        <v>207</v>
      </c>
      <c r="I112" s="1663"/>
      <c r="J112" s="116"/>
      <c r="K112" s="116"/>
      <c r="L112" s="116"/>
      <c r="M112" s="116"/>
      <c r="O112" s="944" t="s">
        <v>2197</v>
      </c>
      <c r="T112" s="1787"/>
      <c r="U112" s="1787"/>
      <c r="V112" s="1787"/>
      <c r="W112" s="1787"/>
      <c r="X112" s="1787"/>
      <c r="Y112" s="1787"/>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156</v>
      </c>
      <c r="F118" s="116"/>
      <c r="G118" s="116"/>
      <c r="H118" s="1786" t="s">
        <v>131</v>
      </c>
      <c r="I118" s="1786"/>
      <c r="J118" s="1786"/>
      <c r="K118" s="1786"/>
      <c r="L118" s="1786"/>
      <c r="M118" s="1786"/>
      <c r="N118" s="1786"/>
      <c r="O118" s="1786"/>
      <c r="P118" s="1786"/>
      <c r="Q118" s="1786"/>
      <c r="R118" s="1786"/>
      <c r="S118" s="1786"/>
      <c r="T118" s="1786"/>
      <c r="U118" s="1786"/>
      <c r="V118" s="1786"/>
      <c r="W118" s="1786"/>
      <c r="X118" s="1786"/>
      <c r="Y118" s="1786"/>
      <c r="Z118" s="1786"/>
      <c r="AA118" s="1786"/>
      <c r="AB118" s="1786"/>
      <c r="AC118" s="1786"/>
      <c r="AD118" s="1786"/>
      <c r="AE118" s="1786"/>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1" t="s">
        <v>131</v>
      </c>
      <c r="C120" s="1111"/>
      <c r="D120" s="49"/>
      <c r="E120" s="1664" t="s">
        <v>1842</v>
      </c>
      <c r="F120" s="1664"/>
      <c r="G120" s="1664"/>
      <c r="H120" s="1664"/>
      <c r="I120" s="1664"/>
      <c r="J120" s="1664"/>
      <c r="K120" s="1664"/>
      <c r="L120" s="1664"/>
      <c r="M120" s="1664"/>
      <c r="N120" s="1664"/>
      <c r="O120" s="1664"/>
      <c r="P120" s="1664"/>
      <c r="Q120" s="1664"/>
      <c r="R120" s="1664"/>
      <c r="S120" s="1664"/>
      <c r="T120" s="1664"/>
      <c r="U120" s="1664"/>
      <c r="V120" s="1664"/>
      <c r="W120" s="1664"/>
      <c r="X120" s="1664"/>
      <c r="Y120" s="1664"/>
      <c r="Z120" s="1664"/>
      <c r="AA120" s="1664"/>
      <c r="AB120" s="1664"/>
      <c r="AC120" s="1664"/>
      <c r="AD120" s="1664"/>
      <c r="AE120" s="1664"/>
      <c r="AF120" s="1664"/>
      <c r="AG120" s="1664"/>
      <c r="AH120" s="49"/>
      <c r="AI120" s="49"/>
      <c r="AJ120" s="49"/>
      <c r="AK120" s="49"/>
      <c r="AL120" s="49"/>
      <c r="AN120" s="281"/>
    </row>
    <row r="121" spans="1:47" s="4" customFormat="1" ht="12.75" customHeight="1">
      <c r="B121" s="5"/>
      <c r="C121" s="115"/>
      <c r="D121" s="49"/>
      <c r="E121" s="1664"/>
      <c r="F121" s="1664"/>
      <c r="G121" s="1664"/>
      <c r="H121" s="1664"/>
      <c r="I121" s="1664"/>
      <c r="J121" s="1664"/>
      <c r="K121" s="1664"/>
      <c r="L121" s="1664"/>
      <c r="M121" s="1664"/>
      <c r="N121" s="1664"/>
      <c r="O121" s="1664"/>
      <c r="P121" s="1664"/>
      <c r="Q121" s="1664"/>
      <c r="R121" s="1664"/>
      <c r="S121" s="1664"/>
      <c r="T121" s="1664"/>
      <c r="U121" s="1664"/>
      <c r="V121" s="1664"/>
      <c r="W121" s="1664"/>
      <c r="X121" s="1664"/>
      <c r="Y121" s="1664"/>
      <c r="Z121" s="1664"/>
      <c r="AA121" s="1664"/>
      <c r="AB121" s="1664"/>
      <c r="AC121" s="1664"/>
      <c r="AD121" s="1664"/>
      <c r="AE121" s="1664"/>
      <c r="AF121" s="1664"/>
      <c r="AG121" s="1664"/>
      <c r="AH121" s="49"/>
      <c r="AI121" s="49"/>
      <c r="AJ121" s="49"/>
      <c r="AK121" s="49"/>
      <c r="AL121" s="49"/>
      <c r="AN121" s="281"/>
    </row>
    <row r="122" spans="1:47" s="4" customFormat="1" ht="12.75" customHeight="1">
      <c r="B122" s="5"/>
      <c r="C122" s="115"/>
      <c r="D122" s="49"/>
      <c r="E122" s="1664"/>
      <c r="F122" s="1664"/>
      <c r="G122" s="1664"/>
      <c r="H122" s="1664"/>
      <c r="I122" s="1664"/>
      <c r="J122" s="1664"/>
      <c r="K122" s="1664"/>
      <c r="L122" s="1664"/>
      <c r="M122" s="1664"/>
      <c r="N122" s="1664"/>
      <c r="O122" s="1664"/>
      <c r="P122" s="1664"/>
      <c r="Q122" s="1664"/>
      <c r="R122" s="1664"/>
      <c r="S122" s="1664"/>
      <c r="T122" s="1664"/>
      <c r="U122" s="1664"/>
      <c r="V122" s="1664"/>
      <c r="W122" s="1664"/>
      <c r="X122" s="1664"/>
      <c r="Y122" s="1664"/>
      <c r="Z122" s="1664"/>
      <c r="AA122" s="1664"/>
      <c r="AB122" s="1664"/>
      <c r="AC122" s="1664"/>
      <c r="AD122" s="1664"/>
      <c r="AE122" s="1664"/>
      <c r="AF122" s="1664"/>
      <c r="AG122" s="1664"/>
      <c r="AH122" s="49"/>
      <c r="AI122" s="49"/>
      <c r="AJ122" s="49"/>
      <c r="AK122" s="49"/>
      <c r="AL122" s="49"/>
      <c r="AN122" s="281"/>
    </row>
    <row r="123" spans="1:47" s="4" customFormat="1" ht="12.75" customHeight="1">
      <c r="B123" s="5"/>
      <c r="C123" s="115"/>
      <c r="D123" s="299"/>
      <c r="E123" s="1701"/>
      <c r="F123" s="1701"/>
      <c r="G123" s="1701"/>
      <c r="H123" s="1701"/>
      <c r="I123" s="1701"/>
      <c r="J123" s="1701"/>
      <c r="K123" s="1701"/>
      <c r="L123" s="1701"/>
      <c r="M123" s="1701"/>
      <c r="N123" s="1701"/>
      <c r="O123" s="1701"/>
      <c r="P123" s="1701"/>
      <c r="Q123" s="1701"/>
      <c r="R123" s="1701"/>
      <c r="S123" s="1701"/>
      <c r="T123" s="1701"/>
      <c r="U123" s="1701"/>
      <c r="V123" s="1701"/>
      <c r="W123" s="1701"/>
      <c r="X123" s="1701"/>
      <c r="Y123" s="1701"/>
      <c r="Z123" s="1701"/>
      <c r="AA123" s="1701"/>
      <c r="AB123" s="1701"/>
      <c r="AC123" s="1701"/>
      <c r="AD123" s="1701"/>
      <c r="AE123" s="1701"/>
      <c r="AF123" s="1701"/>
      <c r="AG123" s="170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37">
        <f>VLOOKUP($H$112,$AO$96:$AP$101,2,FALSE)+IF(T112=AO108,0,VLOOKUP($H$118,$AO$116:$AP$118,2,FALSE))</f>
        <v>6</v>
      </c>
      <c r="AK124" s="124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85" t="s">
        <v>1915</v>
      </c>
      <c r="F128" s="1785"/>
      <c r="G128" s="1785"/>
      <c r="H128" s="1785"/>
      <c r="I128" s="1785"/>
      <c r="J128" s="1785"/>
      <c r="K128" s="1785"/>
      <c r="L128" s="1785"/>
      <c r="M128" s="1785"/>
      <c r="N128" s="1785"/>
      <c r="O128" s="1785"/>
      <c r="P128" s="1785"/>
      <c r="Q128" s="1785"/>
      <c r="R128" s="1785"/>
      <c r="S128" s="1785"/>
      <c r="T128" s="1785"/>
      <c r="U128" s="1785"/>
      <c r="V128" s="1785"/>
      <c r="W128" s="1785"/>
      <c r="X128" s="1785"/>
      <c r="Y128" s="1785"/>
      <c r="Z128" s="1785"/>
      <c r="AA128" s="1785"/>
      <c r="AB128" s="1785"/>
      <c r="AC128" s="1785"/>
      <c r="AD128" s="1785"/>
      <c r="AF128" s="1675" t="s">
        <v>64</v>
      </c>
      <c r="AG128" s="1675"/>
      <c r="AH128" s="1675"/>
      <c r="AI128" s="1675"/>
      <c r="AJ128" s="1675"/>
      <c r="AK128" s="1675"/>
      <c r="AL128" s="1675"/>
      <c r="AM128" s="4"/>
      <c r="AN128" s="298"/>
    </row>
    <row r="129" spans="1:42" s="4" customFormat="1" ht="12.75" customHeight="1">
      <c r="A129" s="120"/>
      <c r="B129" s="5"/>
      <c r="C129" s="115"/>
      <c r="D129" s="26"/>
      <c r="E129" s="1785"/>
      <c r="F129" s="1785"/>
      <c r="G129" s="1785"/>
      <c r="H129" s="1785"/>
      <c r="I129" s="1785"/>
      <c r="J129" s="1785"/>
      <c r="K129" s="1785"/>
      <c r="L129" s="1785"/>
      <c r="M129" s="1785"/>
      <c r="N129" s="1785"/>
      <c r="O129" s="1785"/>
      <c r="P129" s="1785"/>
      <c r="Q129" s="1785"/>
      <c r="R129" s="1785"/>
      <c r="S129" s="1785"/>
      <c r="T129" s="1785"/>
      <c r="U129" s="1785"/>
      <c r="V129" s="1785"/>
      <c r="W129" s="1785"/>
      <c r="X129" s="1785"/>
      <c r="Y129" s="1785"/>
      <c r="Z129" s="1785"/>
      <c r="AA129" s="1785"/>
      <c r="AB129" s="1785"/>
      <c r="AC129" s="1785"/>
      <c r="AD129" s="1785"/>
      <c r="AF129" s="5"/>
      <c r="AN129" s="281"/>
    </row>
    <row r="130" spans="1:42" s="4" customFormat="1" ht="12.75" customHeight="1">
      <c r="B130" s="5"/>
      <c r="C130" s="45"/>
      <c r="D130" s="26"/>
      <c r="E130" s="1785"/>
      <c r="F130" s="1785"/>
      <c r="G130" s="1785"/>
      <c r="H130" s="1785"/>
      <c r="I130" s="1785"/>
      <c r="J130" s="1785"/>
      <c r="K130" s="1785"/>
      <c r="L130" s="1785"/>
      <c r="M130" s="1785"/>
      <c r="N130" s="1785"/>
      <c r="O130" s="1785"/>
      <c r="P130" s="1785"/>
      <c r="Q130" s="1785"/>
      <c r="R130" s="1785"/>
      <c r="S130" s="1785"/>
      <c r="T130" s="1785"/>
      <c r="U130" s="1785"/>
      <c r="V130" s="1785"/>
      <c r="W130" s="1785"/>
      <c r="X130" s="1785"/>
      <c r="Y130" s="1785"/>
      <c r="Z130" s="1785"/>
      <c r="AA130" s="1785"/>
      <c r="AB130" s="1785"/>
      <c r="AC130" s="1785"/>
      <c r="AD130" s="1785"/>
      <c r="AF130" s="5"/>
      <c r="AN130" s="281"/>
    </row>
    <row r="131" spans="1:42" s="4" customFormat="1" ht="12.75" customHeight="1">
      <c r="A131" s="35"/>
      <c r="B131" s="102"/>
      <c r="C131" s="121"/>
      <c r="D131" s="26"/>
      <c r="E131" s="1785"/>
      <c r="F131" s="1785"/>
      <c r="G131" s="1785"/>
      <c r="H131" s="1785"/>
      <c r="I131" s="1785"/>
      <c r="J131" s="1785"/>
      <c r="K131" s="1785"/>
      <c r="L131" s="1785"/>
      <c r="M131" s="1785"/>
      <c r="N131" s="1785"/>
      <c r="O131" s="1785"/>
      <c r="P131" s="1785"/>
      <c r="Q131" s="1785"/>
      <c r="R131" s="1785"/>
      <c r="S131" s="1785"/>
      <c r="T131" s="1785"/>
      <c r="U131" s="1785"/>
      <c r="V131" s="1785"/>
      <c r="W131" s="1785"/>
      <c r="X131" s="1785"/>
      <c r="Y131" s="1785"/>
      <c r="Z131" s="1785"/>
      <c r="AA131" s="1785"/>
      <c r="AB131" s="1785"/>
      <c r="AC131" s="1785"/>
      <c r="AD131" s="1785"/>
      <c r="AE131" s="19"/>
      <c r="AF131" s="102"/>
      <c r="AG131" s="19"/>
      <c r="AH131" s="19"/>
      <c r="AI131" s="19"/>
      <c r="AJ131" s="19"/>
      <c r="AN131" s="281"/>
    </row>
    <row r="132" spans="1:42" s="4" customFormat="1" ht="22.95" customHeight="1">
      <c r="B132" s="102"/>
      <c r="C132" s="121"/>
      <c r="D132" s="26"/>
      <c r="E132" s="1785"/>
      <c r="F132" s="1785"/>
      <c r="G132" s="1785"/>
      <c r="H132" s="1785"/>
      <c r="I132" s="1785"/>
      <c r="J132" s="1785"/>
      <c r="K132" s="1785"/>
      <c r="L132" s="1785"/>
      <c r="M132" s="1785"/>
      <c r="N132" s="1785"/>
      <c r="O132" s="1785"/>
      <c r="P132" s="1785"/>
      <c r="Q132" s="1785"/>
      <c r="R132" s="1785"/>
      <c r="S132" s="1785"/>
      <c r="T132" s="1785"/>
      <c r="U132" s="1785"/>
      <c r="V132" s="1785"/>
      <c r="W132" s="1785"/>
      <c r="X132" s="1785"/>
      <c r="Y132" s="1785"/>
      <c r="Z132" s="1785"/>
      <c r="AA132" s="1785"/>
      <c r="AB132" s="1785"/>
      <c r="AC132" s="1785"/>
      <c r="AD132" s="1785"/>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88" t="s">
        <v>131</v>
      </c>
      <c r="T133" s="1788"/>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5" t="s">
        <v>110</v>
      </c>
      <c r="AG135" s="1675"/>
      <c r="AH135" s="1675"/>
      <c r="AI135" s="1675"/>
      <c r="AJ135" s="1675"/>
      <c r="AK135" s="1675"/>
      <c r="AL135" s="1675"/>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156</v>
      </c>
      <c r="E137" s="116"/>
      <c r="F137" s="116"/>
      <c r="G137" s="116"/>
      <c r="H137" s="1663" t="s">
        <v>207</v>
      </c>
      <c r="I137" s="1663"/>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37">
        <f>VLOOKUP($H$137,$AO$111:$AP$113,2,FALSE)</f>
        <v>2</v>
      </c>
      <c r="AK139" s="1240"/>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5" t="s">
        <v>64</v>
      </c>
      <c r="AG143" s="1675"/>
      <c r="AH143" s="1675"/>
      <c r="AI143" s="1675"/>
      <c r="AJ143" s="1675"/>
      <c r="AK143" s="1675"/>
      <c r="AL143" s="1675"/>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5" t="s">
        <v>110</v>
      </c>
      <c r="AG146" s="1675"/>
      <c r="AH146" s="1675"/>
      <c r="AI146" s="1675"/>
      <c r="AJ146" s="1675"/>
      <c r="AK146" s="1675"/>
      <c r="AL146" s="1675"/>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663" t="s">
        <v>610</v>
      </c>
      <c r="I149" s="166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37">
        <f>VLOOKUP(H149,AT111:AU113,2,FALSE)</f>
        <v>3</v>
      </c>
      <c r="AK151" s="1240"/>
      <c r="AL151" s="10"/>
      <c r="AN151" s="281"/>
      <c r="AO151" s="4" t="s">
        <v>131</v>
      </c>
      <c r="AP151" s="478">
        <v>0</v>
      </c>
    </row>
    <row r="152" spans="1:42" s="4" customFormat="1" ht="12.75" customHeight="1">
      <c r="B152" s="5"/>
      <c r="C152" s="45"/>
      <c r="AN152" s="281"/>
      <c r="AO152" s="26" t="s">
        <v>610</v>
      </c>
      <c r="AP152" s="4">
        <v>3</v>
      </c>
    </row>
    <row r="153" spans="1:42" s="4" customFormat="1" ht="12.75" customHeight="1">
      <c r="C153" s="3" t="s">
        <v>326</v>
      </c>
      <c r="AN153" s="281"/>
      <c r="AO153" s="26" t="s">
        <v>207</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64" t="s">
        <v>780</v>
      </c>
      <c r="F156" s="1664"/>
      <c r="G156" s="1664"/>
      <c r="H156" s="1664"/>
      <c r="I156" s="1664"/>
      <c r="J156" s="1664"/>
      <c r="K156" s="1664"/>
      <c r="L156" s="1664"/>
      <c r="M156" s="1664"/>
      <c r="N156" s="1664"/>
      <c r="O156" s="1664"/>
      <c r="P156" s="1664"/>
      <c r="Q156" s="1664"/>
      <c r="R156" s="1664"/>
      <c r="S156" s="1664"/>
      <c r="T156" s="1664"/>
      <c r="U156" s="1664"/>
      <c r="V156" s="1664"/>
      <c r="W156" s="1664"/>
      <c r="X156" s="1664"/>
      <c r="Y156" s="1664"/>
      <c r="Z156" s="1664"/>
      <c r="AA156" s="1664"/>
      <c r="AB156" s="1664"/>
      <c r="AC156" s="1664"/>
      <c r="AF156" s="1675" t="s">
        <v>62</v>
      </c>
      <c r="AG156" s="1675"/>
      <c r="AH156" s="1675"/>
      <c r="AI156" s="1675"/>
      <c r="AJ156" s="1675"/>
      <c r="AK156" s="1675"/>
      <c r="AL156" s="1675"/>
      <c r="AN156" s="281"/>
    </row>
    <row r="157" spans="1:42" s="4" customFormat="1" ht="12.75" customHeight="1">
      <c r="C157" s="3"/>
      <c r="E157" s="1664"/>
      <c r="F157" s="1664"/>
      <c r="G157" s="1664"/>
      <c r="H157" s="1664"/>
      <c r="I157" s="1664"/>
      <c r="J157" s="1664"/>
      <c r="K157" s="1664"/>
      <c r="L157" s="1664"/>
      <c r="M157" s="1664"/>
      <c r="N157" s="1664"/>
      <c r="O157" s="1664"/>
      <c r="P157" s="1664"/>
      <c r="Q157" s="1664"/>
      <c r="R157" s="1664"/>
      <c r="S157" s="1664"/>
      <c r="T157" s="1664"/>
      <c r="U157" s="1664"/>
      <c r="V157" s="1664"/>
      <c r="W157" s="1664"/>
      <c r="X157" s="1664"/>
      <c r="Y157" s="1664"/>
      <c r="Z157" s="1664"/>
      <c r="AA157" s="1664"/>
      <c r="AB157" s="1664"/>
      <c r="AC157" s="1664"/>
      <c r="AN157" s="281"/>
    </row>
    <row r="158" spans="1:42" s="4" customFormat="1" ht="12.75" customHeight="1">
      <c r="C158" s="3"/>
      <c r="D158" s="26"/>
      <c r="E158" s="1664"/>
      <c r="F158" s="1664"/>
      <c r="G158" s="1664"/>
      <c r="H158" s="1664"/>
      <c r="I158" s="1664"/>
      <c r="J158" s="1664"/>
      <c r="K158" s="1664"/>
      <c r="L158" s="1664"/>
      <c r="M158" s="1664"/>
      <c r="N158" s="1664"/>
      <c r="O158" s="1664"/>
      <c r="P158" s="1664"/>
      <c r="Q158" s="1664"/>
      <c r="R158" s="1664"/>
      <c r="S158" s="1664"/>
      <c r="T158" s="1664"/>
      <c r="U158" s="1664"/>
      <c r="V158" s="1664"/>
      <c r="W158" s="1664"/>
      <c r="X158" s="1664"/>
      <c r="Y158" s="1664"/>
      <c r="Z158" s="1664"/>
      <c r="AA158" s="1664"/>
      <c r="AB158" s="1664"/>
      <c r="AC158" s="1664"/>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64" t="s">
        <v>1784</v>
      </c>
      <c r="F160" s="1664"/>
      <c r="G160" s="1664"/>
      <c r="H160" s="1664"/>
      <c r="I160" s="1664"/>
      <c r="J160" s="1664"/>
      <c r="K160" s="1664"/>
      <c r="L160" s="1664"/>
      <c r="M160" s="1664"/>
      <c r="N160" s="1664"/>
      <c r="O160" s="1664"/>
      <c r="P160" s="1664"/>
      <c r="Q160" s="1664"/>
      <c r="R160" s="1664"/>
      <c r="S160" s="1664"/>
      <c r="T160" s="1664"/>
      <c r="U160" s="1664"/>
      <c r="V160" s="1664"/>
      <c r="W160" s="1664"/>
      <c r="X160" s="1664"/>
      <c r="Y160" s="1664"/>
      <c r="Z160" s="1664"/>
      <c r="AA160" s="1664"/>
      <c r="AB160" s="1664"/>
      <c r="AC160" s="1664"/>
      <c r="AF160" s="1675" t="s">
        <v>63</v>
      </c>
      <c r="AG160" s="1675"/>
      <c r="AH160" s="1675"/>
      <c r="AI160" s="1675"/>
      <c r="AJ160" s="1675"/>
      <c r="AK160" s="1675"/>
      <c r="AL160" s="1675"/>
      <c r="AN160" s="281"/>
    </row>
    <row r="161" spans="1:42" s="4" customFormat="1" ht="12.75" customHeight="1">
      <c r="C161" s="3"/>
      <c r="E161" s="1664"/>
      <c r="F161" s="1664"/>
      <c r="G161" s="1664"/>
      <c r="H161" s="1664"/>
      <c r="I161" s="1664"/>
      <c r="J161" s="1664"/>
      <c r="K161" s="1664"/>
      <c r="L161" s="1664"/>
      <c r="M161" s="1664"/>
      <c r="N161" s="1664"/>
      <c r="O161" s="1664"/>
      <c r="P161" s="1664"/>
      <c r="Q161" s="1664"/>
      <c r="R161" s="1664"/>
      <c r="S161" s="1664"/>
      <c r="T161" s="1664"/>
      <c r="U161" s="1664"/>
      <c r="V161" s="1664"/>
      <c r="W161" s="1664"/>
      <c r="X161" s="1664"/>
      <c r="Y161" s="1664"/>
      <c r="Z161" s="1664"/>
      <c r="AA161" s="1664"/>
      <c r="AB161" s="1664"/>
      <c r="AC161" s="1664"/>
      <c r="AN161" s="281"/>
    </row>
    <row r="162" spans="1:42" s="4" customFormat="1" ht="15" customHeight="1">
      <c r="C162" s="3"/>
      <c r="D162" s="26"/>
      <c r="E162" s="1664"/>
      <c r="F162" s="1664"/>
      <c r="G162" s="1664"/>
      <c r="H162" s="1664"/>
      <c r="I162" s="1664"/>
      <c r="J162" s="1664"/>
      <c r="K162" s="1664"/>
      <c r="L162" s="1664"/>
      <c r="M162" s="1664"/>
      <c r="N162" s="1664"/>
      <c r="O162" s="1664"/>
      <c r="P162" s="1664"/>
      <c r="Q162" s="1664"/>
      <c r="R162" s="1664"/>
      <c r="S162" s="1664"/>
      <c r="T162" s="1664"/>
      <c r="U162" s="1664"/>
      <c r="V162" s="1664"/>
      <c r="W162" s="1664"/>
      <c r="X162" s="1664"/>
      <c r="Y162" s="1664"/>
      <c r="Z162" s="1664"/>
      <c r="AA162" s="1664"/>
      <c r="AB162" s="1664"/>
      <c r="AC162" s="1664"/>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64" t="s">
        <v>1785</v>
      </c>
      <c r="F164" s="1664"/>
      <c r="G164" s="1664"/>
      <c r="H164" s="1664"/>
      <c r="I164" s="1664"/>
      <c r="J164" s="1664"/>
      <c r="K164" s="1664"/>
      <c r="L164" s="1664"/>
      <c r="M164" s="1664"/>
      <c r="N164" s="1664"/>
      <c r="O164" s="1664"/>
      <c r="P164" s="1664"/>
      <c r="Q164" s="1664"/>
      <c r="R164" s="1664"/>
      <c r="S164" s="1664"/>
      <c r="T164" s="1664"/>
      <c r="U164" s="1664"/>
      <c r="V164" s="1664"/>
      <c r="W164" s="1664"/>
      <c r="X164" s="1664"/>
      <c r="Y164" s="1664"/>
      <c r="Z164" s="1664"/>
      <c r="AA164" s="1664"/>
      <c r="AB164" s="1664"/>
      <c r="AC164" s="1664"/>
      <c r="AF164" s="1675" t="s">
        <v>64</v>
      </c>
      <c r="AG164" s="1675"/>
      <c r="AH164" s="1675"/>
      <c r="AI164" s="1675"/>
      <c r="AJ164" s="1675"/>
      <c r="AK164" s="1675"/>
      <c r="AL164" s="1675"/>
      <c r="AN164" s="281"/>
    </row>
    <row r="165" spans="1:42" s="4" customFormat="1" ht="12.75" customHeight="1">
      <c r="B165" s="5"/>
      <c r="C165" s="45"/>
      <c r="E165" s="1664"/>
      <c r="F165" s="1664"/>
      <c r="G165" s="1664"/>
      <c r="H165" s="1664"/>
      <c r="I165" s="1664"/>
      <c r="J165" s="1664"/>
      <c r="K165" s="1664"/>
      <c r="L165" s="1664"/>
      <c r="M165" s="1664"/>
      <c r="N165" s="1664"/>
      <c r="O165" s="1664"/>
      <c r="P165" s="1664"/>
      <c r="Q165" s="1664"/>
      <c r="R165" s="1664"/>
      <c r="S165" s="1664"/>
      <c r="T165" s="1664"/>
      <c r="U165" s="1664"/>
      <c r="V165" s="1664"/>
      <c r="W165" s="1664"/>
      <c r="X165" s="1664"/>
      <c r="Y165" s="1664"/>
      <c r="Z165" s="1664"/>
      <c r="AA165" s="1664"/>
      <c r="AB165" s="1664"/>
      <c r="AC165" s="1664"/>
      <c r="AE165" s="1675"/>
      <c r="AF165" s="1675"/>
      <c r="AG165" s="1675"/>
      <c r="AH165" s="1675"/>
      <c r="AI165" s="1675"/>
      <c r="AJ165" s="1675"/>
      <c r="AK165" s="1675"/>
      <c r="AL165" s="108"/>
      <c r="AN165" s="281"/>
      <c r="AO165" s="4" t="s">
        <v>131</v>
      </c>
      <c r="AP165" s="478">
        <v>0</v>
      </c>
    </row>
    <row r="166" spans="1:42" s="4" customFormat="1" ht="12.75" customHeight="1">
      <c r="A166" s="120"/>
      <c r="D166" s="26"/>
      <c r="E166" s="1664"/>
      <c r="F166" s="1664"/>
      <c r="G166" s="1664"/>
      <c r="H166" s="1664"/>
      <c r="I166" s="1664"/>
      <c r="J166" s="1664"/>
      <c r="K166" s="1664"/>
      <c r="L166" s="1664"/>
      <c r="M166" s="1664"/>
      <c r="N166" s="1664"/>
      <c r="O166" s="1664"/>
      <c r="P166" s="1664"/>
      <c r="Q166" s="1664"/>
      <c r="R166" s="1664"/>
      <c r="S166" s="1664"/>
      <c r="T166" s="1664"/>
      <c r="U166" s="1664"/>
      <c r="V166" s="1664"/>
      <c r="W166" s="1664"/>
      <c r="X166" s="1664"/>
      <c r="Y166" s="1664"/>
      <c r="Z166" s="1664"/>
      <c r="AA166" s="1664"/>
      <c r="AB166" s="1664"/>
      <c r="AC166" s="1664"/>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765</v>
      </c>
      <c r="E168" s="1664" t="s">
        <v>1786</v>
      </c>
      <c r="F168" s="1664"/>
      <c r="G168" s="1664"/>
      <c r="H168" s="1664"/>
      <c r="I168" s="1664"/>
      <c r="J168" s="1664"/>
      <c r="K168" s="1664"/>
      <c r="L168" s="1664"/>
      <c r="M168" s="1664"/>
      <c r="N168" s="1664"/>
      <c r="O168" s="1664"/>
      <c r="P168" s="1664"/>
      <c r="Q168" s="1664"/>
      <c r="R168" s="1664"/>
      <c r="S168" s="1664"/>
      <c r="T168" s="1664"/>
      <c r="U168" s="1664"/>
      <c r="V168" s="1664"/>
      <c r="W168" s="1664"/>
      <c r="X168" s="1664"/>
      <c r="Y168" s="1664"/>
      <c r="Z168" s="1664"/>
      <c r="AA168" s="1664"/>
      <c r="AB168" s="1664"/>
      <c r="AC168" s="1664"/>
      <c r="AF168" s="1675" t="s">
        <v>63</v>
      </c>
      <c r="AG168" s="1675"/>
      <c r="AH168" s="1675"/>
      <c r="AI168" s="1675"/>
      <c r="AJ168" s="1675"/>
      <c r="AK168" s="1675"/>
      <c r="AL168" s="1675"/>
      <c r="AN168" s="281"/>
    </row>
    <row r="169" spans="1:42" s="4" customFormat="1" ht="12.75" customHeight="1">
      <c r="A169" s="111"/>
      <c r="B169" s="5"/>
      <c r="C169" s="126"/>
      <c r="D169" s="26"/>
      <c r="E169" s="1664"/>
      <c r="F169" s="1664"/>
      <c r="G169" s="1664"/>
      <c r="H169" s="1664"/>
      <c r="I169" s="1664"/>
      <c r="J169" s="1664"/>
      <c r="K169" s="1664"/>
      <c r="L169" s="1664"/>
      <c r="M169" s="1664"/>
      <c r="N169" s="1664"/>
      <c r="O169" s="1664"/>
      <c r="P169" s="1664"/>
      <c r="Q169" s="1664"/>
      <c r="R169" s="1664"/>
      <c r="S169" s="1664"/>
      <c r="T169" s="1664"/>
      <c r="U169" s="1664"/>
      <c r="V169" s="1664"/>
      <c r="W169" s="1664"/>
      <c r="X169" s="1664"/>
      <c r="Y169" s="1664"/>
      <c r="Z169" s="1664"/>
      <c r="AA169" s="1664"/>
      <c r="AB169" s="1664"/>
      <c r="AC169" s="1664"/>
      <c r="AE169" s="108"/>
      <c r="AF169" s="108"/>
      <c r="AG169" s="108"/>
      <c r="AH169" s="108"/>
      <c r="AI169" s="108"/>
      <c r="AJ169" s="108"/>
      <c r="AK169" s="108"/>
      <c r="AL169" s="108"/>
      <c r="AM169" s="20"/>
      <c r="AN169" s="281"/>
    </row>
    <row r="170" spans="1:42" s="4" customFormat="1" ht="12.75" customHeight="1">
      <c r="A170" s="111"/>
      <c r="B170" s="5"/>
      <c r="C170" s="126"/>
      <c r="D170" s="26"/>
      <c r="E170" s="1664"/>
      <c r="F170" s="1664"/>
      <c r="G170" s="1664"/>
      <c r="H170" s="1664"/>
      <c r="I170" s="1664"/>
      <c r="J170" s="1664"/>
      <c r="K170" s="1664"/>
      <c r="L170" s="1664"/>
      <c r="M170" s="1664"/>
      <c r="N170" s="1664"/>
      <c r="O170" s="1664"/>
      <c r="P170" s="1664"/>
      <c r="Q170" s="1664"/>
      <c r="R170" s="1664"/>
      <c r="S170" s="1664"/>
      <c r="T170" s="1664"/>
      <c r="U170" s="1664"/>
      <c r="V170" s="1664"/>
      <c r="W170" s="1664"/>
      <c r="X170" s="1664"/>
      <c r="Y170" s="1664"/>
      <c r="Z170" s="1664"/>
      <c r="AA170" s="1664"/>
      <c r="AB170" s="1664"/>
      <c r="AC170" s="1664"/>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64" t="s">
        <v>1787</v>
      </c>
      <c r="F172" s="1664"/>
      <c r="G172" s="1664"/>
      <c r="H172" s="1664"/>
      <c r="I172" s="1664"/>
      <c r="J172" s="1664"/>
      <c r="K172" s="1664"/>
      <c r="L172" s="1664"/>
      <c r="M172" s="1664"/>
      <c r="N172" s="1664"/>
      <c r="O172" s="1664"/>
      <c r="P172" s="1664"/>
      <c r="Q172" s="1664"/>
      <c r="R172" s="1664"/>
      <c r="S172" s="1664"/>
      <c r="T172" s="1664"/>
      <c r="U172" s="1664"/>
      <c r="V172" s="1664"/>
      <c r="W172" s="1664"/>
      <c r="X172" s="1664"/>
      <c r="Y172" s="1664"/>
      <c r="Z172" s="1664"/>
      <c r="AA172" s="1664"/>
      <c r="AB172" s="1664"/>
      <c r="AC172" s="1664"/>
      <c r="AF172" s="1675" t="s">
        <v>64</v>
      </c>
      <c r="AG172" s="1675"/>
      <c r="AH172" s="1675"/>
      <c r="AI172" s="1675"/>
      <c r="AJ172" s="1675"/>
      <c r="AK172" s="1675"/>
      <c r="AL172" s="1675"/>
      <c r="AM172" s="20"/>
      <c r="AN172" s="281"/>
    </row>
    <row r="173" spans="1:42" s="4" customFormat="1" ht="12.75" customHeight="1">
      <c r="B173" s="5"/>
      <c r="C173" s="45"/>
      <c r="D173" s="26"/>
      <c r="E173" s="1664"/>
      <c r="F173" s="1664"/>
      <c r="G173" s="1664"/>
      <c r="H173" s="1664"/>
      <c r="I173" s="1664"/>
      <c r="J173" s="1664"/>
      <c r="K173" s="1664"/>
      <c r="L173" s="1664"/>
      <c r="M173" s="1664"/>
      <c r="N173" s="1664"/>
      <c r="O173" s="1664"/>
      <c r="P173" s="1664"/>
      <c r="Q173" s="1664"/>
      <c r="R173" s="1664"/>
      <c r="S173" s="1664"/>
      <c r="T173" s="1664"/>
      <c r="U173" s="1664"/>
      <c r="V173" s="1664"/>
      <c r="W173" s="1664"/>
      <c r="X173" s="1664"/>
      <c r="Y173" s="1664"/>
      <c r="Z173" s="1664"/>
      <c r="AA173" s="1664"/>
      <c r="AB173" s="1664"/>
      <c r="AC173" s="1664"/>
      <c r="AF173" s="5"/>
      <c r="AM173" s="20"/>
      <c r="AN173" s="281"/>
    </row>
    <row r="174" spans="1:42" s="4" customFormat="1" ht="12.75" customHeight="1">
      <c r="B174" s="5"/>
      <c r="C174" s="45"/>
      <c r="D174" s="26"/>
      <c r="E174" s="1664"/>
      <c r="F174" s="1664"/>
      <c r="G174" s="1664"/>
      <c r="H174" s="1664"/>
      <c r="I174" s="1664"/>
      <c r="J174" s="1664"/>
      <c r="K174" s="1664"/>
      <c r="L174" s="1664"/>
      <c r="M174" s="1664"/>
      <c r="N174" s="1664"/>
      <c r="O174" s="1664"/>
      <c r="P174" s="1664"/>
      <c r="Q174" s="1664"/>
      <c r="R174" s="1664"/>
      <c r="S174" s="1664"/>
      <c r="T174" s="1664"/>
      <c r="U174" s="1664"/>
      <c r="V174" s="1664"/>
      <c r="W174" s="1664"/>
      <c r="X174" s="1664"/>
      <c r="Y174" s="1664"/>
      <c r="Z174" s="1664"/>
      <c r="AA174" s="1664"/>
      <c r="AB174" s="1664"/>
      <c r="AC174" s="1664"/>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64" t="s">
        <v>1538</v>
      </c>
      <c r="F176" s="1664"/>
      <c r="G176" s="1664"/>
      <c r="H176" s="1664"/>
      <c r="I176" s="1664"/>
      <c r="J176" s="1664"/>
      <c r="K176" s="1664"/>
      <c r="L176" s="1664"/>
      <c r="M176" s="1664"/>
      <c r="N176" s="1664"/>
      <c r="O176" s="1664"/>
      <c r="P176" s="1664"/>
      <c r="Q176" s="1664"/>
      <c r="R176" s="1664"/>
      <c r="S176" s="1664"/>
      <c r="T176" s="1664"/>
      <c r="U176" s="1664"/>
      <c r="V176" s="1664"/>
      <c r="W176" s="1664"/>
      <c r="X176" s="1664"/>
      <c r="Y176" s="1664"/>
      <c r="Z176" s="1664"/>
      <c r="AA176" s="1664"/>
      <c r="AB176" s="1664"/>
      <c r="AC176" s="1664"/>
      <c r="AF176" s="1675" t="s">
        <v>110</v>
      </c>
      <c r="AG176" s="1675"/>
      <c r="AH176" s="1675"/>
      <c r="AI176" s="1675"/>
      <c r="AJ176" s="1675"/>
      <c r="AK176" s="1675"/>
      <c r="AL176" s="1675"/>
      <c r="AM176" s="20"/>
      <c r="AN176" s="281"/>
    </row>
    <row r="177" spans="1:42" s="4" customFormat="1" ht="22.95" customHeight="1">
      <c r="A177" s="120"/>
      <c r="B177" s="5"/>
      <c r="C177" s="45"/>
      <c r="D177" s="26"/>
      <c r="E177" s="1664"/>
      <c r="F177" s="1664"/>
      <c r="G177" s="1664"/>
      <c r="H177" s="1664"/>
      <c r="I177" s="1664"/>
      <c r="J177" s="1664"/>
      <c r="K177" s="1664"/>
      <c r="L177" s="1664"/>
      <c r="M177" s="1664"/>
      <c r="N177" s="1664"/>
      <c r="O177" s="1664"/>
      <c r="P177" s="1664"/>
      <c r="Q177" s="1664"/>
      <c r="R177" s="1664"/>
      <c r="S177" s="1664"/>
      <c r="T177" s="1664"/>
      <c r="U177" s="1664"/>
      <c r="V177" s="1664"/>
      <c r="W177" s="1664"/>
      <c r="X177" s="1664"/>
      <c r="Y177" s="1664"/>
      <c r="Z177" s="1664"/>
      <c r="AA177" s="1664"/>
      <c r="AB177" s="1664"/>
      <c r="AC177" s="1664"/>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64" t="s">
        <v>1539</v>
      </c>
      <c r="F179" s="1664"/>
      <c r="G179" s="1664"/>
      <c r="H179" s="1664"/>
      <c r="I179" s="1664"/>
      <c r="J179" s="1664"/>
      <c r="K179" s="1664"/>
      <c r="L179" s="1664"/>
      <c r="M179" s="1664"/>
      <c r="N179" s="1664"/>
      <c r="O179" s="1664"/>
      <c r="P179" s="1664"/>
      <c r="Q179" s="1664"/>
      <c r="R179" s="1664"/>
      <c r="S179" s="1664"/>
      <c r="T179" s="1664"/>
      <c r="U179" s="1664"/>
      <c r="V179" s="1664"/>
      <c r="W179" s="1664"/>
      <c r="X179" s="1664"/>
      <c r="Y179" s="1664"/>
      <c r="Z179" s="1664"/>
      <c r="AA179" s="1664"/>
      <c r="AB179" s="1664"/>
      <c r="AC179" s="1664"/>
      <c r="AF179" s="1675" t="s">
        <v>337</v>
      </c>
      <c r="AG179" s="1675"/>
      <c r="AH179" s="1675"/>
      <c r="AI179" s="1675"/>
      <c r="AJ179" s="1675"/>
      <c r="AK179" s="1675"/>
      <c r="AL179" s="1675"/>
      <c r="AM179" s="20"/>
      <c r="AN179" s="281"/>
      <c r="AO179" s="26" t="s">
        <v>610</v>
      </c>
      <c r="AP179" s="4">
        <v>3</v>
      </c>
    </row>
    <row r="180" spans="1:42" s="4" customFormat="1" ht="22.95" customHeight="1">
      <c r="A180" s="120"/>
      <c r="B180" s="5"/>
      <c r="C180" s="45"/>
      <c r="D180" s="26"/>
      <c r="E180" s="1664"/>
      <c r="F180" s="1664"/>
      <c r="G180" s="1664"/>
      <c r="H180" s="1664"/>
      <c r="I180" s="1664"/>
      <c r="J180" s="1664"/>
      <c r="K180" s="1664"/>
      <c r="L180" s="1664"/>
      <c r="M180" s="1664"/>
      <c r="N180" s="1664"/>
      <c r="O180" s="1664"/>
      <c r="P180" s="1664"/>
      <c r="Q180" s="1664"/>
      <c r="R180" s="1664"/>
      <c r="S180" s="1664"/>
      <c r="T180" s="1664"/>
      <c r="U180" s="1664"/>
      <c r="V180" s="1664"/>
      <c r="W180" s="1664"/>
      <c r="X180" s="1664"/>
      <c r="Y180" s="1664"/>
      <c r="Z180" s="1664"/>
      <c r="AA180" s="1664"/>
      <c r="AB180" s="1664"/>
      <c r="AC180" s="1664"/>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663" t="s">
        <v>610</v>
      </c>
      <c r="I182" s="1663"/>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37">
        <f>VLOOKUP($H$182,$AO$132:$AP$139,2,FALSE)</f>
        <v>5</v>
      </c>
      <c r="AK184" s="1240"/>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64" t="s">
        <v>2329</v>
      </c>
      <c r="F188" s="1664"/>
      <c r="G188" s="1664"/>
      <c r="H188" s="1664"/>
      <c r="I188" s="1664"/>
      <c r="J188" s="1664"/>
      <c r="K188" s="1664"/>
      <c r="L188" s="1664"/>
      <c r="M188" s="1664"/>
      <c r="N188" s="1664"/>
      <c r="O188" s="1664"/>
      <c r="P188" s="1664"/>
      <c r="Q188" s="1664"/>
      <c r="R188" s="1664"/>
      <c r="S188" s="1664"/>
      <c r="T188" s="1664"/>
      <c r="U188" s="1664"/>
      <c r="V188" s="1664"/>
      <c r="W188" s="1664"/>
      <c r="X188" s="1664"/>
      <c r="Y188" s="1664"/>
      <c r="Z188" s="1664"/>
      <c r="AA188" s="1664"/>
      <c r="AB188" s="1664"/>
      <c r="AF188" s="1675" t="s">
        <v>64</v>
      </c>
      <c r="AG188" s="1675"/>
      <c r="AH188" s="1675"/>
      <c r="AI188" s="1675"/>
      <c r="AJ188" s="1675"/>
      <c r="AK188" s="1675"/>
      <c r="AL188" s="1675"/>
      <c r="AN188" s="281"/>
    </row>
    <row r="189" spans="1:42" s="4" customFormat="1" ht="12.75" customHeight="1">
      <c r="B189" s="5"/>
      <c r="C189" s="121"/>
      <c r="D189" s="26"/>
      <c r="E189" s="1664"/>
      <c r="F189" s="1664"/>
      <c r="G189" s="1664"/>
      <c r="H189" s="1664"/>
      <c r="I189" s="1664"/>
      <c r="J189" s="1664"/>
      <c r="K189" s="1664"/>
      <c r="L189" s="1664"/>
      <c r="M189" s="1664"/>
      <c r="N189" s="1664"/>
      <c r="O189" s="1664"/>
      <c r="P189" s="1664"/>
      <c r="Q189" s="1664"/>
      <c r="R189" s="1664"/>
      <c r="S189" s="1664"/>
      <c r="T189" s="1664"/>
      <c r="U189" s="1664"/>
      <c r="V189" s="1664"/>
      <c r="W189" s="1664"/>
      <c r="X189" s="1664"/>
      <c r="Y189" s="1664"/>
      <c r="Z189" s="1664"/>
      <c r="AA189" s="1664"/>
      <c r="AB189" s="1664"/>
      <c r="AE189" s="19"/>
      <c r="AN189" s="281"/>
      <c r="AO189" s="1402"/>
      <c r="AP189" s="1402"/>
    </row>
    <row r="190" spans="1:42" s="4" customFormat="1" ht="12.75" customHeight="1">
      <c r="B190" s="5"/>
      <c r="C190" s="121"/>
      <c r="D190" s="26"/>
      <c r="E190" s="1664"/>
      <c r="F190" s="1664"/>
      <c r="G190" s="1664"/>
      <c r="H190" s="1664"/>
      <c r="I190" s="1664"/>
      <c r="J190" s="1664"/>
      <c r="K190" s="1664"/>
      <c r="L190" s="1664"/>
      <c r="M190" s="1664"/>
      <c r="N190" s="1664"/>
      <c r="O190" s="1664"/>
      <c r="P190" s="1664"/>
      <c r="Q190" s="1664"/>
      <c r="R190" s="1664"/>
      <c r="S190" s="1664"/>
      <c r="T190" s="1664"/>
      <c r="U190" s="1664"/>
      <c r="V190" s="1664"/>
      <c r="W190" s="1664"/>
      <c r="X190" s="1664"/>
      <c r="Y190" s="1664"/>
      <c r="Z190" s="1664"/>
      <c r="AA190" s="1664"/>
      <c r="AB190" s="1664"/>
      <c r="AE190" s="19"/>
      <c r="AF190" s="102"/>
      <c r="AG190" s="19"/>
      <c r="AH190" s="19"/>
      <c r="AI190" s="19"/>
      <c r="AJ190" s="19"/>
      <c r="AK190" s="19"/>
      <c r="AL190" s="19"/>
      <c r="AN190" s="281"/>
    </row>
    <row r="191" spans="1:42" s="4" customFormat="1" ht="11.25" customHeight="1">
      <c r="B191" s="5"/>
      <c r="C191" s="121"/>
      <c r="D191" s="26"/>
      <c r="E191" s="1664"/>
      <c r="F191" s="1664"/>
      <c r="G191" s="1664"/>
      <c r="H191" s="1664"/>
      <c r="I191" s="1664"/>
      <c r="J191" s="1664"/>
      <c r="K191" s="1664"/>
      <c r="L191" s="1664"/>
      <c r="M191" s="1664"/>
      <c r="N191" s="1664"/>
      <c r="O191" s="1664"/>
      <c r="P191" s="1664"/>
      <c r="Q191" s="1664"/>
      <c r="R191" s="1664"/>
      <c r="S191" s="1664"/>
      <c r="T191" s="1664"/>
      <c r="U191" s="1664"/>
      <c r="V191" s="1664"/>
      <c r="W191" s="1664"/>
      <c r="X191" s="1664"/>
      <c r="Y191" s="1664"/>
      <c r="Z191" s="1664"/>
      <c r="AA191" s="1664"/>
      <c r="AB191" s="1664"/>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207</v>
      </c>
      <c r="E193" s="1664" t="s">
        <v>2330</v>
      </c>
      <c r="F193" s="1664"/>
      <c r="G193" s="1664"/>
      <c r="H193" s="1664"/>
      <c r="I193" s="1664"/>
      <c r="J193" s="1664"/>
      <c r="K193" s="1664"/>
      <c r="L193" s="1664"/>
      <c r="M193" s="1664"/>
      <c r="N193" s="1664"/>
      <c r="O193" s="1664"/>
      <c r="P193" s="1664"/>
      <c r="Q193" s="1664"/>
      <c r="R193" s="1664"/>
      <c r="S193" s="1664"/>
      <c r="T193" s="1664"/>
      <c r="U193" s="1664"/>
      <c r="V193" s="1664"/>
      <c r="W193" s="1664"/>
      <c r="X193" s="1664"/>
      <c r="Y193" s="1664"/>
      <c r="Z193" s="1664"/>
      <c r="AA193" s="1664"/>
      <c r="AB193" s="1664"/>
      <c r="AF193" s="1675" t="s">
        <v>110</v>
      </c>
      <c r="AG193" s="1675"/>
      <c r="AH193" s="1675"/>
      <c r="AI193" s="1675"/>
      <c r="AJ193" s="1675"/>
      <c r="AK193" s="1675"/>
      <c r="AL193" s="1675"/>
      <c r="AN193" s="281"/>
      <c r="AO193" s="26" t="s">
        <v>207</v>
      </c>
      <c r="AP193" s="4">
        <v>1</v>
      </c>
    </row>
    <row r="194" spans="1:42" s="4" customFormat="1" ht="12.75" customHeight="1">
      <c r="B194" s="5"/>
      <c r="C194" s="45"/>
      <c r="E194" s="1664"/>
      <c r="F194" s="1664"/>
      <c r="G194" s="1664"/>
      <c r="H194" s="1664"/>
      <c r="I194" s="1664"/>
      <c r="J194" s="1664"/>
      <c r="K194" s="1664"/>
      <c r="L194" s="1664"/>
      <c r="M194" s="1664"/>
      <c r="N194" s="1664"/>
      <c r="O194" s="1664"/>
      <c r="P194" s="1664"/>
      <c r="Q194" s="1664"/>
      <c r="R194" s="1664"/>
      <c r="S194" s="1664"/>
      <c r="T194" s="1664"/>
      <c r="U194" s="1664"/>
      <c r="V194" s="1664"/>
      <c r="W194" s="1664"/>
      <c r="X194" s="1664"/>
      <c r="Y194" s="1664"/>
      <c r="Z194" s="1664"/>
      <c r="AA194" s="1664"/>
      <c r="AB194" s="1664"/>
      <c r="AD194" s="5"/>
      <c r="AE194" s="19"/>
      <c r="AN194" s="281"/>
    </row>
    <row r="195" spans="1:42" s="4" customFormat="1" ht="12.75" customHeight="1">
      <c r="B195" s="5"/>
      <c r="C195" s="45"/>
      <c r="E195" s="1664"/>
      <c r="F195" s="1664"/>
      <c r="G195" s="1664"/>
      <c r="H195" s="1664"/>
      <c r="I195" s="1664"/>
      <c r="J195" s="1664"/>
      <c r="K195" s="1664"/>
      <c r="L195" s="1664"/>
      <c r="M195" s="1664"/>
      <c r="N195" s="1664"/>
      <c r="O195" s="1664"/>
      <c r="P195" s="1664"/>
      <c r="Q195" s="1664"/>
      <c r="R195" s="1664"/>
      <c r="S195" s="1664"/>
      <c r="T195" s="1664"/>
      <c r="U195" s="1664"/>
      <c r="V195" s="1664"/>
      <c r="W195" s="1664"/>
      <c r="X195" s="1664"/>
      <c r="Y195" s="1664"/>
      <c r="Z195" s="1664"/>
      <c r="AA195" s="1664"/>
      <c r="AB195" s="1664"/>
      <c r="AD195" s="5"/>
      <c r="AE195" s="19"/>
      <c r="AN195" s="281"/>
    </row>
    <row r="196" spans="1:42" customFormat="1" ht="12.75" customHeight="1">
      <c r="A196" s="4"/>
      <c r="B196" s="5"/>
      <c r="C196" s="45"/>
      <c r="D196" s="4"/>
      <c r="E196" s="1664"/>
      <c r="F196" s="1664"/>
      <c r="G196" s="1664"/>
      <c r="H196" s="1664"/>
      <c r="I196" s="1664"/>
      <c r="J196" s="1664"/>
      <c r="K196" s="1664"/>
      <c r="L196" s="1664"/>
      <c r="M196" s="1664"/>
      <c r="N196" s="1664"/>
      <c r="O196" s="1664"/>
      <c r="P196" s="1664"/>
      <c r="Q196" s="1664"/>
      <c r="R196" s="1664"/>
      <c r="S196" s="1664"/>
      <c r="T196" s="1664"/>
      <c r="U196" s="1664"/>
      <c r="V196" s="1664"/>
      <c r="W196" s="1664"/>
      <c r="X196" s="1664"/>
      <c r="Y196" s="1664"/>
      <c r="Z196" s="1664"/>
      <c r="AA196" s="1664"/>
      <c r="AB196" s="1664"/>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7" t="s">
        <v>2044</v>
      </c>
      <c r="F198" s="1677"/>
      <c r="G198" s="1677"/>
      <c r="H198" s="1677"/>
      <c r="I198" s="1677"/>
      <c r="J198" s="1677"/>
      <c r="K198" s="1677"/>
      <c r="L198" s="1677"/>
      <c r="M198" s="1677"/>
      <c r="N198" s="1677"/>
      <c r="O198" s="1677"/>
      <c r="P198" s="1677"/>
      <c r="Q198" s="1677"/>
      <c r="R198" s="1677"/>
      <c r="S198" s="1677"/>
      <c r="T198" s="1677"/>
      <c r="U198" s="1677"/>
      <c r="V198" s="1677"/>
      <c r="W198" s="1677"/>
      <c r="X198" s="1677"/>
      <c r="Y198" s="1677"/>
      <c r="Z198" s="1677"/>
      <c r="AA198" s="1677"/>
      <c r="AB198" s="1677"/>
      <c r="AC198" s="4"/>
      <c r="AD198" s="5"/>
      <c r="AE198" s="19"/>
      <c r="AF198" s="19"/>
      <c r="AG198" s="19"/>
      <c r="AH198" s="19"/>
      <c r="AI198" s="19"/>
      <c r="AJ198" s="4"/>
      <c r="AK198" s="4"/>
      <c r="AL198" s="4"/>
      <c r="AM198" s="4"/>
      <c r="AN198" s="204"/>
    </row>
    <row r="199" spans="1:42" customFormat="1" ht="12.75" customHeight="1">
      <c r="A199" s="4"/>
      <c r="B199" s="5"/>
      <c r="C199" s="45"/>
      <c r="D199" s="4"/>
      <c r="E199" s="1677"/>
      <c r="F199" s="1677"/>
      <c r="G199" s="1677"/>
      <c r="H199" s="1677"/>
      <c r="I199" s="1677"/>
      <c r="J199" s="1677"/>
      <c r="K199" s="1677"/>
      <c r="L199" s="1677"/>
      <c r="M199" s="1677"/>
      <c r="N199" s="1677"/>
      <c r="O199" s="1677"/>
      <c r="P199" s="1677"/>
      <c r="Q199" s="1677"/>
      <c r="R199" s="1677"/>
      <c r="S199" s="1677"/>
      <c r="T199" s="1677"/>
      <c r="U199" s="1677"/>
      <c r="V199" s="1677"/>
      <c r="W199" s="1677"/>
      <c r="X199" s="1677"/>
      <c r="Y199" s="1677"/>
      <c r="Z199" s="1677"/>
      <c r="AA199" s="1677"/>
      <c r="AB199" s="1677"/>
      <c r="AC199" s="4"/>
      <c r="AD199" s="5"/>
      <c r="AE199" s="19"/>
      <c r="AF199" s="19"/>
      <c r="AG199" s="19"/>
      <c r="AH199" s="19"/>
      <c r="AI199" s="19"/>
      <c r="AJ199" s="4"/>
      <c r="AK199" s="4"/>
      <c r="AL199" s="4"/>
      <c r="AM199" s="4"/>
      <c r="AN199" s="204"/>
    </row>
    <row r="200" spans="1:42" customFormat="1" ht="18" customHeight="1">
      <c r="A200" s="4"/>
      <c r="B200" s="5"/>
      <c r="C200" s="45"/>
      <c r="D200" s="4"/>
      <c r="E200" s="1677"/>
      <c r="F200" s="1677"/>
      <c r="G200" s="1677"/>
      <c r="H200" s="1677"/>
      <c r="I200" s="1677"/>
      <c r="J200" s="1677"/>
      <c r="K200" s="1677"/>
      <c r="L200" s="1677"/>
      <c r="M200" s="1677"/>
      <c r="N200" s="1677"/>
      <c r="O200" s="1677"/>
      <c r="P200" s="1677"/>
      <c r="Q200" s="1677"/>
      <c r="R200" s="1677"/>
      <c r="S200" s="1677"/>
      <c r="T200" s="1677"/>
      <c r="U200" s="1677"/>
      <c r="V200" s="1677"/>
      <c r="W200" s="1677"/>
      <c r="X200" s="1677"/>
      <c r="Y200" s="1677"/>
      <c r="Z200" s="1677"/>
      <c r="AA200" s="1677"/>
      <c r="AB200" s="1677"/>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663" t="s">
        <v>131</v>
      </c>
      <c r="I201" s="1663"/>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37">
        <f>VLOOKUP($H$201,$AO$151:$AP$153,2,FALSE)</f>
        <v>0</v>
      </c>
      <c r="AK203" s="1240"/>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610</v>
      </c>
      <c r="E207" s="1789" t="s">
        <v>1305</v>
      </c>
      <c r="F207" s="1789"/>
      <c r="G207" s="1789"/>
      <c r="H207" s="1789"/>
      <c r="I207" s="1789"/>
      <c r="J207" s="1789"/>
      <c r="K207" s="1789"/>
      <c r="L207" s="1789"/>
      <c r="M207" s="1789"/>
      <c r="N207" s="1789"/>
      <c r="O207" s="1789"/>
      <c r="P207" s="1789"/>
      <c r="Q207" s="1789"/>
      <c r="R207" s="1789"/>
      <c r="S207" s="1789"/>
      <c r="T207" s="1789"/>
      <c r="U207" s="1789"/>
      <c r="V207" s="1789"/>
      <c r="W207" s="1789"/>
      <c r="X207" s="1789"/>
      <c r="Y207" s="1789"/>
      <c r="Z207" s="1789"/>
      <c r="AA207" s="1789"/>
      <c r="AB207" s="1789"/>
      <c r="AC207" s="4"/>
      <c r="AD207" s="4"/>
      <c r="AF207" s="1675" t="s">
        <v>64</v>
      </c>
      <c r="AG207" s="1675"/>
      <c r="AH207" s="1675"/>
      <c r="AI207" s="1675"/>
      <c r="AJ207" s="1675"/>
      <c r="AK207" s="1675"/>
      <c r="AL207" s="1675"/>
      <c r="AM207" s="4"/>
      <c r="AN207" s="204"/>
      <c r="AP207" t="s">
        <v>105</v>
      </c>
    </row>
    <row r="208" spans="1:42" customFormat="1" ht="11.85" customHeight="1">
      <c r="A208" s="4"/>
      <c r="B208" s="5"/>
      <c r="C208" s="115"/>
      <c r="D208" s="26"/>
      <c r="E208" s="1789"/>
      <c r="F208" s="1789"/>
      <c r="G208" s="1789"/>
      <c r="H208" s="1789"/>
      <c r="I208" s="1789"/>
      <c r="J208" s="1789"/>
      <c r="K208" s="1789"/>
      <c r="L208" s="1789"/>
      <c r="M208" s="1789"/>
      <c r="N208" s="1789"/>
      <c r="O208" s="1789"/>
      <c r="P208" s="1789"/>
      <c r="Q208" s="1789"/>
      <c r="R208" s="1789"/>
      <c r="S208" s="1789"/>
      <c r="T208" s="1789"/>
      <c r="U208" s="1789"/>
      <c r="V208" s="1789"/>
      <c r="W208" s="1789"/>
      <c r="X208" s="1789"/>
      <c r="Y208" s="1789"/>
      <c r="Z208" s="1789"/>
      <c r="AA208" s="1789"/>
      <c r="AB208" s="1789"/>
      <c r="AC208" s="4"/>
      <c r="AD208" s="4"/>
      <c r="AE208" s="4"/>
      <c r="AM208" s="4"/>
      <c r="AN208" s="204"/>
      <c r="AP208" t="s">
        <v>102</v>
      </c>
    </row>
    <row r="209" spans="1:52" customFormat="1" ht="13.95" customHeight="1">
      <c r="A209" s="4"/>
      <c r="B209" s="42"/>
      <c r="C209" s="45"/>
      <c r="D209" s="26"/>
      <c r="E209" s="1789"/>
      <c r="F209" s="1789"/>
      <c r="G209" s="1789"/>
      <c r="H209" s="1789"/>
      <c r="I209" s="1789"/>
      <c r="J209" s="1789"/>
      <c r="K209" s="1789"/>
      <c r="L209" s="1789"/>
      <c r="M209" s="1789"/>
      <c r="N209" s="1789"/>
      <c r="O209" s="1789"/>
      <c r="P209" s="1789"/>
      <c r="Q209" s="1789"/>
      <c r="R209" s="1789"/>
      <c r="S209" s="1789"/>
      <c r="T209" s="1789"/>
      <c r="U209" s="1789"/>
      <c r="V209" s="1789"/>
      <c r="W209" s="1789"/>
      <c r="X209" s="1789"/>
      <c r="Y209" s="1789"/>
      <c r="Z209" s="1789"/>
      <c r="AA209" s="1789"/>
      <c r="AB209" s="1789"/>
      <c r="AC209" s="4"/>
      <c r="AD209" s="4"/>
      <c r="AE209" s="19"/>
      <c r="AM209" s="4"/>
      <c r="AN209" s="204"/>
      <c r="AP209" t="s">
        <v>103</v>
      </c>
    </row>
    <row r="210" spans="1:52" customFormat="1" ht="13.95" customHeight="1">
      <c r="A210" s="4"/>
      <c r="B210" s="5"/>
      <c r="C210" s="45"/>
      <c r="D210" s="26" t="s">
        <v>207</v>
      </c>
      <c r="E210" s="1676" t="s">
        <v>1306</v>
      </c>
      <c r="F210" s="1676"/>
      <c r="G210" s="1676"/>
      <c r="H210" s="1676"/>
      <c r="I210" s="1676"/>
      <c r="J210" s="1676"/>
      <c r="K210" s="1676"/>
      <c r="L210" s="1676"/>
      <c r="M210" s="1676"/>
      <c r="N210" s="1676"/>
      <c r="O210" s="1676"/>
      <c r="P210" s="1676"/>
      <c r="Q210" s="1676"/>
      <c r="R210" s="1676"/>
      <c r="S210" s="1676"/>
      <c r="T210" s="1676"/>
      <c r="U210" s="1676"/>
      <c r="V210" s="1676"/>
      <c r="W210" s="1676"/>
      <c r="X210" s="1676"/>
      <c r="Y210" s="1676"/>
      <c r="Z210" s="1676"/>
      <c r="AA210" s="1676"/>
      <c r="AB210" s="1676"/>
      <c r="AC210" s="4"/>
      <c r="AD210" s="4"/>
      <c r="AF210" s="1675" t="s">
        <v>110</v>
      </c>
      <c r="AG210" s="1675"/>
      <c r="AH210" s="1675"/>
      <c r="AI210" s="1675"/>
      <c r="AJ210" s="1675"/>
      <c r="AK210" s="1675"/>
      <c r="AL210" s="1675"/>
      <c r="AM210" s="4"/>
      <c r="AN210" s="680"/>
      <c r="AP210" s="48" t="s">
        <v>368</v>
      </c>
    </row>
    <row r="211" spans="1:52" customFormat="1" ht="12.75" customHeight="1">
      <c r="A211" s="4"/>
      <c r="B211" s="5"/>
      <c r="C211" s="115"/>
      <c r="D211" s="4"/>
      <c r="E211" s="1676"/>
      <c r="F211" s="1676"/>
      <c r="G211" s="1676"/>
      <c r="H211" s="1676"/>
      <c r="I211" s="1676"/>
      <c r="J211" s="1676"/>
      <c r="K211" s="1676"/>
      <c r="L211" s="1676"/>
      <c r="M211" s="1676"/>
      <c r="N211" s="1676"/>
      <c r="O211" s="1676"/>
      <c r="P211" s="1676"/>
      <c r="Q211" s="1676"/>
      <c r="R211" s="1676"/>
      <c r="S211" s="1676"/>
      <c r="T211" s="1676"/>
      <c r="U211" s="1676"/>
      <c r="V211" s="1676"/>
      <c r="W211" s="1676"/>
      <c r="X211" s="1676"/>
      <c r="Y211" s="1676"/>
      <c r="Z211" s="1676"/>
      <c r="AA211" s="1676"/>
      <c r="AB211" s="1676"/>
      <c r="AC211" s="4"/>
      <c r="AD211" s="5"/>
      <c r="AE211" s="4"/>
      <c r="AF211" s="4"/>
      <c r="AG211" s="4"/>
      <c r="AH211" s="4"/>
      <c r="AI211" s="4"/>
      <c r="AJ211" s="4"/>
      <c r="AK211" s="4"/>
      <c r="AL211" s="4"/>
      <c r="AM211" s="4"/>
      <c r="AN211" s="204"/>
      <c r="AP211" s="4" t="s">
        <v>131</v>
      </c>
      <c r="AQ211" s="478">
        <v>0</v>
      </c>
    </row>
    <row r="212" spans="1:52" customFormat="1" ht="13.95" customHeight="1">
      <c r="A212" s="4"/>
      <c r="B212" s="5"/>
      <c r="C212" s="115"/>
      <c r="D212" s="4"/>
      <c r="E212" s="1676"/>
      <c r="F212" s="1676"/>
      <c r="G212" s="1676"/>
      <c r="H212" s="1676"/>
      <c r="I212" s="1676"/>
      <c r="J212" s="1676"/>
      <c r="K212" s="1676"/>
      <c r="L212" s="1676"/>
      <c r="M212" s="1676"/>
      <c r="N212" s="1676"/>
      <c r="O212" s="1676"/>
      <c r="P212" s="1676"/>
      <c r="Q212" s="1676"/>
      <c r="R212" s="1676"/>
      <c r="S212" s="1676"/>
      <c r="T212" s="1676"/>
      <c r="U212" s="1676"/>
      <c r="V212" s="1676"/>
      <c r="W212" s="1676"/>
      <c r="X212" s="1676"/>
      <c r="Y212" s="1676"/>
      <c r="Z212" s="1676"/>
      <c r="AA212" s="1676"/>
      <c r="AB212" s="1676"/>
      <c r="AC212" s="4"/>
      <c r="AD212" s="5"/>
      <c r="AE212" s="4"/>
      <c r="AF212" s="4"/>
      <c r="AG212" s="4"/>
      <c r="AH212" s="4"/>
      <c r="AI212" s="4"/>
      <c r="AJ212" s="4"/>
      <c r="AK212" s="4"/>
      <c r="AL212" s="4"/>
      <c r="AM212" s="4"/>
      <c r="AN212" s="204"/>
      <c r="AP212" s="26" t="s">
        <v>610</v>
      </c>
      <c r="AQ212" s="4">
        <v>2</v>
      </c>
    </row>
    <row r="213" spans="1:52" customFormat="1" ht="13.95" customHeight="1">
      <c r="A213" s="4"/>
      <c r="B213" s="5"/>
      <c r="C213" s="115"/>
      <c r="D213" s="4" t="s">
        <v>156</v>
      </c>
      <c r="E213" s="116"/>
      <c r="F213" s="116"/>
      <c r="G213" s="116"/>
      <c r="H213" s="1663" t="s">
        <v>131</v>
      </c>
      <c r="I213" s="1663"/>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37">
        <f>VLOOKUP($H$213,$AO$151:$AP$153,2,FALSE)</f>
        <v>0</v>
      </c>
      <c r="AK215" s="1240"/>
      <c r="AL215" s="10"/>
      <c r="AM215" s="4"/>
      <c r="AN215" s="204"/>
      <c r="AP215" s="1237"/>
      <c r="AQ215" s="1240"/>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64" t="s">
        <v>1555</v>
      </c>
      <c r="F219" s="1664"/>
      <c r="G219" s="1664"/>
      <c r="H219" s="1664"/>
      <c r="I219" s="1664"/>
      <c r="J219" s="1664"/>
      <c r="K219" s="1664"/>
      <c r="L219" s="1664"/>
      <c r="M219" s="1664"/>
      <c r="N219" s="1664"/>
      <c r="O219" s="1664"/>
      <c r="P219" s="1664"/>
      <c r="Q219" s="1664"/>
      <c r="R219" s="1664"/>
      <c r="S219" s="1664"/>
      <c r="T219" s="1664"/>
      <c r="U219" s="1664"/>
      <c r="V219" s="1664"/>
      <c r="W219" s="1664"/>
      <c r="X219" s="1664"/>
      <c r="Y219" s="1664"/>
      <c r="Z219" s="1664"/>
      <c r="AA219" s="1664"/>
      <c r="AB219" s="1664"/>
      <c r="AC219" s="4"/>
      <c r="AD219" s="4"/>
      <c r="AF219" s="1675" t="s">
        <v>64</v>
      </c>
      <c r="AG219" s="1675"/>
      <c r="AH219" s="1675"/>
      <c r="AI219" s="1675"/>
      <c r="AJ219" s="1675"/>
      <c r="AK219" s="1675"/>
      <c r="AL219" s="1675"/>
      <c r="AM219" s="4"/>
      <c r="AN219" s="204"/>
      <c r="AT219" s="21"/>
      <c r="AU219" s="21"/>
      <c r="AV219" s="21"/>
      <c r="AW219" s="21"/>
      <c r="AX219" s="21"/>
      <c r="AY219" s="21"/>
      <c r="AZ219" s="21"/>
    </row>
    <row r="220" spans="1:52" customFormat="1">
      <c r="A220" s="4"/>
      <c r="B220" s="5"/>
      <c r="C220" s="115"/>
      <c r="D220" s="26"/>
      <c r="E220" s="1664"/>
      <c r="F220" s="1664"/>
      <c r="G220" s="1664"/>
      <c r="H220" s="1664"/>
      <c r="I220" s="1664"/>
      <c r="J220" s="1664"/>
      <c r="K220" s="1664"/>
      <c r="L220" s="1664"/>
      <c r="M220" s="1664"/>
      <c r="N220" s="1664"/>
      <c r="O220" s="1664"/>
      <c r="P220" s="1664"/>
      <c r="Q220" s="1664"/>
      <c r="R220" s="1664"/>
      <c r="S220" s="1664"/>
      <c r="T220" s="1664"/>
      <c r="U220" s="1664"/>
      <c r="V220" s="1664"/>
      <c r="W220" s="1664"/>
      <c r="X220" s="1664"/>
      <c r="Y220" s="1664"/>
      <c r="Z220" s="1664"/>
      <c r="AA220" s="1664"/>
      <c r="AB220" s="1664"/>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64" t="s">
        <v>921</v>
      </c>
      <c r="F222" s="1664"/>
      <c r="G222" s="1664"/>
      <c r="H222" s="1664"/>
      <c r="I222" s="1664"/>
      <c r="J222" s="1664"/>
      <c r="K222" s="1664"/>
      <c r="L222" s="1664"/>
      <c r="M222" s="1664"/>
      <c r="N222" s="1664"/>
      <c r="O222" s="1664"/>
      <c r="P222" s="1664"/>
      <c r="Q222" s="1664"/>
      <c r="R222" s="1664"/>
      <c r="S222" s="1664"/>
      <c r="T222" s="1664"/>
      <c r="U222" s="1664"/>
      <c r="V222" s="1664"/>
      <c r="W222" s="1664"/>
      <c r="X222" s="1664"/>
      <c r="Y222" s="1664"/>
      <c r="Z222" s="1664"/>
      <c r="AA222" s="1664"/>
      <c r="AB222" s="1664"/>
      <c r="AC222" s="4"/>
      <c r="AD222" s="4"/>
      <c r="AF222" s="1675" t="s">
        <v>110</v>
      </c>
      <c r="AG222" s="1675"/>
      <c r="AH222" s="1675"/>
      <c r="AI222" s="1675"/>
      <c r="AJ222" s="1675"/>
      <c r="AK222" s="1675"/>
      <c r="AL222" s="1675"/>
      <c r="AM222" s="4"/>
      <c r="AN222" s="204"/>
      <c r="AT222" s="21"/>
      <c r="AU222" s="21"/>
      <c r="AV222" s="21"/>
      <c r="AW222" s="21"/>
      <c r="AX222" s="21"/>
      <c r="AY222" s="21"/>
      <c r="AZ222" s="21"/>
    </row>
    <row r="223" spans="1:52" customFormat="1">
      <c r="A223" s="4"/>
      <c r="B223" s="5"/>
      <c r="C223" s="115"/>
      <c r="D223" s="4"/>
      <c r="E223" s="1664"/>
      <c r="F223" s="1664"/>
      <c r="G223" s="1664"/>
      <c r="H223" s="1664"/>
      <c r="I223" s="1664"/>
      <c r="J223" s="1664"/>
      <c r="K223" s="1664"/>
      <c r="L223" s="1664"/>
      <c r="M223" s="1664"/>
      <c r="N223" s="1664"/>
      <c r="O223" s="1664"/>
      <c r="P223" s="1664"/>
      <c r="Q223" s="1664"/>
      <c r="R223" s="1664"/>
      <c r="S223" s="1664"/>
      <c r="T223" s="1664"/>
      <c r="U223" s="1664"/>
      <c r="V223" s="1664"/>
      <c r="W223" s="1664"/>
      <c r="X223" s="1664"/>
      <c r="Y223" s="1664"/>
      <c r="Z223" s="1664"/>
      <c r="AA223" s="1664"/>
      <c r="AB223" s="1664"/>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663" t="s">
        <v>131</v>
      </c>
      <c r="I225" s="1663"/>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37">
        <f>VLOOKUP($H$225,$AO$165:$AP$167,2,FALSE)</f>
        <v>0</v>
      </c>
      <c r="AK227" s="1240"/>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64" t="s">
        <v>1168</v>
      </c>
      <c r="F231" s="1664"/>
      <c r="G231" s="1664"/>
      <c r="H231" s="1664"/>
      <c r="I231" s="1664"/>
      <c r="J231" s="1664"/>
      <c r="K231" s="1664"/>
      <c r="L231" s="1664"/>
      <c r="M231" s="1664"/>
      <c r="N231" s="1664"/>
      <c r="O231" s="1664"/>
      <c r="P231" s="1664"/>
      <c r="Q231" s="1664"/>
      <c r="R231" s="1664"/>
      <c r="S231" s="1664"/>
      <c r="T231" s="1664"/>
      <c r="U231" s="1664"/>
      <c r="V231" s="1664"/>
      <c r="W231" s="1664"/>
      <c r="X231" s="1664"/>
      <c r="Y231" s="1664"/>
      <c r="Z231" s="1664"/>
      <c r="AA231" s="1664"/>
      <c r="AB231" s="1664"/>
      <c r="AC231" s="4"/>
      <c r="AD231" s="4"/>
      <c r="AF231" s="1675" t="s">
        <v>64</v>
      </c>
      <c r="AG231" s="1675"/>
      <c r="AH231" s="1675"/>
      <c r="AI231" s="1675"/>
      <c r="AJ231" s="1675"/>
      <c r="AK231" s="1675"/>
      <c r="AL231" s="1675"/>
      <c r="AM231" s="4"/>
      <c r="AN231" s="204"/>
      <c r="AT231" s="21"/>
      <c r="AU231" s="21"/>
      <c r="AV231" s="21"/>
      <c r="AW231" s="21"/>
      <c r="AX231" s="21"/>
      <c r="AY231" s="21"/>
      <c r="AZ231" s="21"/>
    </row>
    <row r="232" spans="1:82" customFormat="1">
      <c r="A232" s="4"/>
      <c r="B232" s="5"/>
      <c r="C232" s="115"/>
      <c r="D232" s="26"/>
      <c r="E232" s="1664"/>
      <c r="F232" s="1664"/>
      <c r="G232" s="1664"/>
      <c r="H232" s="1664"/>
      <c r="I232" s="1664"/>
      <c r="J232" s="1664"/>
      <c r="K232" s="1664"/>
      <c r="L232" s="1664"/>
      <c r="M232" s="1664"/>
      <c r="N232" s="1664"/>
      <c r="O232" s="1664"/>
      <c r="P232" s="1664"/>
      <c r="Q232" s="1664"/>
      <c r="R232" s="1664"/>
      <c r="S232" s="1664"/>
      <c r="T232" s="1664"/>
      <c r="U232" s="1664"/>
      <c r="V232" s="1664"/>
      <c r="W232" s="1664"/>
      <c r="X232" s="1664"/>
      <c r="Y232" s="1664"/>
      <c r="Z232" s="1664"/>
      <c r="AA232" s="1664"/>
      <c r="AB232" s="1664"/>
      <c r="AC232" s="4"/>
      <c r="AD232" s="4"/>
      <c r="AL232" s="4"/>
      <c r="AM232" s="4"/>
      <c r="AN232" s="204"/>
    </row>
    <row r="233" spans="1:82" customFormat="1" ht="12.75" customHeight="1">
      <c r="A233" s="4"/>
      <c r="B233" s="5"/>
      <c r="C233" s="115"/>
      <c r="D233" s="26"/>
      <c r="E233" s="1664"/>
      <c r="F233" s="1664"/>
      <c r="G233" s="1664"/>
      <c r="H233" s="1664"/>
      <c r="I233" s="1664"/>
      <c r="J233" s="1664"/>
      <c r="K233" s="1664"/>
      <c r="L233" s="1664"/>
      <c r="M233" s="1664"/>
      <c r="N233" s="1664"/>
      <c r="O233" s="1664"/>
      <c r="P233" s="1664"/>
      <c r="Q233" s="1664"/>
      <c r="R233" s="1664"/>
      <c r="S233" s="1664"/>
      <c r="T233" s="1664"/>
      <c r="U233" s="1664"/>
      <c r="V233" s="1664"/>
      <c r="W233" s="1664"/>
      <c r="X233" s="1664"/>
      <c r="Y233" s="1664"/>
      <c r="Z233" s="1664"/>
      <c r="AA233" s="1664"/>
      <c r="AB233" s="1664"/>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64" t="s">
        <v>1169</v>
      </c>
      <c r="F235" s="1664"/>
      <c r="G235" s="1664"/>
      <c r="H235" s="1664"/>
      <c r="I235" s="1664"/>
      <c r="J235" s="1664"/>
      <c r="K235" s="1664"/>
      <c r="L235" s="1664"/>
      <c r="M235" s="1664"/>
      <c r="N235" s="1664"/>
      <c r="O235" s="1664"/>
      <c r="P235" s="1664"/>
      <c r="Q235" s="1664"/>
      <c r="R235" s="1664"/>
      <c r="S235" s="1664"/>
      <c r="T235" s="1664"/>
      <c r="U235" s="1664"/>
      <c r="V235" s="1664"/>
      <c r="W235" s="1664"/>
      <c r="X235" s="1664"/>
      <c r="Y235" s="1664"/>
      <c r="Z235" s="1664"/>
      <c r="AA235" s="1664"/>
      <c r="AB235" s="344"/>
      <c r="AC235" s="4"/>
      <c r="AD235" s="4"/>
      <c r="AF235" s="1675" t="s">
        <v>110</v>
      </c>
      <c r="AG235" s="1675"/>
      <c r="AH235" s="1675"/>
      <c r="AI235" s="1675"/>
      <c r="AJ235" s="1675"/>
      <c r="AK235" s="1675"/>
      <c r="AL235" s="1675"/>
      <c r="AM235" s="4"/>
      <c r="AN235" s="204"/>
      <c r="AO235" s="38"/>
      <c r="AP235" s="21"/>
    </row>
    <row r="236" spans="1:82" customFormat="1">
      <c r="A236" s="4"/>
      <c r="B236" s="5"/>
      <c r="C236" s="45"/>
      <c r="D236" s="4"/>
      <c r="E236" s="1664"/>
      <c r="F236" s="1664"/>
      <c r="G236" s="1664"/>
      <c r="H236" s="1664"/>
      <c r="I236" s="1664"/>
      <c r="J236" s="1664"/>
      <c r="K236" s="1664"/>
      <c r="L236" s="1664"/>
      <c r="M236" s="1664"/>
      <c r="N236" s="1664"/>
      <c r="O236" s="1664"/>
      <c r="P236" s="1664"/>
      <c r="Q236" s="1664"/>
      <c r="R236" s="1664"/>
      <c r="S236" s="1664"/>
      <c r="T236" s="1664"/>
      <c r="U236" s="1664"/>
      <c r="V236" s="1664"/>
      <c r="W236" s="1664"/>
      <c r="X236" s="1664"/>
      <c r="Y236" s="1664"/>
      <c r="Z236" s="1664"/>
      <c r="AA236" s="1664"/>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4"/>
      <c r="F237" s="1664"/>
      <c r="G237" s="1664"/>
      <c r="H237" s="1664"/>
      <c r="I237" s="1664"/>
      <c r="J237" s="1664"/>
      <c r="K237" s="1664"/>
      <c r="L237" s="1664"/>
      <c r="M237" s="1664"/>
      <c r="N237" s="1664"/>
      <c r="O237" s="1664"/>
      <c r="P237" s="1664"/>
      <c r="Q237" s="1664"/>
      <c r="R237" s="1664"/>
      <c r="S237" s="1664"/>
      <c r="T237" s="1664"/>
      <c r="U237" s="1664"/>
      <c r="V237" s="1664"/>
      <c r="W237" s="1664"/>
      <c r="X237" s="1664"/>
      <c r="Y237" s="1664"/>
      <c r="Z237" s="1664"/>
      <c r="AA237" s="1664"/>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663" t="s">
        <v>131</v>
      </c>
      <c r="I239" s="1663"/>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37">
        <f>VLOOKUP($H$239,$AO$178:$AP$180,2,FALSE)</f>
        <v>0</v>
      </c>
      <c r="AK241" s="1240"/>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64" t="s">
        <v>336</v>
      </c>
      <c r="F245" s="1664"/>
      <c r="G245" s="1664"/>
      <c r="H245" s="1664"/>
      <c r="I245" s="1664"/>
      <c r="J245" s="1664"/>
      <c r="K245" s="1664"/>
      <c r="L245" s="1664"/>
      <c r="M245" s="1664"/>
      <c r="N245" s="1664"/>
      <c r="O245" s="1664"/>
      <c r="P245" s="1664"/>
      <c r="Q245" s="1664"/>
      <c r="R245" s="1664"/>
      <c r="S245" s="1664"/>
      <c r="T245" s="1664"/>
      <c r="U245" s="1664"/>
      <c r="V245" s="1664"/>
      <c r="W245" s="1664"/>
      <c r="X245" s="1664"/>
      <c r="Y245" s="1664"/>
      <c r="Z245" s="1664"/>
      <c r="AA245" s="1664"/>
      <c r="AB245" s="1664"/>
      <c r="AC245" s="4"/>
      <c r="AD245" s="4"/>
      <c r="AF245" s="1675" t="s">
        <v>110</v>
      </c>
      <c r="AG245" s="1675"/>
      <c r="AH245" s="1675"/>
      <c r="AI245" s="1675"/>
      <c r="AJ245" s="1675"/>
      <c r="AK245" s="1675"/>
      <c r="AL245" s="1675"/>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4"/>
      <c r="F246" s="1664"/>
      <c r="G246" s="1664"/>
      <c r="H246" s="1664"/>
      <c r="I246" s="1664"/>
      <c r="J246" s="1664"/>
      <c r="K246" s="1664"/>
      <c r="L246" s="1664"/>
      <c r="M246" s="1664"/>
      <c r="N246" s="1664"/>
      <c r="O246" s="1664"/>
      <c r="P246" s="1664"/>
      <c r="Q246" s="1664"/>
      <c r="R246" s="1664"/>
      <c r="S246" s="1664"/>
      <c r="T246" s="1664"/>
      <c r="U246" s="1664"/>
      <c r="V246" s="1664"/>
      <c r="W246" s="1664"/>
      <c r="X246" s="1664"/>
      <c r="Y246" s="1664"/>
      <c r="Z246" s="1664"/>
      <c r="AA246" s="1664"/>
      <c r="AB246" s="1664"/>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64" t="s">
        <v>1307</v>
      </c>
      <c r="F248" s="1664"/>
      <c r="G248" s="1664"/>
      <c r="H248" s="1664"/>
      <c r="I248" s="1664"/>
      <c r="J248" s="1664"/>
      <c r="K248" s="1664"/>
      <c r="L248" s="1664"/>
      <c r="M248" s="1664"/>
      <c r="N248" s="1664"/>
      <c r="O248" s="1664"/>
      <c r="P248" s="1664"/>
      <c r="Q248" s="1664"/>
      <c r="R248" s="1664"/>
      <c r="S248" s="1664"/>
      <c r="T248" s="1664"/>
      <c r="U248" s="1664"/>
      <c r="V248" s="1664"/>
      <c r="W248" s="1664"/>
      <c r="X248" s="1664"/>
      <c r="Y248" s="1664"/>
      <c r="Z248" s="1664"/>
      <c r="AA248" s="1664"/>
      <c r="AB248" s="1664"/>
      <c r="AC248" s="4"/>
      <c r="AD248" s="4"/>
      <c r="AF248" s="1675" t="s">
        <v>337</v>
      </c>
      <c r="AG248" s="1675"/>
      <c r="AH248" s="1675"/>
      <c r="AI248" s="1675"/>
      <c r="AJ248" s="1675"/>
      <c r="AK248" s="1675"/>
      <c r="AL248" s="1675"/>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4"/>
      <c r="F249" s="1664"/>
      <c r="G249" s="1664"/>
      <c r="H249" s="1664"/>
      <c r="I249" s="1664"/>
      <c r="J249" s="1664"/>
      <c r="K249" s="1664"/>
      <c r="L249" s="1664"/>
      <c r="M249" s="1664"/>
      <c r="N249" s="1664"/>
      <c r="O249" s="1664"/>
      <c r="P249" s="1664"/>
      <c r="Q249" s="1664"/>
      <c r="R249" s="1664"/>
      <c r="S249" s="1664"/>
      <c r="T249" s="1664"/>
      <c r="U249" s="1664"/>
      <c r="V249" s="1664"/>
      <c r="W249" s="1664"/>
      <c r="X249" s="1664"/>
      <c r="Y249" s="1664"/>
      <c r="Z249" s="1664"/>
      <c r="AA249" s="1664"/>
      <c r="AB249" s="1664"/>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663" t="s">
        <v>610</v>
      </c>
      <c r="I251" s="1663"/>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37">
        <f>VLOOKUP($H$251,$AO$191:$AP$193,2,FALSE)</f>
        <v>2</v>
      </c>
      <c r="AK253" s="1240"/>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65" customHeight="1">
      <c r="A257" s="4"/>
      <c r="B257" s="102"/>
      <c r="C257" s="137"/>
      <c r="D257" s="26" t="s">
        <v>610</v>
      </c>
      <c r="E257" s="1664" t="s">
        <v>2042</v>
      </c>
      <c r="F257" s="1664"/>
      <c r="G257" s="1664"/>
      <c r="H257" s="1664"/>
      <c r="I257" s="1664"/>
      <c r="J257" s="1664"/>
      <c r="K257" s="1664"/>
      <c r="L257" s="1664"/>
      <c r="M257" s="1664"/>
      <c r="N257" s="1664"/>
      <c r="O257" s="1664"/>
      <c r="P257" s="1664"/>
      <c r="Q257" s="1664"/>
      <c r="R257" s="1664"/>
      <c r="S257" s="1664"/>
      <c r="T257" s="1664"/>
      <c r="U257" s="1664"/>
      <c r="V257" s="1664"/>
      <c r="W257" s="1664"/>
      <c r="X257" s="1664"/>
      <c r="Y257" s="1664"/>
      <c r="Z257" s="1664"/>
      <c r="AA257" s="1664"/>
      <c r="AB257" s="1664"/>
      <c r="AC257" s="1664"/>
      <c r="AD257" s="1664"/>
      <c r="AF257" s="1675" t="s">
        <v>110</v>
      </c>
      <c r="AG257" s="1675"/>
      <c r="AH257" s="1675"/>
      <c r="AI257" s="1675"/>
      <c r="AJ257" s="1675"/>
      <c r="AK257" s="1675"/>
      <c r="AL257" s="1675"/>
      <c r="AM257" s="104"/>
      <c r="AN257" s="204"/>
    </row>
    <row r="258" spans="1:82" customFormat="1">
      <c r="A258" s="4"/>
      <c r="B258" s="102"/>
      <c r="C258" s="137"/>
      <c r="D258" s="26"/>
      <c r="E258" s="1664"/>
      <c r="F258" s="1664"/>
      <c r="G258" s="1664"/>
      <c r="H258" s="1664"/>
      <c r="I258" s="1664"/>
      <c r="J258" s="1664"/>
      <c r="K258" s="1664"/>
      <c r="L258" s="1664"/>
      <c r="M258" s="1664"/>
      <c r="N258" s="1664"/>
      <c r="O258" s="1664"/>
      <c r="P258" s="1664"/>
      <c r="Q258" s="1664"/>
      <c r="R258" s="1664"/>
      <c r="S258" s="1664"/>
      <c r="T258" s="1664"/>
      <c r="U258" s="1664"/>
      <c r="V258" s="1664"/>
      <c r="W258" s="1664"/>
      <c r="X258" s="1664"/>
      <c r="Y258" s="1664"/>
      <c r="Z258" s="1664"/>
      <c r="AA258" s="1664"/>
      <c r="AB258" s="1664"/>
      <c r="AC258" s="1664"/>
      <c r="AD258" s="1664"/>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4"/>
      <c r="F259" s="1664"/>
      <c r="G259" s="1664"/>
      <c r="H259" s="1664"/>
      <c r="I259" s="1664"/>
      <c r="J259" s="1664"/>
      <c r="K259" s="1664"/>
      <c r="L259" s="1664"/>
      <c r="M259" s="1664"/>
      <c r="N259" s="1664"/>
      <c r="O259" s="1664"/>
      <c r="P259" s="1664"/>
      <c r="Q259" s="1664"/>
      <c r="R259" s="1664"/>
      <c r="S259" s="1664"/>
      <c r="T259" s="1664"/>
      <c r="U259" s="1664"/>
      <c r="V259" s="1664"/>
      <c r="W259" s="1664"/>
      <c r="X259" s="1664"/>
      <c r="Y259" s="1664"/>
      <c r="Z259" s="1664"/>
      <c r="AA259" s="1664"/>
      <c r="AB259" s="1664"/>
      <c r="AC259" s="1664"/>
      <c r="AD259" s="1664"/>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672" t="s">
        <v>2043</v>
      </c>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F261" s="1675" t="s">
        <v>64</v>
      </c>
      <c r="AG261" s="1675"/>
      <c r="AH261" s="1675"/>
      <c r="AI261" s="1675"/>
      <c r="AJ261" s="1675"/>
      <c r="AK261" s="1675"/>
      <c r="AL261" s="1675"/>
      <c r="AM261" s="104"/>
      <c r="AN261" s="281"/>
    </row>
    <row r="262" spans="1:82" s="4" customFormat="1" ht="12.75" customHeight="1">
      <c r="B262" s="102"/>
      <c r="C262" s="137"/>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8"/>
      <c r="AF262" s="108"/>
      <c r="AG262" s="108"/>
      <c r="AH262" s="108"/>
      <c r="AI262" s="108"/>
      <c r="AJ262" s="108"/>
      <c r="AK262" s="108"/>
      <c r="AL262" s="108"/>
      <c r="AM262" s="104"/>
      <c r="AN262" s="281"/>
    </row>
    <row r="263" spans="1:82" s="4" customFormat="1" ht="12.75" customHeight="1">
      <c r="B263" s="102"/>
      <c r="C263" s="137"/>
      <c r="D263" s="26"/>
      <c r="E263" s="1672"/>
      <c r="F263" s="1672"/>
      <c r="G263" s="1672"/>
      <c r="H263" s="1672"/>
      <c r="I263" s="1672"/>
      <c r="J263" s="1672"/>
      <c r="K263" s="1672"/>
      <c r="L263" s="1672"/>
      <c r="M263" s="1672"/>
      <c r="N263" s="1672"/>
      <c r="O263" s="1672"/>
      <c r="P263" s="1672"/>
      <c r="Q263" s="1672"/>
      <c r="R263" s="1672"/>
      <c r="S263" s="1672"/>
      <c r="T263" s="1672"/>
      <c r="U263" s="1672"/>
      <c r="V263" s="1672"/>
      <c r="W263" s="1672"/>
      <c r="X263" s="1672"/>
      <c r="Y263" s="1672"/>
      <c r="Z263" s="1672"/>
      <c r="AA263" s="1672"/>
      <c r="AB263" s="1672"/>
      <c r="AC263" s="1672"/>
      <c r="AD263" s="1672"/>
      <c r="AE263" s="108"/>
      <c r="AF263" s="108"/>
      <c r="AG263" s="108"/>
      <c r="AH263" s="108"/>
      <c r="AI263" s="108"/>
      <c r="AJ263" s="108"/>
      <c r="AK263" s="108"/>
      <c r="AL263" s="108"/>
      <c r="AM263" s="104"/>
      <c r="AN263" s="281"/>
    </row>
    <row r="264" spans="1:82" s="4" customFormat="1" ht="12.75" customHeight="1">
      <c r="B264" s="102"/>
      <c r="C264" s="137"/>
      <c r="D264" s="26"/>
      <c r="E264" s="1672"/>
      <c r="F264" s="1672"/>
      <c r="G264" s="1672"/>
      <c r="H264" s="1672"/>
      <c r="I264" s="1672"/>
      <c r="J264" s="1672"/>
      <c r="K264" s="1672"/>
      <c r="L264" s="1672"/>
      <c r="M264" s="1672"/>
      <c r="N264" s="1672"/>
      <c r="O264" s="1672"/>
      <c r="P264" s="1672"/>
      <c r="Q264" s="1672"/>
      <c r="R264" s="1672"/>
      <c r="S264" s="1672"/>
      <c r="T264" s="1672"/>
      <c r="U264" s="1672"/>
      <c r="V264" s="1672"/>
      <c r="W264" s="1672"/>
      <c r="X264" s="1672"/>
      <c r="Y264" s="1672"/>
      <c r="Z264" s="1672"/>
      <c r="AA264" s="1672"/>
      <c r="AB264" s="1672"/>
      <c r="AC264" s="1672"/>
      <c r="AD264" s="1672"/>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663" t="s">
        <v>131</v>
      </c>
      <c r="I266" s="166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37">
        <f>VLOOKUP($H$266,$AP$211:$AQ$213,2,FALSE)</f>
        <v>0</v>
      </c>
      <c r="AK268" s="1240"/>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65" customHeight="1">
      <c r="A272" s="4"/>
      <c r="B272" s="102"/>
      <c r="C272" s="137"/>
      <c r="D272" s="26" t="s">
        <v>610</v>
      </c>
      <c r="E272" s="1664" t="s">
        <v>2332</v>
      </c>
      <c r="F272" s="1664"/>
      <c r="G272" s="1664"/>
      <c r="H272" s="1664"/>
      <c r="I272" s="1664"/>
      <c r="J272" s="1664"/>
      <c r="K272" s="1664"/>
      <c r="L272" s="1664"/>
      <c r="M272" s="1664"/>
      <c r="N272" s="1664"/>
      <c r="O272" s="1664"/>
      <c r="P272" s="1664"/>
      <c r="Q272" s="1664"/>
      <c r="R272" s="1664"/>
      <c r="S272" s="1664"/>
      <c r="T272" s="1664"/>
      <c r="U272" s="1664"/>
      <c r="V272" s="1664"/>
      <c r="W272" s="1664"/>
      <c r="X272" s="1664"/>
      <c r="Y272" s="1664"/>
      <c r="Z272" s="1664"/>
      <c r="AA272" s="1664"/>
      <c r="AB272" s="1664"/>
      <c r="AC272" s="1664"/>
      <c r="AD272" s="1664"/>
      <c r="AF272" s="1675" t="s">
        <v>1702</v>
      </c>
      <c r="AG272" s="1675"/>
      <c r="AH272" s="1675"/>
      <c r="AI272" s="1675"/>
      <c r="AJ272" s="1675"/>
      <c r="AK272" s="1675"/>
      <c r="AL272" s="1675"/>
      <c r="AM272" s="104"/>
      <c r="AN272" s="204"/>
      <c r="AO272" s="26" t="s">
        <v>115</v>
      </c>
      <c r="AP272" s="4">
        <v>8</v>
      </c>
      <c r="AT272" s="432"/>
      <c r="AU272" s="432"/>
      <c r="AV272" s="432"/>
      <c r="AW272" s="432"/>
      <c r="AX272" s="432"/>
      <c r="AY272" s="432"/>
      <c r="AZ272" s="432"/>
    </row>
    <row r="273" spans="1:82" customFormat="1">
      <c r="A273" s="4"/>
      <c r="B273" s="102"/>
      <c r="C273" s="137"/>
      <c r="D273" s="26"/>
      <c r="E273" s="1664"/>
      <c r="F273" s="1664"/>
      <c r="G273" s="1664"/>
      <c r="H273" s="1664"/>
      <c r="I273" s="1664"/>
      <c r="J273" s="1664"/>
      <c r="K273" s="1664"/>
      <c r="L273" s="1664"/>
      <c r="M273" s="1664"/>
      <c r="N273" s="1664"/>
      <c r="O273" s="1664"/>
      <c r="P273" s="1664"/>
      <c r="Q273" s="1664"/>
      <c r="R273" s="1664"/>
      <c r="S273" s="1664"/>
      <c r="T273" s="1664"/>
      <c r="U273" s="1664"/>
      <c r="V273" s="1664"/>
      <c r="W273" s="1664"/>
      <c r="X273" s="1664"/>
      <c r="Y273" s="1664"/>
      <c r="Z273" s="1664"/>
      <c r="AA273" s="1664"/>
      <c r="AB273" s="1664"/>
      <c r="AC273" s="1664"/>
      <c r="AD273" s="1664"/>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4"/>
      <c r="F274" s="1664"/>
      <c r="G274" s="1664"/>
      <c r="H274" s="1664"/>
      <c r="I274" s="1664"/>
      <c r="J274" s="1664"/>
      <c r="K274" s="1664"/>
      <c r="L274" s="1664"/>
      <c r="M274" s="1664"/>
      <c r="N274" s="1664"/>
      <c r="O274" s="1664"/>
      <c r="P274" s="1664"/>
      <c r="Q274" s="1664"/>
      <c r="R274" s="1664"/>
      <c r="S274" s="1664"/>
      <c r="T274" s="1664"/>
      <c r="U274" s="1664"/>
      <c r="V274" s="1664"/>
      <c r="W274" s="1664"/>
      <c r="X274" s="1664"/>
      <c r="Y274" s="1664"/>
      <c r="Z274" s="1664"/>
      <c r="AA274" s="1664"/>
      <c r="AB274" s="1664"/>
      <c r="AC274" s="1664"/>
      <c r="AD274" s="1664"/>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663" t="s">
        <v>131</v>
      </c>
      <c r="I276" s="1663"/>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37">
        <f>VLOOKUP($H$276,$AO$271:$AP$272,2,FALSE)</f>
        <v>0</v>
      </c>
      <c r="AK278" s="1240"/>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7">
        <f>$AJ$124+$AJ$139+$AJ$151+$AJ$184+$AJ$203+$AJ$215+$AJ$227+$AJ$241+$AJ$253+$AJ$268+AJ278</f>
        <v>18</v>
      </c>
      <c r="AL280" s="1238"/>
      <c r="AM280" s="1240"/>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084" t="s">
        <v>2427</v>
      </c>
      <c r="I284" s="1084"/>
      <c r="J284" s="1084"/>
      <c r="K284" s="1084"/>
      <c r="L284" s="1084"/>
      <c r="M284" s="1084"/>
      <c r="N284" s="1084"/>
      <c r="O284" s="1084"/>
      <c r="P284" s="1084"/>
      <c r="Q284" s="1084"/>
      <c r="R284" s="1084"/>
      <c r="S284"/>
      <c r="T284" s="41" t="s">
        <v>96</v>
      </c>
      <c r="U284"/>
      <c r="V284" s="41"/>
      <c r="W284" s="41"/>
      <c r="X284" s="41"/>
      <c r="Y284" s="41"/>
      <c r="Z284"/>
      <c r="AA284" s="1084" t="s">
        <v>2433</v>
      </c>
      <c r="AB284" s="1084"/>
      <c r="AC284" s="1084"/>
      <c r="AD284" s="1084"/>
      <c r="AE284" s="1084"/>
      <c r="AF284" s="1084"/>
      <c r="AG284" s="1084"/>
      <c r="AH284" s="1084"/>
      <c r="AI284" s="1084"/>
      <c r="AJ284" s="1084"/>
      <c r="AK284" s="1084"/>
      <c r="AL284" s="10"/>
      <c r="AN284" s="281"/>
    </row>
    <row r="285" spans="1:82" s="4" customFormat="1" ht="12.75" customHeight="1">
      <c r="B285" s="41" t="s">
        <v>733</v>
      </c>
      <c r="C285" s="41"/>
      <c r="D285" s="41"/>
      <c r="E285" s="41"/>
      <c r="F285" s="41"/>
      <c r="G285"/>
      <c r="H285" s="1085" t="s">
        <v>2428</v>
      </c>
      <c r="I285" s="1085"/>
      <c r="J285" s="1085"/>
      <c r="K285" s="1085"/>
      <c r="L285" s="1085"/>
      <c r="M285" s="1085"/>
      <c r="N285" s="1085"/>
      <c r="O285" s="1085"/>
      <c r="P285" s="1085"/>
      <c r="Q285" s="1085"/>
      <c r="R285" s="1085"/>
      <c r="S285"/>
      <c r="T285" s="41" t="s">
        <v>733</v>
      </c>
      <c r="U285"/>
      <c r="V285" s="41"/>
      <c r="W285" s="41"/>
      <c r="X285" s="41"/>
      <c r="Y285" s="41"/>
      <c r="Z285"/>
      <c r="AA285" s="1085" t="s">
        <v>2434</v>
      </c>
      <c r="AB285" s="1085"/>
      <c r="AC285" s="1085"/>
      <c r="AD285" s="1085"/>
      <c r="AE285" s="1085"/>
      <c r="AF285" s="1085"/>
      <c r="AG285" s="1085"/>
      <c r="AH285" s="1085"/>
      <c r="AI285" s="1085"/>
      <c r="AJ285" s="1085"/>
      <c r="AK285" s="1085"/>
      <c r="AL285" s="10"/>
      <c r="AN285" s="281"/>
    </row>
    <row r="286" spans="1:82" s="4" customFormat="1" ht="12.75" customHeight="1">
      <c r="B286" s="41" t="s">
        <v>106</v>
      </c>
      <c r="C286" s="41"/>
      <c r="D286" s="41"/>
      <c r="E286" s="41"/>
      <c r="F286" s="41"/>
      <c r="G286"/>
      <c r="H286" s="1085" t="s">
        <v>2429</v>
      </c>
      <c r="I286" s="1085"/>
      <c r="J286" s="1085"/>
      <c r="K286" s="1085"/>
      <c r="L286" s="1085"/>
      <c r="M286" s="1085"/>
      <c r="N286" s="1085"/>
      <c r="O286" s="1085"/>
      <c r="P286" s="1085"/>
      <c r="Q286" s="1085"/>
      <c r="R286" s="1085"/>
      <c r="S286"/>
      <c r="T286" s="41" t="s">
        <v>106</v>
      </c>
      <c r="U286"/>
      <c r="V286" s="41"/>
      <c r="W286" s="41"/>
      <c r="X286" s="41"/>
      <c r="Y286" s="41"/>
      <c r="Z286"/>
      <c r="AA286" s="1085" t="s">
        <v>2435</v>
      </c>
      <c r="AB286" s="1085"/>
      <c r="AC286" s="1085"/>
      <c r="AD286" s="1085"/>
      <c r="AE286" s="1085"/>
      <c r="AF286" s="1085"/>
      <c r="AG286" s="1085"/>
      <c r="AH286" s="1085"/>
      <c r="AI286" s="1085"/>
      <c r="AJ286" s="1085"/>
      <c r="AK286" s="1085"/>
      <c r="AL286" s="10"/>
      <c r="AN286" s="281"/>
      <c r="AO286" s="211"/>
    </row>
    <row r="287" spans="1:82" s="4" customFormat="1" ht="12.75" customHeight="1">
      <c r="B287" s="41" t="s">
        <v>397</v>
      </c>
      <c r="C287" s="41"/>
      <c r="D287" s="41"/>
      <c r="E287" s="41"/>
      <c r="F287" s="41"/>
      <c r="G287"/>
      <c r="H287" s="1085" t="s">
        <v>2430</v>
      </c>
      <c r="I287" s="1085"/>
      <c r="J287" s="1085"/>
      <c r="K287" s="1085"/>
      <c r="L287" s="1085"/>
      <c r="M287" s="1085"/>
      <c r="N287" s="1085"/>
      <c r="O287" s="1085"/>
      <c r="P287" s="1085"/>
      <c r="Q287" s="1085"/>
      <c r="R287" s="1085"/>
      <c r="S287"/>
      <c r="T287" s="41" t="s">
        <v>397</v>
      </c>
      <c r="U287"/>
      <c r="V287" s="41"/>
      <c r="W287" s="41"/>
      <c r="X287" s="41"/>
      <c r="Y287" s="41"/>
      <c r="Z287"/>
      <c r="AA287" s="1085" t="s">
        <v>2430</v>
      </c>
      <c r="AB287" s="1085"/>
      <c r="AC287" s="1085"/>
      <c r="AD287" s="1085"/>
      <c r="AE287" s="1085"/>
      <c r="AF287" s="1085"/>
      <c r="AG287" s="1085"/>
      <c r="AH287" s="1085"/>
      <c r="AI287" s="1085"/>
      <c r="AJ287" s="1085"/>
      <c r="AK287" s="1085"/>
      <c r="AL287" s="10"/>
      <c r="AN287" s="281"/>
      <c r="AO287" s="211"/>
    </row>
    <row r="288" spans="1:82" s="4" customFormat="1" ht="12.75" customHeight="1">
      <c r="B288" s="41" t="s">
        <v>398</v>
      </c>
      <c r="C288" s="41"/>
      <c r="D288" s="41"/>
      <c r="E288" s="41"/>
      <c r="F288" s="41"/>
      <c r="G288" s="41"/>
      <c r="H288" s="1107">
        <v>9163212877</v>
      </c>
      <c r="I288" s="1107"/>
      <c r="J288" s="1107"/>
      <c r="K288" s="1107"/>
      <c r="L288" s="1107"/>
      <c r="M288" s="1107"/>
      <c r="N288" s="5" t="s">
        <v>857</v>
      </c>
      <c r="O288" s="5"/>
      <c r="P288" s="1110"/>
      <c r="Q288" s="1110"/>
      <c r="R288" s="1110"/>
      <c r="S288" s="41"/>
      <c r="T288" s="41" t="s">
        <v>398</v>
      </c>
      <c r="U288"/>
      <c r="V288" s="41"/>
      <c r="W288" s="41"/>
      <c r="X288" s="41"/>
      <c r="Y288" s="41"/>
      <c r="Z288"/>
      <c r="AA288" s="1107">
        <v>9169887373</v>
      </c>
      <c r="AB288" s="1107"/>
      <c r="AC288" s="1107"/>
      <c r="AD288" s="1107"/>
      <c r="AE288" s="1107"/>
      <c r="AF288" s="1107"/>
      <c r="AG288" s="5" t="s">
        <v>857</v>
      </c>
      <c r="AH288" s="5"/>
      <c r="AI288" s="1110"/>
      <c r="AJ288" s="1110"/>
      <c r="AK288" s="1110"/>
      <c r="AL288" s="10"/>
      <c r="AN288" s="281"/>
      <c r="AO288" s="211"/>
    </row>
    <row r="289" spans="1:41" s="4" customFormat="1" ht="12.75" customHeight="1">
      <c r="B289" s="41" t="s">
        <v>95</v>
      </c>
      <c r="C289" s="41"/>
      <c r="D289" s="41"/>
      <c r="E289" s="41"/>
      <c r="F289" s="41"/>
      <c r="G289" s="41"/>
      <c r="H289" s="1085" t="s">
        <v>98</v>
      </c>
      <c r="I289" s="1085"/>
      <c r="J289" s="1085"/>
      <c r="K289" s="1085"/>
      <c r="L289" s="1085"/>
      <c r="M289" s="1085"/>
      <c r="N289" s="1085"/>
      <c r="O289" s="1085"/>
      <c r="P289" s="1085"/>
      <c r="Q289" s="1085"/>
      <c r="R289" s="1085"/>
      <c r="S289" s="41"/>
      <c r="T289" s="41" t="s">
        <v>95</v>
      </c>
      <c r="U289"/>
      <c r="V289" s="41"/>
      <c r="W289" s="41"/>
      <c r="X289" s="41"/>
      <c r="Y289" s="41"/>
      <c r="Z289"/>
      <c r="AA289" s="1085" t="s">
        <v>99</v>
      </c>
      <c r="AB289" s="1085"/>
      <c r="AC289" s="1085"/>
      <c r="AD289" s="1085"/>
      <c r="AE289" s="1085"/>
      <c r="AF289" s="1085"/>
      <c r="AG289" s="1085"/>
      <c r="AH289" s="1085"/>
      <c r="AI289" s="1085"/>
      <c r="AJ289" s="1085"/>
      <c r="AK289" s="1085"/>
      <c r="AL289" s="10"/>
      <c r="AN289" s="281"/>
      <c r="AO289" s="211"/>
    </row>
    <row r="290" spans="1:41" s="4" customFormat="1" ht="12.75" customHeight="1">
      <c r="B290" s="41" t="s">
        <v>97</v>
      </c>
      <c r="C290" s="41"/>
      <c r="D290" s="41"/>
      <c r="E290" s="41"/>
      <c r="F290" s="41"/>
      <c r="G290" s="41"/>
      <c r="H290" s="1085" t="s">
        <v>2431</v>
      </c>
      <c r="I290" s="1085"/>
      <c r="J290" s="1085"/>
      <c r="K290" s="1085"/>
      <c r="L290" s="1085"/>
      <c r="M290" s="1085"/>
      <c r="N290" s="1085"/>
      <c r="O290" s="1085"/>
      <c r="P290" s="1085"/>
      <c r="Q290" s="1085"/>
      <c r="R290" s="1085"/>
      <c r="S290" s="41"/>
      <c r="T290" s="41" t="s">
        <v>97</v>
      </c>
      <c r="U290"/>
      <c r="V290" s="41"/>
      <c r="W290" s="41"/>
      <c r="X290" s="41"/>
      <c r="Y290" s="41"/>
      <c r="Z290"/>
      <c r="AA290" s="1085" t="s">
        <v>2436</v>
      </c>
      <c r="AB290" s="1085"/>
      <c r="AC290" s="1085"/>
      <c r="AD290" s="1085"/>
      <c r="AE290" s="1085"/>
      <c r="AF290" s="1085"/>
      <c r="AG290" s="1085"/>
      <c r="AH290" s="1085"/>
      <c r="AI290" s="1085"/>
      <c r="AJ290" s="1085"/>
      <c r="AK290" s="1085"/>
      <c r="AL290" s="10"/>
      <c r="AN290" s="281"/>
    </row>
    <row r="291" spans="1:41" s="4" customFormat="1" ht="12.75" customHeight="1">
      <c r="B291" s="41" t="s">
        <v>108</v>
      </c>
      <c r="C291" s="41"/>
      <c r="D291" s="41"/>
      <c r="E291" s="41"/>
      <c r="F291" s="41"/>
      <c r="G291" s="41"/>
      <c r="H291" s="1705" t="s">
        <v>2432</v>
      </c>
      <c r="I291" s="1705"/>
      <c r="J291" s="1705"/>
      <c r="K291" s="1705"/>
      <c r="L291" s="1705"/>
      <c r="M291" s="1705"/>
      <c r="N291" s="1705"/>
      <c r="O291" s="1705"/>
      <c r="P291" s="1705"/>
      <c r="Q291" s="1705"/>
      <c r="R291" s="1705"/>
      <c r="S291" s="41"/>
      <c r="T291" s="41" t="s">
        <v>108</v>
      </c>
      <c r="U291" s="41"/>
      <c r="V291" s="41"/>
      <c r="W291" s="41"/>
      <c r="X291" s="41"/>
      <c r="Y291" s="41"/>
      <c r="Z291" s="12"/>
      <c r="AA291" s="1705" t="s">
        <v>2437</v>
      </c>
      <c r="AB291" s="1705"/>
      <c r="AC291" s="1705"/>
      <c r="AD291" s="1705"/>
      <c r="AE291" s="1705"/>
      <c r="AF291" s="1705"/>
      <c r="AG291" s="1705"/>
      <c r="AH291" s="1705"/>
      <c r="AI291" s="1705"/>
      <c r="AJ291" s="1705"/>
      <c r="AK291" s="1705"/>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084" t="s">
        <v>2438</v>
      </c>
      <c r="I293" s="1084"/>
      <c r="J293" s="1084"/>
      <c r="K293" s="1084"/>
      <c r="L293" s="1084"/>
      <c r="M293" s="1084"/>
      <c r="N293" s="1084"/>
      <c r="O293" s="1084"/>
      <c r="P293" s="1084"/>
      <c r="Q293" s="1084"/>
      <c r="R293" s="1084"/>
      <c r="S293"/>
      <c r="T293" s="41" t="s">
        <v>96</v>
      </c>
      <c r="U293"/>
      <c r="V293" s="41"/>
      <c r="W293" s="41"/>
      <c r="X293" s="41"/>
      <c r="Y293" s="41"/>
      <c r="Z293"/>
      <c r="AA293" s="1084" t="s">
        <v>2442</v>
      </c>
      <c r="AB293" s="1084"/>
      <c r="AC293" s="1084"/>
      <c r="AD293" s="1084"/>
      <c r="AE293" s="1084"/>
      <c r="AF293" s="1084"/>
      <c r="AG293" s="1084"/>
      <c r="AH293" s="1084"/>
      <c r="AI293" s="1084"/>
      <c r="AJ293" s="1084"/>
      <c r="AK293" s="1084"/>
      <c r="AL293" s="10"/>
      <c r="AN293" s="281"/>
    </row>
    <row r="294" spans="1:41" s="20" customFormat="1" ht="12.75" customHeight="1">
      <c r="A294" s="4"/>
      <c r="B294" s="41" t="s">
        <v>733</v>
      </c>
      <c r="C294" s="41"/>
      <c r="D294" s="41"/>
      <c r="E294" s="41"/>
      <c r="F294" s="41"/>
      <c r="G294"/>
      <c r="H294" s="1085" t="s">
        <v>2439</v>
      </c>
      <c r="I294" s="1085"/>
      <c r="J294" s="1085"/>
      <c r="K294" s="1085"/>
      <c r="L294" s="1085"/>
      <c r="M294" s="1085"/>
      <c r="N294" s="1085"/>
      <c r="O294" s="1085"/>
      <c r="P294" s="1085"/>
      <c r="Q294" s="1085"/>
      <c r="R294" s="1085"/>
      <c r="S294"/>
      <c r="T294" s="41" t="s">
        <v>733</v>
      </c>
      <c r="U294"/>
      <c r="V294" s="41"/>
      <c r="W294" s="41"/>
      <c r="X294" s="41"/>
      <c r="Y294" s="41"/>
      <c r="Z294"/>
      <c r="AA294" s="1085" t="s">
        <v>2443</v>
      </c>
      <c r="AB294" s="1085"/>
      <c r="AC294" s="1085"/>
      <c r="AD294" s="1085"/>
      <c r="AE294" s="1085"/>
      <c r="AF294" s="1085"/>
      <c r="AG294" s="1085"/>
      <c r="AH294" s="1085"/>
      <c r="AI294" s="1085"/>
      <c r="AJ294" s="1085"/>
      <c r="AK294" s="1085"/>
      <c r="AL294" s="10"/>
      <c r="AM294" s="4"/>
      <c r="AN294" s="281"/>
      <c r="AO294" s="4"/>
    </row>
    <row r="295" spans="1:41" s="20" customFormat="1" ht="12.75" customHeight="1">
      <c r="A295" s="4"/>
      <c r="B295" s="41" t="s">
        <v>106</v>
      </c>
      <c r="C295" s="41"/>
      <c r="D295" s="41"/>
      <c r="E295" s="41"/>
      <c r="F295" s="41"/>
      <c r="G295"/>
      <c r="H295" s="1085" t="s">
        <v>2435</v>
      </c>
      <c r="I295" s="1085"/>
      <c r="J295" s="1085"/>
      <c r="K295" s="1085"/>
      <c r="L295" s="1085"/>
      <c r="M295" s="1085"/>
      <c r="N295" s="1085"/>
      <c r="O295" s="1085"/>
      <c r="P295" s="1085"/>
      <c r="Q295" s="1085"/>
      <c r="R295" s="1085"/>
      <c r="S295"/>
      <c r="T295" s="41" t="s">
        <v>106</v>
      </c>
      <c r="U295"/>
      <c r="V295" s="41"/>
      <c r="W295" s="41"/>
      <c r="X295" s="41"/>
      <c r="Y295" s="41"/>
      <c r="Z295"/>
      <c r="AA295" s="1085" t="s">
        <v>2435</v>
      </c>
      <c r="AB295" s="1085"/>
      <c r="AC295" s="1085"/>
      <c r="AD295" s="1085"/>
      <c r="AE295" s="1085"/>
      <c r="AF295" s="1085"/>
      <c r="AG295" s="1085"/>
      <c r="AH295" s="1085"/>
      <c r="AI295" s="1085"/>
      <c r="AJ295" s="1085"/>
      <c r="AK295" s="1085"/>
      <c r="AL295" s="10"/>
      <c r="AM295" s="4"/>
      <c r="AN295" s="281"/>
      <c r="AO295" s="4"/>
    </row>
    <row r="296" spans="1:41" s="4" customFormat="1" ht="12.75" customHeight="1">
      <c r="B296" s="41" t="s">
        <v>397</v>
      </c>
      <c r="C296" s="41"/>
      <c r="D296" s="41"/>
      <c r="E296" s="41"/>
      <c r="F296" s="41"/>
      <c r="G296"/>
      <c r="H296" s="1085" t="s">
        <v>2430</v>
      </c>
      <c r="I296" s="1085"/>
      <c r="J296" s="1085"/>
      <c r="K296" s="1085"/>
      <c r="L296" s="1085"/>
      <c r="M296" s="1085"/>
      <c r="N296" s="1085"/>
      <c r="O296" s="1085"/>
      <c r="P296" s="1085"/>
      <c r="Q296" s="1085"/>
      <c r="R296" s="1085"/>
      <c r="S296"/>
      <c r="T296" s="41" t="s">
        <v>397</v>
      </c>
      <c r="U296"/>
      <c r="V296" s="41"/>
      <c r="W296" s="41"/>
      <c r="X296" s="41"/>
      <c r="Y296" s="41"/>
      <c r="Z296"/>
      <c r="AA296" s="1085" t="s">
        <v>2430</v>
      </c>
      <c r="AB296" s="1085"/>
      <c r="AC296" s="1085"/>
      <c r="AD296" s="1085"/>
      <c r="AE296" s="1085"/>
      <c r="AF296" s="1085"/>
      <c r="AG296" s="1085"/>
      <c r="AH296" s="1085"/>
      <c r="AI296" s="1085"/>
      <c r="AJ296" s="1085"/>
      <c r="AK296" s="1085"/>
      <c r="AL296" s="10"/>
      <c r="AN296" s="281"/>
    </row>
    <row r="297" spans="1:41" s="4" customFormat="1" ht="12.75" customHeight="1">
      <c r="B297" s="41" t="s">
        <v>398</v>
      </c>
      <c r="C297" s="41"/>
      <c r="D297" s="41"/>
      <c r="E297" s="41"/>
      <c r="F297" s="41"/>
      <c r="G297" s="41"/>
      <c r="H297" s="1107">
        <v>8005614636</v>
      </c>
      <c r="I297" s="1107"/>
      <c r="J297" s="1107"/>
      <c r="K297" s="1107"/>
      <c r="L297" s="1107"/>
      <c r="M297" s="1107"/>
      <c r="N297" s="5" t="s">
        <v>857</v>
      </c>
      <c r="O297" s="5"/>
      <c r="P297" s="1110"/>
      <c r="Q297" s="1110"/>
      <c r="R297" s="1110"/>
      <c r="S297" s="41"/>
      <c r="T297" s="41" t="s">
        <v>398</v>
      </c>
      <c r="U297"/>
      <c r="V297" s="41"/>
      <c r="W297" s="41"/>
      <c r="X297" s="41"/>
      <c r="Y297" s="41"/>
      <c r="Z297"/>
      <c r="AA297" s="1107">
        <v>9169884378</v>
      </c>
      <c r="AB297" s="1107"/>
      <c r="AC297" s="1107"/>
      <c r="AD297" s="1107"/>
      <c r="AE297" s="1107"/>
      <c r="AF297" s="1107"/>
      <c r="AG297" s="5" t="s">
        <v>857</v>
      </c>
      <c r="AH297" s="5"/>
      <c r="AI297" s="1110"/>
      <c r="AJ297" s="1110"/>
      <c r="AK297" s="1110"/>
      <c r="AL297" s="10"/>
      <c r="AN297" s="281"/>
    </row>
    <row r="298" spans="1:41" s="4" customFormat="1" ht="12.75" customHeight="1">
      <c r="B298" s="41" t="s">
        <v>95</v>
      </c>
      <c r="C298" s="41"/>
      <c r="D298" s="41"/>
      <c r="E298" s="41"/>
      <c r="F298" s="41"/>
      <c r="G298" s="41"/>
      <c r="H298" s="1085" t="s">
        <v>100</v>
      </c>
      <c r="I298" s="1085"/>
      <c r="J298" s="1085"/>
      <c r="K298" s="1085"/>
      <c r="L298" s="1085"/>
      <c r="M298" s="1085"/>
      <c r="N298" s="1085"/>
      <c r="O298" s="1085"/>
      <c r="P298" s="1085"/>
      <c r="Q298" s="1085"/>
      <c r="R298" s="1085"/>
      <c r="S298" s="41"/>
      <c r="T298" s="41" t="s">
        <v>95</v>
      </c>
      <c r="U298"/>
      <c r="V298" s="41"/>
      <c r="W298" s="41"/>
      <c r="X298" s="41"/>
      <c r="Y298" s="41"/>
      <c r="Z298"/>
      <c r="AA298" s="1085" t="s">
        <v>367</v>
      </c>
      <c r="AB298" s="1085"/>
      <c r="AC298" s="1085"/>
      <c r="AD298" s="1085"/>
      <c r="AE298" s="1085"/>
      <c r="AF298" s="1085"/>
      <c r="AG298" s="1085"/>
      <c r="AH298" s="1085"/>
      <c r="AI298" s="1085"/>
      <c r="AJ298" s="1085"/>
      <c r="AK298" s="1085"/>
      <c r="AL298" s="10"/>
      <c r="AN298" s="281"/>
    </row>
    <row r="299" spans="1:41" s="4" customFormat="1" ht="12.75" customHeight="1">
      <c r="B299" s="41" t="s">
        <v>97</v>
      </c>
      <c r="C299" s="41"/>
      <c r="D299" s="41"/>
      <c r="E299" s="41"/>
      <c r="F299" s="41"/>
      <c r="G299" s="41"/>
      <c r="H299" s="1085" t="s">
        <v>2440</v>
      </c>
      <c r="I299" s="1085"/>
      <c r="J299" s="1085"/>
      <c r="K299" s="1085"/>
      <c r="L299" s="1085"/>
      <c r="M299" s="1085"/>
      <c r="N299" s="1085"/>
      <c r="O299" s="1085"/>
      <c r="P299" s="1085"/>
      <c r="Q299" s="1085"/>
      <c r="R299" s="1085"/>
      <c r="S299" s="41"/>
      <c r="T299" s="41" t="s">
        <v>97</v>
      </c>
      <c r="U299"/>
      <c r="V299" s="41"/>
      <c r="W299" s="41"/>
      <c r="X299" s="41"/>
      <c r="Y299" s="41"/>
      <c r="Z299"/>
      <c r="AA299" s="1085" t="s">
        <v>2444</v>
      </c>
      <c r="AB299" s="1085"/>
      <c r="AC299" s="1085"/>
      <c r="AD299" s="1085"/>
      <c r="AE299" s="1085"/>
      <c r="AF299" s="1085"/>
      <c r="AG299" s="1085"/>
      <c r="AH299" s="1085"/>
      <c r="AI299" s="1085"/>
      <c r="AJ299" s="1085"/>
      <c r="AK299" s="1085"/>
      <c r="AL299" s="10"/>
      <c r="AN299" s="281"/>
    </row>
    <row r="300" spans="1:41" s="4" customFormat="1" ht="12.75" customHeight="1">
      <c r="B300" s="41" t="s">
        <v>108</v>
      </c>
      <c r="C300" s="41"/>
      <c r="D300" s="41"/>
      <c r="E300" s="41"/>
      <c r="F300" s="41"/>
      <c r="G300" s="41"/>
      <c r="H300" s="1705" t="s">
        <v>2441</v>
      </c>
      <c r="I300" s="1705"/>
      <c r="J300" s="1705"/>
      <c r="K300" s="1705"/>
      <c r="L300" s="1705"/>
      <c r="M300" s="1705"/>
      <c r="N300" s="1705"/>
      <c r="O300" s="1705"/>
      <c r="P300" s="1705"/>
      <c r="Q300" s="1705"/>
      <c r="R300" s="1705"/>
      <c r="S300" s="41"/>
      <c r="T300" s="41" t="s">
        <v>108</v>
      </c>
      <c r="U300" s="41"/>
      <c r="V300" s="41"/>
      <c r="W300" s="41"/>
      <c r="X300" s="41"/>
      <c r="Y300" s="41"/>
      <c r="Z300" s="12"/>
      <c r="AA300" s="1705" t="s">
        <v>2441</v>
      </c>
      <c r="AB300" s="1705"/>
      <c r="AC300" s="1705"/>
      <c r="AD300" s="1705"/>
      <c r="AE300" s="1705"/>
      <c r="AF300" s="1705"/>
      <c r="AG300" s="1705"/>
      <c r="AH300" s="1705"/>
      <c r="AI300" s="1705"/>
      <c r="AJ300" s="1705"/>
      <c r="AK300" s="1705"/>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084" t="s">
        <v>2445</v>
      </c>
      <c r="I302" s="1084"/>
      <c r="J302" s="1084"/>
      <c r="K302" s="1084"/>
      <c r="L302" s="1084"/>
      <c r="M302" s="1084"/>
      <c r="N302" s="1084"/>
      <c r="O302" s="1084"/>
      <c r="P302" s="1084"/>
      <c r="Q302" s="1084"/>
      <c r="R302" s="1084"/>
      <c r="S302"/>
      <c r="T302" s="41" t="s">
        <v>96</v>
      </c>
      <c r="U302"/>
      <c r="V302" s="41"/>
      <c r="W302" s="41"/>
      <c r="X302" s="41"/>
      <c r="Y302" s="41"/>
      <c r="Z302"/>
      <c r="AA302" s="1084"/>
      <c r="AB302" s="1084"/>
      <c r="AC302" s="1084"/>
      <c r="AD302" s="1084"/>
      <c r="AE302" s="1084"/>
      <c r="AF302" s="1084"/>
      <c r="AG302" s="1084"/>
      <c r="AH302" s="1084"/>
      <c r="AI302" s="1084"/>
      <c r="AJ302" s="1084"/>
      <c r="AK302" s="1084"/>
      <c r="AL302" s="10"/>
      <c r="AN302" s="281"/>
    </row>
    <row r="303" spans="1:41" s="4" customFormat="1" ht="12.75" customHeight="1">
      <c r="B303" s="41" t="s">
        <v>733</v>
      </c>
      <c r="C303" s="41"/>
      <c r="D303" s="41"/>
      <c r="E303" s="41"/>
      <c r="F303" s="41"/>
      <c r="G303"/>
      <c r="H303" s="1085" t="s">
        <v>2446</v>
      </c>
      <c r="I303" s="1085"/>
      <c r="J303" s="1085"/>
      <c r="K303" s="1085"/>
      <c r="L303" s="1085"/>
      <c r="M303" s="1085"/>
      <c r="N303" s="1085"/>
      <c r="O303" s="1085"/>
      <c r="P303" s="1085"/>
      <c r="Q303" s="1085"/>
      <c r="R303" s="1085"/>
      <c r="S303"/>
      <c r="T303" s="41" t="s">
        <v>733</v>
      </c>
      <c r="U303"/>
      <c r="V303" s="41"/>
      <c r="W303" s="41"/>
      <c r="X303" s="41"/>
      <c r="Y303" s="41"/>
      <c r="Z303"/>
      <c r="AA303" s="1085"/>
      <c r="AB303" s="1085"/>
      <c r="AC303" s="1085"/>
      <c r="AD303" s="1085"/>
      <c r="AE303" s="1085"/>
      <c r="AF303" s="1085"/>
      <c r="AG303" s="1085"/>
      <c r="AH303" s="1085"/>
      <c r="AI303" s="1085"/>
      <c r="AJ303" s="1085"/>
      <c r="AK303" s="1085"/>
      <c r="AL303" s="10"/>
      <c r="AN303" s="281"/>
    </row>
    <row r="304" spans="1:41" s="4" customFormat="1" ht="12.75" customHeight="1">
      <c r="B304" s="41" t="s">
        <v>106</v>
      </c>
      <c r="C304" s="41"/>
      <c r="D304" s="41"/>
      <c r="E304" s="41"/>
      <c r="F304" s="41"/>
      <c r="G304"/>
      <c r="H304" s="1085" t="s">
        <v>2435</v>
      </c>
      <c r="I304" s="1085"/>
      <c r="J304" s="1085"/>
      <c r="K304" s="1085"/>
      <c r="L304" s="1085"/>
      <c r="M304" s="1085"/>
      <c r="N304" s="1085"/>
      <c r="O304" s="1085"/>
      <c r="P304" s="1085"/>
      <c r="Q304" s="1085"/>
      <c r="R304" s="1085"/>
      <c r="S304"/>
      <c r="T304" s="41" t="s">
        <v>106</v>
      </c>
      <c r="U304"/>
      <c r="V304" s="41"/>
      <c r="W304" s="41"/>
      <c r="X304" s="41"/>
      <c r="Y304" s="41"/>
      <c r="Z304"/>
      <c r="AA304" s="1085"/>
      <c r="AB304" s="1085"/>
      <c r="AC304" s="1085"/>
      <c r="AD304" s="1085"/>
      <c r="AE304" s="1085"/>
      <c r="AF304" s="1085"/>
      <c r="AG304" s="1085"/>
      <c r="AH304" s="1085"/>
      <c r="AI304" s="1085"/>
      <c r="AJ304" s="1085"/>
      <c r="AK304" s="1085"/>
      <c r="AL304" s="10"/>
      <c r="AN304" s="281"/>
    </row>
    <row r="305" spans="2:40" s="4" customFormat="1" ht="12.75" customHeight="1">
      <c r="B305" s="41" t="s">
        <v>397</v>
      </c>
      <c r="C305" s="41"/>
      <c r="D305" s="41"/>
      <c r="E305" s="41"/>
      <c r="F305" s="41"/>
      <c r="G305"/>
      <c r="H305" s="1085" t="s">
        <v>2430</v>
      </c>
      <c r="I305" s="1085"/>
      <c r="J305" s="1085"/>
      <c r="K305" s="1085"/>
      <c r="L305" s="1085"/>
      <c r="M305" s="1085"/>
      <c r="N305" s="1085"/>
      <c r="O305" s="1085"/>
      <c r="P305" s="1085"/>
      <c r="Q305" s="1085"/>
      <c r="R305" s="1085"/>
      <c r="S305"/>
      <c r="T305" s="41" t="s">
        <v>397</v>
      </c>
      <c r="U305"/>
      <c r="V305" s="41"/>
      <c r="W305" s="41"/>
      <c r="X305" s="41"/>
      <c r="Y305" s="41"/>
      <c r="Z305"/>
      <c r="AA305" s="1085"/>
      <c r="AB305" s="1085"/>
      <c r="AC305" s="1085"/>
      <c r="AD305" s="1085"/>
      <c r="AE305" s="1085"/>
      <c r="AF305" s="1085"/>
      <c r="AG305" s="1085"/>
      <c r="AH305" s="1085"/>
      <c r="AI305" s="1085"/>
      <c r="AJ305" s="1085"/>
      <c r="AK305" s="1085"/>
      <c r="AL305" s="10"/>
      <c r="AN305" s="281"/>
    </row>
    <row r="306" spans="2:40" s="4" customFormat="1" ht="12.75" customHeight="1">
      <c r="B306" s="41" t="s">
        <v>398</v>
      </c>
      <c r="C306" s="41"/>
      <c r="D306" s="41"/>
      <c r="E306" s="41"/>
      <c r="F306" s="41"/>
      <c r="G306" s="41"/>
      <c r="H306" s="1107">
        <v>9169899380</v>
      </c>
      <c r="I306" s="1107"/>
      <c r="J306" s="1107"/>
      <c r="K306" s="1107"/>
      <c r="L306" s="1107"/>
      <c r="M306" s="1107"/>
      <c r="N306" s="5" t="s">
        <v>857</v>
      </c>
      <c r="O306" s="5"/>
      <c r="P306" s="1110"/>
      <c r="Q306" s="1110"/>
      <c r="R306" s="1110"/>
      <c r="S306" s="41"/>
      <c r="T306" s="41" t="s">
        <v>398</v>
      </c>
      <c r="U306"/>
      <c r="V306" s="41"/>
      <c r="W306" s="41"/>
      <c r="X306" s="41"/>
      <c r="Y306" s="41"/>
      <c r="Z306"/>
      <c r="AA306" s="1107"/>
      <c r="AB306" s="1107"/>
      <c r="AC306" s="1107"/>
      <c r="AD306" s="1107"/>
      <c r="AE306" s="1107"/>
      <c r="AF306" s="1107"/>
      <c r="AG306" s="5" t="s">
        <v>857</v>
      </c>
      <c r="AH306" s="5"/>
      <c r="AI306" s="1110"/>
      <c r="AJ306" s="1110"/>
      <c r="AK306" s="1110"/>
      <c r="AL306" s="10"/>
      <c r="AN306" s="281"/>
    </row>
    <row r="307" spans="2:40" s="4" customFormat="1" ht="12.75" customHeight="1">
      <c r="B307" s="41" t="s">
        <v>95</v>
      </c>
      <c r="C307" s="41"/>
      <c r="D307" s="41"/>
      <c r="E307" s="41"/>
      <c r="F307" s="41"/>
      <c r="G307" s="41"/>
      <c r="H307" s="1085" t="s">
        <v>103</v>
      </c>
      <c r="I307" s="1085"/>
      <c r="J307" s="1085"/>
      <c r="K307" s="1085"/>
      <c r="L307" s="1085"/>
      <c r="M307" s="1085"/>
      <c r="N307" s="1085"/>
      <c r="O307" s="1085"/>
      <c r="P307" s="1085"/>
      <c r="Q307" s="1085"/>
      <c r="R307" s="1085"/>
      <c r="S307" s="41"/>
      <c r="T307" s="41" t="s">
        <v>95</v>
      </c>
      <c r="U307"/>
      <c r="V307" s="41"/>
      <c r="W307" s="41"/>
      <c r="X307" s="41"/>
      <c r="Y307" s="41"/>
      <c r="Z307"/>
      <c r="AA307" s="1085"/>
      <c r="AB307" s="1085"/>
      <c r="AC307" s="1085"/>
      <c r="AD307" s="1085"/>
      <c r="AE307" s="1085"/>
      <c r="AF307" s="1085"/>
      <c r="AG307" s="1085"/>
      <c r="AH307" s="1085"/>
      <c r="AI307" s="1085"/>
      <c r="AJ307" s="1085"/>
      <c r="AK307" s="1085"/>
      <c r="AL307" s="10"/>
      <c r="AN307" s="281"/>
    </row>
    <row r="308" spans="2:40" s="4" customFormat="1" ht="12.75" customHeight="1">
      <c r="B308" s="41" t="s">
        <v>97</v>
      </c>
      <c r="C308" s="41"/>
      <c r="D308" s="41"/>
      <c r="E308" s="41"/>
      <c r="F308" s="41"/>
      <c r="G308" s="41"/>
      <c r="H308" s="1085" t="s">
        <v>2447</v>
      </c>
      <c r="I308" s="1085"/>
      <c r="J308" s="1085"/>
      <c r="K308" s="1085"/>
      <c r="L308" s="1085"/>
      <c r="M308" s="1085"/>
      <c r="N308" s="1085"/>
      <c r="O308" s="1085"/>
      <c r="P308" s="1085"/>
      <c r="Q308" s="1085"/>
      <c r="R308" s="1085"/>
      <c r="S308" s="41"/>
      <c r="T308" s="41" t="s">
        <v>97</v>
      </c>
      <c r="U308"/>
      <c r="V308" s="41"/>
      <c r="W308" s="41"/>
      <c r="X308" s="41"/>
      <c r="Y308" s="41"/>
      <c r="Z308"/>
      <c r="AA308" s="1085"/>
      <c r="AB308" s="1085"/>
      <c r="AC308" s="1085"/>
      <c r="AD308" s="1085"/>
      <c r="AE308" s="1085"/>
      <c r="AF308" s="1085"/>
      <c r="AG308" s="1085"/>
      <c r="AH308" s="1085"/>
      <c r="AI308" s="1085"/>
      <c r="AJ308" s="1085"/>
      <c r="AK308" s="1085"/>
      <c r="AL308" s="10"/>
      <c r="AN308" s="281"/>
    </row>
    <row r="309" spans="2:40" s="4" customFormat="1" ht="12.75" customHeight="1">
      <c r="B309" s="41" t="s">
        <v>108</v>
      </c>
      <c r="C309" s="41"/>
      <c r="D309" s="41"/>
      <c r="E309" s="41"/>
      <c r="F309" s="41"/>
      <c r="G309" s="41"/>
      <c r="H309" s="1705" t="s">
        <v>2441</v>
      </c>
      <c r="I309" s="1705"/>
      <c r="J309" s="1705"/>
      <c r="K309" s="1705"/>
      <c r="L309" s="1705"/>
      <c r="M309" s="1705"/>
      <c r="N309" s="1705"/>
      <c r="O309" s="1705"/>
      <c r="P309" s="1705"/>
      <c r="Q309" s="1705"/>
      <c r="R309" s="1705"/>
      <c r="S309" s="41"/>
      <c r="T309" s="41" t="s">
        <v>108</v>
      </c>
      <c r="U309" s="41"/>
      <c r="V309" s="41"/>
      <c r="W309" s="41"/>
      <c r="X309" s="41"/>
      <c r="Y309" s="41"/>
      <c r="Z309" s="12"/>
      <c r="AA309" s="1705"/>
      <c r="AB309" s="1705"/>
      <c r="AC309" s="1705"/>
      <c r="AD309" s="1705"/>
      <c r="AE309" s="1705"/>
      <c r="AF309" s="1705"/>
      <c r="AG309" s="1705"/>
      <c r="AH309" s="1705"/>
      <c r="AI309" s="1705"/>
      <c r="AJ309" s="1705"/>
      <c r="AK309" s="1705"/>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084"/>
      <c r="I311" s="1084"/>
      <c r="J311" s="1084"/>
      <c r="K311" s="1084"/>
      <c r="L311" s="1084"/>
      <c r="M311" s="1084"/>
      <c r="N311" s="1084"/>
      <c r="O311" s="1084"/>
      <c r="P311" s="1084"/>
      <c r="Q311" s="1084"/>
      <c r="R311" s="1084"/>
      <c r="S311"/>
      <c r="T311" s="41" t="s">
        <v>96</v>
      </c>
      <c r="U311"/>
      <c r="V311" s="41"/>
      <c r="W311" s="41"/>
      <c r="X311" s="41"/>
      <c r="Y311" s="41"/>
      <c r="Z311"/>
      <c r="AA311" s="1084"/>
      <c r="AB311" s="1084"/>
      <c r="AC311" s="1084"/>
      <c r="AD311" s="1084"/>
      <c r="AE311" s="1084"/>
      <c r="AF311" s="1084"/>
      <c r="AG311" s="1084"/>
      <c r="AH311" s="1084"/>
      <c r="AI311" s="1084"/>
      <c r="AJ311" s="1084"/>
      <c r="AK311" s="1084"/>
      <c r="AL311" s="10"/>
      <c r="AN311" s="281"/>
    </row>
    <row r="312" spans="2:40" s="4" customFormat="1" ht="12.75" customHeight="1">
      <c r="B312" s="41" t="s">
        <v>733</v>
      </c>
      <c r="C312" s="41"/>
      <c r="D312" s="41"/>
      <c r="E312" s="41"/>
      <c r="F312" s="41"/>
      <c r="G312"/>
      <c r="H312" s="1085"/>
      <c r="I312" s="1085"/>
      <c r="J312" s="1085"/>
      <c r="K312" s="1085"/>
      <c r="L312" s="1085"/>
      <c r="M312" s="1085"/>
      <c r="N312" s="1085"/>
      <c r="O312" s="1085"/>
      <c r="P312" s="1085"/>
      <c r="Q312" s="1085"/>
      <c r="R312" s="1085"/>
      <c r="S312"/>
      <c r="T312" s="41" t="s">
        <v>733</v>
      </c>
      <c r="U312"/>
      <c r="V312" s="41"/>
      <c r="W312" s="41"/>
      <c r="X312" s="41"/>
      <c r="Y312" s="41"/>
      <c r="Z312"/>
      <c r="AA312" s="1085"/>
      <c r="AB312" s="1085"/>
      <c r="AC312" s="1085"/>
      <c r="AD312" s="1085"/>
      <c r="AE312" s="1085"/>
      <c r="AF312" s="1085"/>
      <c r="AG312" s="1085"/>
      <c r="AH312" s="1085"/>
      <c r="AI312" s="1085"/>
      <c r="AJ312" s="1085"/>
      <c r="AK312" s="1085"/>
      <c r="AL312" s="10"/>
      <c r="AN312" s="281"/>
    </row>
    <row r="313" spans="2:40" s="4" customFormat="1" ht="12.75" customHeight="1">
      <c r="B313" s="41" t="s">
        <v>106</v>
      </c>
      <c r="C313" s="41"/>
      <c r="D313" s="41"/>
      <c r="E313" s="41"/>
      <c r="F313" s="41"/>
      <c r="G313"/>
      <c r="H313" s="1085"/>
      <c r="I313" s="1085"/>
      <c r="J313" s="1085"/>
      <c r="K313" s="1085"/>
      <c r="L313" s="1085"/>
      <c r="M313" s="1085"/>
      <c r="N313" s="1085"/>
      <c r="O313" s="1085"/>
      <c r="P313" s="1085"/>
      <c r="Q313" s="1085"/>
      <c r="R313" s="1085"/>
      <c r="S313"/>
      <c r="T313" s="41" t="s">
        <v>106</v>
      </c>
      <c r="U313"/>
      <c r="V313" s="41"/>
      <c r="W313" s="41"/>
      <c r="X313" s="41"/>
      <c r="Y313" s="41"/>
      <c r="Z313"/>
      <c r="AA313" s="1085"/>
      <c r="AB313" s="1085"/>
      <c r="AC313" s="1085"/>
      <c r="AD313" s="1085"/>
      <c r="AE313" s="1085"/>
      <c r="AF313" s="1085"/>
      <c r="AG313" s="1085"/>
      <c r="AH313" s="1085"/>
      <c r="AI313" s="1085"/>
      <c r="AJ313" s="1085"/>
      <c r="AK313" s="1085"/>
      <c r="AL313" s="10"/>
      <c r="AN313" s="281"/>
    </row>
    <row r="314" spans="2:40" s="4" customFormat="1" ht="12.75" customHeight="1">
      <c r="B314" s="41" t="s">
        <v>397</v>
      </c>
      <c r="C314" s="41"/>
      <c r="D314" s="41"/>
      <c r="E314" s="41"/>
      <c r="F314" s="41"/>
      <c r="G314"/>
      <c r="H314" s="1085"/>
      <c r="I314" s="1085"/>
      <c r="J314" s="1085"/>
      <c r="K314" s="1085"/>
      <c r="L314" s="1085"/>
      <c r="M314" s="1085"/>
      <c r="N314" s="1085"/>
      <c r="O314" s="1085"/>
      <c r="P314" s="1085"/>
      <c r="Q314" s="1085"/>
      <c r="R314" s="1085"/>
      <c r="S314"/>
      <c r="T314" s="41" t="s">
        <v>397</v>
      </c>
      <c r="U314"/>
      <c r="V314" s="41"/>
      <c r="W314" s="41"/>
      <c r="X314" s="41"/>
      <c r="Y314" s="41"/>
      <c r="Z314"/>
      <c r="AA314" s="1085"/>
      <c r="AB314" s="1085"/>
      <c r="AC314" s="1085"/>
      <c r="AD314" s="1085"/>
      <c r="AE314" s="1085"/>
      <c r="AF314" s="1085"/>
      <c r="AG314" s="1085"/>
      <c r="AH314" s="1085"/>
      <c r="AI314" s="1085"/>
      <c r="AJ314" s="1085"/>
      <c r="AK314" s="1085"/>
      <c r="AL314" s="10"/>
      <c r="AN314" s="281"/>
    </row>
    <row r="315" spans="2:40" s="4" customFormat="1" ht="12.75" customHeight="1">
      <c r="B315" s="41" t="s">
        <v>398</v>
      </c>
      <c r="C315" s="41"/>
      <c r="D315" s="41"/>
      <c r="E315" s="41"/>
      <c r="F315" s="41"/>
      <c r="G315" s="41"/>
      <c r="H315" s="1107"/>
      <c r="I315" s="1107"/>
      <c r="J315" s="1107"/>
      <c r="K315" s="1107"/>
      <c r="L315" s="1107"/>
      <c r="M315" s="1107"/>
      <c r="N315" s="5" t="s">
        <v>857</v>
      </c>
      <c r="O315" s="5"/>
      <c r="P315" s="1110"/>
      <c r="Q315" s="1110"/>
      <c r="R315" s="1110"/>
      <c r="S315" s="41"/>
      <c r="T315" s="41" t="s">
        <v>398</v>
      </c>
      <c r="U315"/>
      <c r="V315" s="41"/>
      <c r="W315" s="41"/>
      <c r="X315" s="41"/>
      <c r="Y315" s="41"/>
      <c r="Z315"/>
      <c r="AA315" s="1107"/>
      <c r="AB315" s="1107"/>
      <c r="AC315" s="1107"/>
      <c r="AD315" s="1107"/>
      <c r="AE315" s="1107"/>
      <c r="AF315" s="1107"/>
      <c r="AG315" s="5" t="s">
        <v>857</v>
      </c>
      <c r="AH315" s="5"/>
      <c r="AI315" s="1110"/>
      <c r="AJ315" s="1110"/>
      <c r="AK315" s="1110"/>
      <c r="AL315" s="10"/>
      <c r="AN315" s="281"/>
    </row>
    <row r="316" spans="2:40" s="4" customFormat="1" ht="12.75" customHeight="1">
      <c r="B316" s="41" t="s">
        <v>95</v>
      </c>
      <c r="C316" s="41"/>
      <c r="D316" s="41"/>
      <c r="E316" s="41"/>
      <c r="F316" s="41"/>
      <c r="G316" s="41"/>
      <c r="H316" s="1085"/>
      <c r="I316" s="1085"/>
      <c r="J316" s="1085"/>
      <c r="K316" s="1085"/>
      <c r="L316" s="1085"/>
      <c r="M316" s="1085"/>
      <c r="N316" s="1085"/>
      <c r="O316" s="1085"/>
      <c r="P316" s="1085"/>
      <c r="Q316" s="1085"/>
      <c r="R316" s="1085"/>
      <c r="S316" s="41"/>
      <c r="T316" s="41" t="s">
        <v>95</v>
      </c>
      <c r="U316"/>
      <c r="V316" s="41"/>
      <c r="W316" s="41"/>
      <c r="X316" s="41"/>
      <c r="Y316" s="41"/>
      <c r="Z316"/>
      <c r="AA316" s="1085"/>
      <c r="AB316" s="1085"/>
      <c r="AC316" s="1085"/>
      <c r="AD316" s="1085"/>
      <c r="AE316" s="1085"/>
      <c r="AF316" s="1085"/>
      <c r="AG316" s="1085"/>
      <c r="AH316" s="1085"/>
      <c r="AI316" s="1085"/>
      <c r="AJ316" s="1085"/>
      <c r="AK316" s="1085"/>
      <c r="AL316" s="10"/>
      <c r="AN316" s="281"/>
    </row>
    <row r="317" spans="2:40" s="4" customFormat="1" ht="12.75" customHeight="1">
      <c r="B317" s="41" t="s">
        <v>97</v>
      </c>
      <c r="C317" s="41"/>
      <c r="D317" s="41"/>
      <c r="E317" s="41"/>
      <c r="F317" s="41"/>
      <c r="G317" s="41"/>
      <c r="H317" s="1085"/>
      <c r="I317" s="1085"/>
      <c r="J317" s="1085"/>
      <c r="K317" s="1085"/>
      <c r="L317" s="1085"/>
      <c r="M317" s="1085"/>
      <c r="N317" s="1085"/>
      <c r="O317" s="1085"/>
      <c r="P317" s="1085"/>
      <c r="Q317" s="1085"/>
      <c r="R317" s="1085"/>
      <c r="S317" s="41"/>
      <c r="T317" s="41" t="s">
        <v>97</v>
      </c>
      <c r="U317"/>
      <c r="V317" s="41"/>
      <c r="W317" s="41"/>
      <c r="X317" s="41"/>
      <c r="Y317" s="41"/>
      <c r="Z317"/>
      <c r="AA317" s="1085"/>
      <c r="AB317" s="1085"/>
      <c r="AC317" s="1085"/>
      <c r="AD317" s="1085"/>
      <c r="AE317" s="1085"/>
      <c r="AF317" s="1085"/>
      <c r="AG317" s="1085"/>
      <c r="AH317" s="1085"/>
      <c r="AI317" s="1085"/>
      <c r="AJ317" s="1085"/>
      <c r="AK317" s="1085"/>
      <c r="AL317" s="10"/>
      <c r="AN317" s="281"/>
    </row>
    <row r="318" spans="2:40" s="4" customFormat="1" ht="12.75" customHeight="1">
      <c r="B318" s="41" t="s">
        <v>108</v>
      </c>
      <c r="C318" s="41"/>
      <c r="D318" s="41"/>
      <c r="E318" s="41"/>
      <c r="F318" s="41"/>
      <c r="G318" s="41"/>
      <c r="H318" s="1705"/>
      <c r="I318" s="1705"/>
      <c r="J318" s="1705"/>
      <c r="K318" s="1705"/>
      <c r="L318" s="1705"/>
      <c r="M318" s="1705"/>
      <c r="N318" s="1705"/>
      <c r="O318" s="1705"/>
      <c r="P318" s="1705"/>
      <c r="Q318" s="1705"/>
      <c r="R318" s="1705"/>
      <c r="S318" s="41"/>
      <c r="T318" s="41" t="s">
        <v>108</v>
      </c>
      <c r="U318" s="41"/>
      <c r="V318" s="41"/>
      <c r="W318" s="41"/>
      <c r="X318" s="41"/>
      <c r="Y318" s="41"/>
      <c r="Z318" s="12"/>
      <c r="AA318" s="1705"/>
      <c r="AB318" s="1705"/>
      <c r="AC318" s="1705"/>
      <c r="AD318" s="1705"/>
      <c r="AE318" s="1705"/>
      <c r="AF318" s="1705"/>
      <c r="AG318" s="1705"/>
      <c r="AH318" s="1705"/>
      <c r="AI318" s="1705"/>
      <c r="AJ318" s="1705"/>
      <c r="AK318" s="1705"/>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084"/>
      <c r="I320" s="1084"/>
      <c r="J320" s="1084"/>
      <c r="K320" s="1084"/>
      <c r="L320" s="1084"/>
      <c r="M320" s="1084"/>
      <c r="N320" s="1084"/>
      <c r="O320" s="1084"/>
      <c r="P320" s="1084"/>
      <c r="Q320" s="1084"/>
      <c r="R320" s="1084"/>
      <c r="S320"/>
      <c r="T320" s="41" t="s">
        <v>96</v>
      </c>
      <c r="U320"/>
      <c r="V320" s="41"/>
      <c r="W320" s="41"/>
      <c r="X320" s="41"/>
      <c r="Y320" s="41"/>
      <c r="Z320"/>
      <c r="AA320" s="1084"/>
      <c r="AB320" s="1084"/>
      <c r="AC320" s="1084"/>
      <c r="AD320" s="1084"/>
      <c r="AE320" s="1084"/>
      <c r="AF320" s="1084"/>
      <c r="AG320" s="1084"/>
      <c r="AH320" s="1084"/>
      <c r="AI320" s="1084"/>
      <c r="AJ320" s="1084"/>
      <c r="AK320" s="1084"/>
      <c r="AL320" s="41"/>
      <c r="AN320" s="281"/>
    </row>
    <row r="321" spans="1:76" s="4" customFormat="1" ht="12.75" customHeight="1">
      <c r="B321" s="41" t="s">
        <v>733</v>
      </c>
      <c r="C321" s="41"/>
      <c r="D321" s="41"/>
      <c r="E321" s="41"/>
      <c r="F321" s="41"/>
      <c r="G321"/>
      <c r="H321" s="1085"/>
      <c r="I321" s="1085"/>
      <c r="J321" s="1085"/>
      <c r="K321" s="1085"/>
      <c r="L321" s="1085"/>
      <c r="M321" s="1085"/>
      <c r="N321" s="1085"/>
      <c r="O321" s="1085"/>
      <c r="P321" s="1085"/>
      <c r="Q321" s="1085"/>
      <c r="R321" s="1085"/>
      <c r="S321"/>
      <c r="T321" s="41" t="s">
        <v>733</v>
      </c>
      <c r="U321"/>
      <c r="V321" s="41"/>
      <c r="W321" s="41"/>
      <c r="X321" s="41"/>
      <c r="Y321" s="41"/>
      <c r="Z321"/>
      <c r="AA321" s="1085"/>
      <c r="AB321" s="1085"/>
      <c r="AC321" s="1085"/>
      <c r="AD321" s="1085"/>
      <c r="AE321" s="1085"/>
      <c r="AF321" s="1085"/>
      <c r="AG321" s="1085"/>
      <c r="AH321" s="1085"/>
      <c r="AI321" s="1085"/>
      <c r="AJ321" s="1085"/>
      <c r="AK321" s="1085"/>
      <c r="AL321" s="41"/>
      <c r="AN321" s="281"/>
    </row>
    <row r="322" spans="1:76" s="4" customFormat="1" ht="18" customHeight="1">
      <c r="B322" s="41" t="s">
        <v>106</v>
      </c>
      <c r="C322" s="41"/>
      <c r="D322" s="41"/>
      <c r="E322" s="41"/>
      <c r="F322" s="41"/>
      <c r="G322"/>
      <c r="H322" s="1085"/>
      <c r="I322" s="1085"/>
      <c r="J322" s="1085"/>
      <c r="K322" s="1085"/>
      <c r="L322" s="1085"/>
      <c r="M322" s="1085"/>
      <c r="N322" s="1085"/>
      <c r="O322" s="1085"/>
      <c r="P322" s="1085"/>
      <c r="Q322" s="1085"/>
      <c r="R322" s="1085"/>
      <c r="S322"/>
      <c r="T322" s="41" t="s">
        <v>106</v>
      </c>
      <c r="U322"/>
      <c r="V322" s="41"/>
      <c r="W322" s="41"/>
      <c r="X322" s="41"/>
      <c r="Y322" s="41"/>
      <c r="Z322"/>
      <c r="AA322" s="1085"/>
      <c r="AB322" s="1085"/>
      <c r="AC322" s="1085"/>
      <c r="AD322" s="1085"/>
      <c r="AE322" s="1085"/>
      <c r="AF322" s="1085"/>
      <c r="AG322" s="1085"/>
      <c r="AH322" s="1085"/>
      <c r="AI322" s="1085"/>
      <c r="AJ322" s="1085"/>
      <c r="AK322" s="1085"/>
      <c r="AL322" s="41"/>
      <c r="AN322" s="281"/>
    </row>
    <row r="323" spans="1:76" s="4" customFormat="1" ht="12.75" customHeight="1">
      <c r="B323" s="41" t="s">
        <v>397</v>
      </c>
      <c r="C323" s="41"/>
      <c r="D323" s="41"/>
      <c r="E323" s="41"/>
      <c r="F323" s="41"/>
      <c r="G323"/>
      <c r="H323" s="1085"/>
      <c r="I323" s="1085"/>
      <c r="J323" s="1085"/>
      <c r="K323" s="1085"/>
      <c r="L323" s="1085"/>
      <c r="M323" s="1085"/>
      <c r="N323" s="1085"/>
      <c r="O323" s="1085"/>
      <c r="P323" s="1085"/>
      <c r="Q323" s="1085"/>
      <c r="R323" s="1085"/>
      <c r="S323"/>
      <c r="T323" s="41" t="s">
        <v>397</v>
      </c>
      <c r="U323"/>
      <c r="V323" s="41"/>
      <c r="W323" s="41"/>
      <c r="X323" s="41"/>
      <c r="Y323" s="41"/>
      <c r="Z323"/>
      <c r="AA323" s="1085"/>
      <c r="AB323" s="1085"/>
      <c r="AC323" s="1085"/>
      <c r="AD323" s="1085"/>
      <c r="AE323" s="1085"/>
      <c r="AF323" s="1085"/>
      <c r="AG323" s="1085"/>
      <c r="AH323" s="1085"/>
      <c r="AI323" s="1085"/>
      <c r="AJ323" s="1085"/>
      <c r="AK323" s="1085"/>
      <c r="AL323" s="41"/>
      <c r="AN323" s="281"/>
    </row>
    <row r="324" spans="1:76" s="4" customFormat="1" ht="12.75" customHeight="1">
      <c r="B324" s="41" t="s">
        <v>398</v>
      </c>
      <c r="C324" s="41"/>
      <c r="D324" s="41"/>
      <c r="E324" s="41"/>
      <c r="F324" s="41"/>
      <c r="G324" s="41"/>
      <c r="H324" s="1107"/>
      <c r="I324" s="1107"/>
      <c r="J324" s="1107"/>
      <c r="K324" s="1107"/>
      <c r="L324" s="1107"/>
      <c r="M324" s="1107"/>
      <c r="N324" s="5" t="s">
        <v>857</v>
      </c>
      <c r="O324" s="5"/>
      <c r="P324" s="1110"/>
      <c r="Q324" s="1110"/>
      <c r="R324" s="1110"/>
      <c r="S324" s="41"/>
      <c r="T324" s="41" t="s">
        <v>398</v>
      </c>
      <c r="U324"/>
      <c r="V324" s="41"/>
      <c r="W324" s="41"/>
      <c r="X324" s="41"/>
      <c r="Y324" s="41"/>
      <c r="Z324"/>
      <c r="AA324" s="1107"/>
      <c r="AB324" s="1107"/>
      <c r="AC324" s="1107"/>
      <c r="AD324" s="1107"/>
      <c r="AE324" s="1107"/>
      <c r="AF324" s="1107"/>
      <c r="AG324" s="5" t="s">
        <v>857</v>
      </c>
      <c r="AH324" s="5"/>
      <c r="AI324" s="1110"/>
      <c r="AJ324" s="1110"/>
      <c r="AK324" s="1110"/>
      <c r="AL324" s="41"/>
      <c r="AN324" s="281"/>
    </row>
    <row r="325" spans="1:76" s="4" customFormat="1" ht="12.75" customHeight="1">
      <c r="B325" s="41" t="s">
        <v>95</v>
      </c>
      <c r="C325" s="41"/>
      <c r="D325" s="41"/>
      <c r="E325" s="41"/>
      <c r="F325" s="41"/>
      <c r="G325" s="41"/>
      <c r="H325" s="1085"/>
      <c r="I325" s="1085"/>
      <c r="J325" s="1085"/>
      <c r="K325" s="1085"/>
      <c r="L325" s="1085"/>
      <c r="M325" s="1085"/>
      <c r="N325" s="1085"/>
      <c r="O325" s="1085"/>
      <c r="P325" s="1085"/>
      <c r="Q325" s="1085"/>
      <c r="R325" s="1085"/>
      <c r="S325" s="41"/>
      <c r="T325" s="41" t="s">
        <v>95</v>
      </c>
      <c r="U325"/>
      <c r="V325" s="41"/>
      <c r="W325" s="41"/>
      <c r="X325" s="41"/>
      <c r="Y325" s="41"/>
      <c r="Z325"/>
      <c r="AA325" s="1085"/>
      <c r="AB325" s="1085"/>
      <c r="AC325" s="1085"/>
      <c r="AD325" s="1085"/>
      <c r="AE325" s="1085"/>
      <c r="AF325" s="1085"/>
      <c r="AG325" s="1085"/>
      <c r="AH325" s="1085"/>
      <c r="AI325" s="1085"/>
      <c r="AJ325" s="1085"/>
      <c r="AK325" s="1085"/>
      <c r="AL325" s="41"/>
      <c r="AN325" s="281"/>
    </row>
    <row r="326" spans="1:76" s="4" customFormat="1" ht="12.75" customHeight="1">
      <c r="B326" s="41" t="s">
        <v>97</v>
      </c>
      <c r="C326" s="41"/>
      <c r="D326" s="41"/>
      <c r="E326" s="41"/>
      <c r="F326" s="41"/>
      <c r="G326" s="41"/>
      <c r="H326" s="1085"/>
      <c r="I326" s="1085"/>
      <c r="J326" s="1085"/>
      <c r="K326" s="1085"/>
      <c r="L326" s="1085"/>
      <c r="M326" s="1085"/>
      <c r="N326" s="1085"/>
      <c r="O326" s="1085"/>
      <c r="P326" s="1085"/>
      <c r="Q326" s="1085"/>
      <c r="R326" s="1085"/>
      <c r="S326" s="41"/>
      <c r="T326" s="41" t="s">
        <v>97</v>
      </c>
      <c r="U326"/>
      <c r="V326" s="41"/>
      <c r="W326" s="41"/>
      <c r="X326" s="41"/>
      <c r="Y326" s="41"/>
      <c r="Z326"/>
      <c r="AA326" s="1085"/>
      <c r="AB326" s="1085"/>
      <c r="AC326" s="1085"/>
      <c r="AD326" s="1085"/>
      <c r="AE326" s="1085"/>
      <c r="AF326" s="1085"/>
      <c r="AG326" s="1085"/>
      <c r="AH326" s="1085"/>
      <c r="AI326" s="1085"/>
      <c r="AJ326" s="1085"/>
      <c r="AK326" s="1085"/>
      <c r="AL326" s="41"/>
      <c r="AN326" s="281"/>
    </row>
    <row r="327" spans="1:76" s="4" customFormat="1" ht="12.75" customHeight="1">
      <c r="B327" s="41" t="s">
        <v>108</v>
      </c>
      <c r="C327" s="41"/>
      <c r="D327" s="41"/>
      <c r="E327" s="41"/>
      <c r="F327" s="41"/>
      <c r="G327" s="41"/>
      <c r="H327" s="1705"/>
      <c r="I327" s="1705"/>
      <c r="J327" s="1705"/>
      <c r="K327" s="1705"/>
      <c r="L327" s="1705"/>
      <c r="M327" s="1705"/>
      <c r="N327" s="1705"/>
      <c r="O327" s="1705"/>
      <c r="P327" s="1705"/>
      <c r="Q327" s="1705"/>
      <c r="R327" s="1705"/>
      <c r="S327" s="41"/>
      <c r="T327" s="41" t="s">
        <v>108</v>
      </c>
      <c r="U327" s="41"/>
      <c r="V327" s="41"/>
      <c r="W327" s="41"/>
      <c r="X327" s="41"/>
      <c r="Y327" s="41"/>
      <c r="Z327" s="12"/>
      <c r="AA327" s="1705"/>
      <c r="AB327" s="1705"/>
      <c r="AC327" s="1705"/>
      <c r="AD327" s="1705"/>
      <c r="AE327" s="1705"/>
      <c r="AF327" s="1705"/>
      <c r="AG327" s="1705"/>
      <c r="AH327" s="1705"/>
      <c r="AI327" s="1705"/>
      <c r="AJ327" s="1705"/>
      <c r="AK327" s="1705"/>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673" t="s">
        <v>387</v>
      </c>
      <c r="AF330" s="1673"/>
      <c r="AG330" s="1673"/>
      <c r="AH330" s="1673"/>
      <c r="AI330" s="1673"/>
      <c r="AJ330" s="1673"/>
      <c r="AK330" s="1673"/>
      <c r="AL330" s="3"/>
      <c r="AM330" s="834"/>
      <c r="AN330" s="3"/>
    </row>
    <row r="331" spans="1:76" s="4" customFormat="1" ht="12.75" customHeight="1">
      <c r="A331" s="3"/>
      <c r="B331" s="5"/>
      <c r="C331" s="1706" t="s">
        <v>1916</v>
      </c>
      <c r="D331" s="1706"/>
      <c r="E331" s="1706"/>
      <c r="F331" s="1706"/>
      <c r="G331" s="1706"/>
      <c r="H331" s="1706"/>
      <c r="I331" s="1706"/>
      <c r="J331" s="1706"/>
      <c r="K331" s="1706"/>
      <c r="L331" s="1706"/>
      <c r="M331" s="1706"/>
      <c r="N331" s="1706"/>
      <c r="O331" s="1706"/>
      <c r="P331" s="1706"/>
      <c r="Q331" s="1706"/>
      <c r="R331" s="1706"/>
      <c r="S331" s="1706"/>
      <c r="T331" s="1706"/>
      <c r="U331" s="1706"/>
      <c r="V331" s="1706"/>
      <c r="W331" s="1706"/>
      <c r="X331" s="1706"/>
      <c r="Y331" s="1706"/>
      <c r="Z331" s="1706"/>
      <c r="AA331" s="1706"/>
      <c r="AB331" s="1706"/>
      <c r="AC331" s="1706"/>
      <c r="AD331" s="1706"/>
      <c r="AE331" s="1706"/>
      <c r="AF331" s="1706"/>
      <c r="AG331" s="1706"/>
      <c r="AH331" s="1706"/>
      <c r="AI331" s="1706"/>
      <c r="AJ331" s="1706"/>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6"/>
      <c r="D332" s="1706"/>
      <c r="E332" s="1706"/>
      <c r="F332" s="1706"/>
      <c r="G332" s="1706"/>
      <c r="H332" s="1706"/>
      <c r="I332" s="1706"/>
      <c r="J332" s="1706"/>
      <c r="K332" s="1706"/>
      <c r="L332" s="1706"/>
      <c r="M332" s="1706"/>
      <c r="N332" s="1706"/>
      <c r="O332" s="1706"/>
      <c r="P332" s="1706"/>
      <c r="Q332" s="1706"/>
      <c r="R332" s="1706"/>
      <c r="S332" s="1706"/>
      <c r="T332" s="1706"/>
      <c r="U332" s="1706"/>
      <c r="V332" s="1706"/>
      <c r="W332" s="1706"/>
      <c r="X332" s="1706"/>
      <c r="Y332" s="1706"/>
      <c r="Z332" s="1706"/>
      <c r="AA332" s="1706"/>
      <c r="AB332" s="1706"/>
      <c r="AC332" s="1706"/>
      <c r="AD332" s="1706"/>
      <c r="AE332" s="1706"/>
      <c r="AF332" s="1706"/>
      <c r="AG332" s="1706"/>
      <c r="AH332" s="1706"/>
      <c r="AI332" s="1706"/>
      <c r="AJ332" s="1706"/>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6"/>
      <c r="D333" s="1706"/>
      <c r="E333" s="1706"/>
      <c r="F333" s="1706"/>
      <c r="G333" s="1706"/>
      <c r="H333" s="1706"/>
      <c r="I333" s="1706"/>
      <c r="J333" s="1706"/>
      <c r="K333" s="1706"/>
      <c r="L333" s="1706"/>
      <c r="M333" s="1706"/>
      <c r="N333" s="1706"/>
      <c r="O333" s="1706"/>
      <c r="P333" s="1706"/>
      <c r="Q333" s="1706"/>
      <c r="R333" s="1706"/>
      <c r="S333" s="1706"/>
      <c r="T333" s="1706"/>
      <c r="U333" s="1706"/>
      <c r="V333" s="1706"/>
      <c r="W333" s="1706"/>
      <c r="X333" s="1706"/>
      <c r="Y333" s="1706"/>
      <c r="Z333" s="1706"/>
      <c r="AA333" s="1706"/>
      <c r="AB333" s="1706"/>
      <c r="AC333" s="1706"/>
      <c r="AD333" s="1706"/>
      <c r="AE333" s="1706"/>
      <c r="AF333" s="1706"/>
      <c r="AG333" s="1706"/>
      <c r="AH333" s="1706"/>
      <c r="AI333" s="1706"/>
      <c r="AJ333" s="1706"/>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6"/>
      <c r="D334" s="1706"/>
      <c r="E334" s="1706"/>
      <c r="F334" s="1706"/>
      <c r="G334" s="1706"/>
      <c r="H334" s="1706"/>
      <c r="I334" s="1706"/>
      <c r="J334" s="1706"/>
      <c r="K334" s="1706"/>
      <c r="L334" s="1706"/>
      <c r="M334" s="1706"/>
      <c r="N334" s="1706"/>
      <c r="O334" s="1706"/>
      <c r="P334" s="1706"/>
      <c r="Q334" s="1706"/>
      <c r="R334" s="1706"/>
      <c r="S334" s="1706"/>
      <c r="T334" s="1706"/>
      <c r="U334" s="1706"/>
      <c r="V334" s="1706"/>
      <c r="W334" s="1706"/>
      <c r="X334" s="1706"/>
      <c r="Y334" s="1706"/>
      <c r="Z334" s="1706"/>
      <c r="AA334" s="1706"/>
      <c r="AB334" s="1706"/>
      <c r="AC334" s="1706"/>
      <c r="AD334" s="1706"/>
      <c r="AE334" s="1706"/>
      <c r="AF334" s="1706"/>
      <c r="AG334" s="1706"/>
      <c r="AH334" s="1706"/>
      <c r="AI334" s="1706"/>
      <c r="AJ334" s="1706"/>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6"/>
      <c r="D335" s="1706"/>
      <c r="E335" s="1706"/>
      <c r="F335" s="1706"/>
      <c r="G335" s="1706"/>
      <c r="H335" s="1706"/>
      <c r="I335" s="1706"/>
      <c r="J335" s="1706"/>
      <c r="K335" s="1706"/>
      <c r="L335" s="1706"/>
      <c r="M335" s="1706"/>
      <c r="N335" s="1706"/>
      <c r="O335" s="1706"/>
      <c r="P335" s="1706"/>
      <c r="Q335" s="1706"/>
      <c r="R335" s="1706"/>
      <c r="S335" s="1706"/>
      <c r="T335" s="1706"/>
      <c r="U335" s="1706"/>
      <c r="V335" s="1706"/>
      <c r="W335" s="1706"/>
      <c r="X335" s="1706"/>
      <c r="Y335" s="1706"/>
      <c r="Z335" s="1706"/>
      <c r="AA335" s="1706"/>
      <c r="AB335" s="1706"/>
      <c r="AC335" s="1706"/>
      <c r="AD335" s="1706"/>
      <c r="AE335" s="1706"/>
      <c r="AF335" s="1706"/>
      <c r="AG335" s="1706"/>
      <c r="AH335" s="1706"/>
      <c r="AI335" s="1706"/>
      <c r="AJ335" s="1706"/>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6"/>
      <c r="D336" s="1706"/>
      <c r="E336" s="1706"/>
      <c r="F336" s="1706"/>
      <c r="G336" s="1706"/>
      <c r="H336" s="1706"/>
      <c r="I336" s="1706"/>
      <c r="J336" s="1706"/>
      <c r="K336" s="1706"/>
      <c r="L336" s="1706"/>
      <c r="M336" s="1706"/>
      <c r="N336" s="1706"/>
      <c r="O336" s="1706"/>
      <c r="P336" s="1706"/>
      <c r="Q336" s="1706"/>
      <c r="R336" s="1706"/>
      <c r="S336" s="1706"/>
      <c r="T336" s="1706"/>
      <c r="U336" s="1706"/>
      <c r="V336" s="1706"/>
      <c r="W336" s="1706"/>
      <c r="X336" s="1706"/>
      <c r="Y336" s="1706"/>
      <c r="Z336" s="1706"/>
      <c r="AA336" s="1706"/>
      <c r="AB336" s="1706"/>
      <c r="AC336" s="1706"/>
      <c r="AD336" s="1706"/>
      <c r="AE336" s="1706"/>
      <c r="AF336" s="1706"/>
      <c r="AG336" s="1706"/>
      <c r="AH336" s="1706"/>
      <c r="AI336" s="1706"/>
      <c r="AJ336" s="1706"/>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5" customHeight="1">
      <c r="A337" s="27"/>
      <c r="B337" s="26"/>
      <c r="C337" s="1706"/>
      <c r="D337" s="1706"/>
      <c r="E337" s="1706"/>
      <c r="F337" s="1706"/>
      <c r="G337" s="1706"/>
      <c r="H337" s="1706"/>
      <c r="I337" s="1706"/>
      <c r="J337" s="1706"/>
      <c r="K337" s="1706"/>
      <c r="L337" s="1706"/>
      <c r="M337" s="1706"/>
      <c r="N337" s="1706"/>
      <c r="O337" s="1706"/>
      <c r="P337" s="1706"/>
      <c r="Q337" s="1706"/>
      <c r="R337" s="1706"/>
      <c r="S337" s="1706"/>
      <c r="T337" s="1706"/>
      <c r="U337" s="1706"/>
      <c r="V337" s="1706"/>
      <c r="W337" s="1706"/>
      <c r="X337" s="1706"/>
      <c r="Y337" s="1706"/>
      <c r="Z337" s="1706"/>
      <c r="AA337" s="1706"/>
      <c r="AB337" s="1706"/>
      <c r="AC337" s="1706"/>
      <c r="AD337" s="1706"/>
      <c r="AE337" s="1706"/>
      <c r="AF337" s="1706"/>
      <c r="AG337" s="1706"/>
      <c r="AH337" s="1706"/>
      <c r="AI337" s="1706"/>
      <c r="AJ337" s="1706"/>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5" customHeight="1">
      <c r="A338" s="27"/>
      <c r="B338" s="26"/>
      <c r="C338" s="1706"/>
      <c r="D338" s="1706"/>
      <c r="E338" s="1706"/>
      <c r="F338" s="1706"/>
      <c r="G338" s="1706"/>
      <c r="H338" s="1706"/>
      <c r="I338" s="1706"/>
      <c r="J338" s="1706"/>
      <c r="K338" s="1706"/>
      <c r="L338" s="1706"/>
      <c r="M338" s="1706"/>
      <c r="N338" s="1706"/>
      <c r="O338" s="1706"/>
      <c r="P338" s="1706"/>
      <c r="Q338" s="1706"/>
      <c r="R338" s="1706"/>
      <c r="S338" s="1706"/>
      <c r="T338" s="1706"/>
      <c r="U338" s="1706"/>
      <c r="V338" s="1706"/>
      <c r="W338" s="1706"/>
      <c r="X338" s="1706"/>
      <c r="Y338" s="1706"/>
      <c r="Z338" s="1706"/>
      <c r="AA338" s="1706"/>
      <c r="AB338" s="1706"/>
      <c r="AC338" s="1706"/>
      <c r="AD338" s="1706"/>
      <c r="AE338" s="1706"/>
      <c r="AF338" s="1706"/>
      <c r="AG338" s="1706"/>
      <c r="AH338" s="1706"/>
      <c r="AI338" s="1706"/>
      <c r="AJ338" s="1706"/>
      <c r="AK338" s="27"/>
      <c r="AL338" s="27"/>
      <c r="AM338" s="27"/>
      <c r="AN338" s="281"/>
      <c r="AO338" s="185"/>
    </row>
    <row r="339" spans="1:76" s="4" customFormat="1" ht="12.75" customHeight="1">
      <c r="A339" s="27"/>
      <c r="B339" s="26"/>
      <c r="C339" s="1706" t="s">
        <v>1917</v>
      </c>
      <c r="D339" s="1706"/>
      <c r="E339" s="1706"/>
      <c r="F339" s="1706"/>
      <c r="G339" s="1706"/>
      <c r="H339" s="1706"/>
      <c r="I339" s="1706"/>
      <c r="J339" s="1706"/>
      <c r="K339" s="1706"/>
      <c r="L339" s="1706"/>
      <c r="M339" s="1706"/>
      <c r="N339" s="1706"/>
      <c r="O339" s="1706"/>
      <c r="P339" s="1706"/>
      <c r="Q339" s="1706"/>
      <c r="R339" s="1706"/>
      <c r="S339" s="1706"/>
      <c r="T339" s="1706"/>
      <c r="U339" s="1706"/>
      <c r="V339" s="1706"/>
      <c r="W339" s="1706"/>
      <c r="X339" s="1706"/>
      <c r="Y339" s="1706"/>
      <c r="Z339" s="1706"/>
      <c r="AA339" s="1706"/>
      <c r="AB339" s="1706"/>
      <c r="AC339" s="1706"/>
      <c r="AD339" s="1706"/>
      <c r="AE339" s="1706"/>
      <c r="AF339" s="1706"/>
      <c r="AG339" s="1706"/>
      <c r="AH339" s="1706"/>
      <c r="AI339" s="1706"/>
      <c r="AJ339" s="1706"/>
      <c r="AK339" s="27"/>
      <c r="AL339" s="27"/>
      <c r="AM339" s="27"/>
      <c r="AN339" s="281"/>
    </row>
    <row r="340" spans="1:76" s="4" customFormat="1" ht="12.75" customHeight="1">
      <c r="A340" s="27"/>
      <c r="B340" s="26"/>
      <c r="C340" s="1706"/>
      <c r="D340" s="1706"/>
      <c r="E340" s="1706"/>
      <c r="F340" s="1706"/>
      <c r="G340" s="1706"/>
      <c r="H340" s="1706"/>
      <c r="I340" s="1706"/>
      <c r="J340" s="1706"/>
      <c r="K340" s="1706"/>
      <c r="L340" s="1706"/>
      <c r="M340" s="1706"/>
      <c r="N340" s="1706"/>
      <c r="O340" s="1706"/>
      <c r="P340" s="1706"/>
      <c r="Q340" s="1706"/>
      <c r="R340" s="1706"/>
      <c r="S340" s="1706"/>
      <c r="T340" s="1706"/>
      <c r="U340" s="1706"/>
      <c r="V340" s="1706"/>
      <c r="W340" s="1706"/>
      <c r="X340" s="1706"/>
      <c r="Y340" s="1706"/>
      <c r="Z340" s="1706"/>
      <c r="AA340" s="1706"/>
      <c r="AB340" s="1706"/>
      <c r="AC340" s="1706"/>
      <c r="AD340" s="1706"/>
      <c r="AE340" s="1706"/>
      <c r="AF340" s="1706"/>
      <c r="AG340" s="1706"/>
      <c r="AH340" s="1706"/>
      <c r="AI340" s="1706"/>
      <c r="AJ340" s="1706"/>
      <c r="AK340" s="27"/>
      <c r="AL340" s="27"/>
      <c r="AM340" s="27"/>
      <c r="AN340" s="281"/>
    </row>
    <row r="341" spans="1:76" s="4" customFormat="1" ht="12.75" customHeight="1">
      <c r="A341" s="27"/>
      <c r="B341" s="26"/>
      <c r="C341" s="1706"/>
      <c r="D341" s="1706"/>
      <c r="E341" s="1706"/>
      <c r="F341" s="1706"/>
      <c r="G341" s="1706"/>
      <c r="H341" s="1706"/>
      <c r="I341" s="1706"/>
      <c r="J341" s="1706"/>
      <c r="K341" s="1706"/>
      <c r="L341" s="1706"/>
      <c r="M341" s="1706"/>
      <c r="N341" s="1706"/>
      <c r="O341" s="1706"/>
      <c r="P341" s="1706"/>
      <c r="Q341" s="1706"/>
      <c r="R341" s="1706"/>
      <c r="S341" s="1706"/>
      <c r="T341" s="1706"/>
      <c r="U341" s="1706"/>
      <c r="V341" s="1706"/>
      <c r="W341" s="1706"/>
      <c r="X341" s="1706"/>
      <c r="Y341" s="1706"/>
      <c r="Z341" s="1706"/>
      <c r="AA341" s="1706"/>
      <c r="AB341" s="1706"/>
      <c r="AC341" s="1706"/>
      <c r="AD341" s="1706"/>
      <c r="AE341" s="1706"/>
      <c r="AF341" s="1706"/>
      <c r="AG341" s="1706"/>
      <c r="AH341" s="1706"/>
      <c r="AI341" s="1706"/>
      <c r="AJ341" s="1706"/>
      <c r="AK341" s="27"/>
      <c r="AL341" s="27"/>
      <c r="AM341" s="27"/>
      <c r="AN341" s="281"/>
      <c r="AQ341"/>
    </row>
    <row r="342" spans="1:76" s="4" customFormat="1" ht="12.75" customHeight="1">
      <c r="A342" s="27"/>
      <c r="B342" s="26"/>
      <c r="C342" s="1706"/>
      <c r="D342" s="1706"/>
      <c r="E342" s="1706"/>
      <c r="F342" s="1706"/>
      <c r="G342" s="1706"/>
      <c r="H342" s="1706"/>
      <c r="I342" s="1706"/>
      <c r="J342" s="1706"/>
      <c r="K342" s="1706"/>
      <c r="L342" s="1706"/>
      <c r="M342" s="1706"/>
      <c r="N342" s="1706"/>
      <c r="O342" s="1706"/>
      <c r="P342" s="1706"/>
      <c r="Q342" s="1706"/>
      <c r="R342" s="1706"/>
      <c r="S342" s="1706"/>
      <c r="T342" s="1706"/>
      <c r="U342" s="1706"/>
      <c r="V342" s="1706"/>
      <c r="W342" s="1706"/>
      <c r="X342" s="1706"/>
      <c r="Y342" s="1706"/>
      <c r="Z342" s="1706"/>
      <c r="AA342" s="1706"/>
      <c r="AB342" s="1706"/>
      <c r="AC342" s="1706"/>
      <c r="AD342" s="1706"/>
      <c r="AE342" s="1706"/>
      <c r="AF342" s="1706"/>
      <c r="AG342" s="1706"/>
      <c r="AH342" s="1706"/>
      <c r="AI342" s="1706"/>
      <c r="AJ342" s="1706"/>
      <c r="AK342" s="27"/>
      <c r="AL342" s="27"/>
      <c r="AM342" s="27"/>
      <c r="AN342" s="281"/>
      <c r="AQ342"/>
    </row>
    <row r="343" spans="1:76" s="4" customFormat="1" ht="12.45" customHeight="1">
      <c r="A343" s="27"/>
      <c r="B343" s="26"/>
      <c r="C343" s="1706"/>
      <c r="D343" s="1706"/>
      <c r="E343" s="1706"/>
      <c r="F343" s="1706"/>
      <c r="G343" s="1706"/>
      <c r="H343" s="1706"/>
      <c r="I343" s="1706"/>
      <c r="J343" s="1706"/>
      <c r="K343" s="1706"/>
      <c r="L343" s="1706"/>
      <c r="M343" s="1706"/>
      <c r="N343" s="1706"/>
      <c r="O343" s="1706"/>
      <c r="P343" s="1706"/>
      <c r="Q343" s="1706"/>
      <c r="R343" s="1706"/>
      <c r="S343" s="1706"/>
      <c r="T343" s="1706"/>
      <c r="U343" s="1706"/>
      <c r="V343" s="1706"/>
      <c r="W343" s="1706"/>
      <c r="X343" s="1706"/>
      <c r="Y343" s="1706"/>
      <c r="Z343" s="1706"/>
      <c r="AA343" s="1706"/>
      <c r="AB343" s="1706"/>
      <c r="AC343" s="1706"/>
      <c r="AD343" s="1706"/>
      <c r="AE343" s="1706"/>
      <c r="AF343" s="1706"/>
      <c r="AG343" s="1706"/>
      <c r="AH343" s="1706"/>
      <c r="AI343" s="1706"/>
      <c r="AJ343" s="1706"/>
      <c r="AK343" s="27"/>
      <c r="AL343" s="27"/>
      <c r="AM343" s="27"/>
      <c r="AN343" s="281"/>
      <c r="AQ343"/>
      <c r="AR343"/>
    </row>
    <row r="344" spans="1:76" s="4" customFormat="1" ht="12.75" customHeight="1">
      <c r="A344" s="27"/>
      <c r="B344" s="26"/>
      <c r="C344" s="1706" t="s">
        <v>1918</v>
      </c>
      <c r="D344" s="1706"/>
      <c r="E344" s="1706"/>
      <c r="F344" s="1706"/>
      <c r="G344" s="1706"/>
      <c r="H344" s="1706"/>
      <c r="I344" s="1706"/>
      <c r="J344" s="1706"/>
      <c r="K344" s="1706"/>
      <c r="L344" s="1706"/>
      <c r="M344" s="1706"/>
      <c r="N344" s="1706"/>
      <c r="O344" s="1706"/>
      <c r="P344" s="1706"/>
      <c r="Q344" s="1706"/>
      <c r="R344" s="1706"/>
      <c r="S344" s="1706"/>
      <c r="T344" s="1706"/>
      <c r="U344" s="1706"/>
      <c r="V344" s="1706"/>
      <c r="W344" s="1706"/>
      <c r="X344" s="1706"/>
      <c r="Y344" s="1706"/>
      <c r="Z344" s="1706"/>
      <c r="AA344" s="1706"/>
      <c r="AB344" s="1706"/>
      <c r="AC344" s="1706"/>
      <c r="AD344" s="1706"/>
      <c r="AE344" s="1706"/>
      <c r="AF344" s="1706"/>
      <c r="AG344" s="1706"/>
      <c r="AH344" s="1706"/>
      <c r="AI344" s="1706"/>
      <c r="AJ344" s="1706"/>
      <c r="AK344" s="27"/>
      <c r="AL344" s="27"/>
      <c r="AM344" s="27"/>
      <c r="AN344" s="281"/>
      <c r="AQ344"/>
      <c r="AR344"/>
    </row>
    <row r="345" spans="1:76" s="4" customFormat="1" ht="12.75" customHeight="1">
      <c r="A345" s="27"/>
      <c r="B345" s="26"/>
      <c r="C345" s="1706"/>
      <c r="D345" s="1706"/>
      <c r="E345" s="1706"/>
      <c r="F345" s="1706"/>
      <c r="G345" s="1706"/>
      <c r="H345" s="1706"/>
      <c r="I345" s="1706"/>
      <c r="J345" s="1706"/>
      <c r="K345" s="1706"/>
      <c r="L345" s="1706"/>
      <c r="M345" s="1706"/>
      <c r="N345" s="1706"/>
      <c r="O345" s="1706"/>
      <c r="P345" s="1706"/>
      <c r="Q345" s="1706"/>
      <c r="R345" s="1706"/>
      <c r="S345" s="1706"/>
      <c r="T345" s="1706"/>
      <c r="U345" s="1706"/>
      <c r="V345" s="1706"/>
      <c r="W345" s="1706"/>
      <c r="X345" s="1706"/>
      <c r="Y345" s="1706"/>
      <c r="Z345" s="1706"/>
      <c r="AA345" s="1706"/>
      <c r="AB345" s="1706"/>
      <c r="AC345" s="1706"/>
      <c r="AD345" s="1706"/>
      <c r="AE345" s="1706"/>
      <c r="AF345" s="1706"/>
      <c r="AG345" s="1706"/>
      <c r="AH345" s="1706"/>
      <c r="AI345" s="1706"/>
      <c r="AJ345" s="1706"/>
      <c r="AK345" s="27"/>
      <c r="AL345" s="27"/>
      <c r="AM345" s="27"/>
      <c r="AN345" s="281"/>
      <c r="AR345"/>
    </row>
    <row r="346" spans="1:76" s="4" customFormat="1" ht="12.75" customHeight="1">
      <c r="A346" s="27"/>
      <c r="B346" s="26"/>
      <c r="C346" s="1706"/>
      <c r="D346" s="1706"/>
      <c r="E346" s="1706"/>
      <c r="F346" s="1706"/>
      <c r="G346" s="1706"/>
      <c r="H346" s="1706"/>
      <c r="I346" s="1706"/>
      <c r="J346" s="1706"/>
      <c r="K346" s="1706"/>
      <c r="L346" s="1706"/>
      <c r="M346" s="1706"/>
      <c r="N346" s="1706"/>
      <c r="O346" s="1706"/>
      <c r="P346" s="1706"/>
      <c r="Q346" s="1706"/>
      <c r="R346" s="1706"/>
      <c r="S346" s="1706"/>
      <c r="T346" s="1706"/>
      <c r="U346" s="1706"/>
      <c r="V346" s="1706"/>
      <c r="W346" s="1706"/>
      <c r="X346" s="1706"/>
      <c r="Y346" s="1706"/>
      <c r="Z346" s="1706"/>
      <c r="AA346" s="1706"/>
      <c r="AB346" s="1706"/>
      <c r="AC346" s="1706"/>
      <c r="AD346" s="1706"/>
      <c r="AE346" s="1706"/>
      <c r="AF346" s="1706"/>
      <c r="AG346" s="1706"/>
      <c r="AH346" s="1706"/>
      <c r="AI346" s="1706"/>
      <c r="AJ346" s="1706"/>
      <c r="AK346" s="27"/>
      <c r="AL346" s="27"/>
      <c r="AM346" s="27"/>
      <c r="AN346" s="281"/>
      <c r="AR346"/>
    </row>
    <row r="347" spans="1:76" s="4" customFormat="1" ht="12.75" customHeight="1">
      <c r="A347" s="27"/>
      <c r="B347" s="26"/>
      <c r="C347" s="1706" t="s">
        <v>1919</v>
      </c>
      <c r="D347" s="1706"/>
      <c r="E347" s="1706"/>
      <c r="F347" s="1706"/>
      <c r="G347" s="1706"/>
      <c r="H347" s="1706"/>
      <c r="I347" s="1706"/>
      <c r="J347" s="1706"/>
      <c r="K347" s="1706"/>
      <c r="L347" s="1706"/>
      <c r="M347" s="1706"/>
      <c r="N347" s="1706"/>
      <c r="O347" s="1706"/>
      <c r="P347" s="1706"/>
      <c r="Q347" s="1706"/>
      <c r="R347" s="1706"/>
      <c r="S347" s="1706"/>
      <c r="T347" s="1706"/>
      <c r="U347" s="1706"/>
      <c r="V347" s="1706"/>
      <c r="W347" s="1706"/>
      <c r="X347" s="1706"/>
      <c r="Y347" s="1706"/>
      <c r="Z347" s="1706"/>
      <c r="AA347" s="1706"/>
      <c r="AB347" s="1706"/>
      <c r="AC347" s="1706"/>
      <c r="AD347" s="1706"/>
      <c r="AE347" s="1706"/>
      <c r="AF347" s="1706"/>
      <c r="AG347" s="1706"/>
      <c r="AH347" s="1706"/>
      <c r="AI347" s="1706"/>
      <c r="AJ347" s="1706"/>
      <c r="AK347" s="27"/>
      <c r="AL347" s="27"/>
      <c r="AM347" s="27"/>
      <c r="AN347" s="281"/>
      <c r="AQ347"/>
      <c r="AR347"/>
    </row>
    <row r="348" spans="1:76" s="4" customFormat="1" ht="12.75" customHeight="1">
      <c r="A348" s="27"/>
      <c r="B348" s="26"/>
      <c r="C348" s="1706"/>
      <c r="D348" s="1706"/>
      <c r="E348" s="1706"/>
      <c r="F348" s="1706"/>
      <c r="G348" s="1706"/>
      <c r="H348" s="1706"/>
      <c r="I348" s="1706"/>
      <c r="J348" s="1706"/>
      <c r="K348" s="1706"/>
      <c r="L348" s="1706"/>
      <c r="M348" s="1706"/>
      <c r="N348" s="1706"/>
      <c r="O348" s="1706"/>
      <c r="P348" s="1706"/>
      <c r="Q348" s="1706"/>
      <c r="R348" s="1706"/>
      <c r="S348" s="1706"/>
      <c r="T348" s="1706"/>
      <c r="U348" s="1706"/>
      <c r="V348" s="1706"/>
      <c r="W348" s="1706"/>
      <c r="X348" s="1706"/>
      <c r="Y348" s="1706"/>
      <c r="Z348" s="1706"/>
      <c r="AA348" s="1706"/>
      <c r="AB348" s="1706"/>
      <c r="AC348" s="1706"/>
      <c r="AD348" s="1706"/>
      <c r="AE348" s="1706"/>
      <c r="AF348" s="1706"/>
      <c r="AG348" s="1706"/>
      <c r="AH348" s="1706"/>
      <c r="AI348" s="1706"/>
      <c r="AJ348" s="1706"/>
      <c r="AK348" s="27"/>
      <c r="AL348" s="27"/>
      <c r="AM348" s="27"/>
      <c r="AN348" s="281"/>
      <c r="AQ348"/>
      <c r="AR348"/>
    </row>
    <row r="349" spans="1:76" s="4" customFormat="1" ht="13.2" customHeight="1">
      <c r="A349" s="27"/>
      <c r="B349" s="26"/>
      <c r="C349" s="1706"/>
      <c r="D349" s="1706"/>
      <c r="E349" s="1706"/>
      <c r="F349" s="1706"/>
      <c r="G349" s="1706"/>
      <c r="H349" s="1706"/>
      <c r="I349" s="1706"/>
      <c r="J349" s="1706"/>
      <c r="K349" s="1706"/>
      <c r="L349" s="1706"/>
      <c r="M349" s="1706"/>
      <c r="N349" s="1706"/>
      <c r="O349" s="1706"/>
      <c r="P349" s="1706"/>
      <c r="Q349" s="1706"/>
      <c r="R349" s="1706"/>
      <c r="S349" s="1706"/>
      <c r="T349" s="1706"/>
      <c r="U349" s="1706"/>
      <c r="V349" s="1706"/>
      <c r="W349" s="1706"/>
      <c r="X349" s="1706"/>
      <c r="Y349" s="1706"/>
      <c r="Z349" s="1706"/>
      <c r="AA349" s="1706"/>
      <c r="AB349" s="1706"/>
      <c r="AC349" s="1706"/>
      <c r="AD349" s="1706"/>
      <c r="AE349" s="1706"/>
      <c r="AF349" s="1706"/>
      <c r="AG349" s="1706"/>
      <c r="AH349" s="1706"/>
      <c r="AI349" s="1706"/>
      <c r="AJ349" s="1706"/>
      <c r="AK349" s="27"/>
      <c r="AL349" s="27"/>
      <c r="AM349" s="27"/>
      <c r="AN349" s="281"/>
      <c r="AQ349"/>
      <c r="AR349"/>
    </row>
    <row r="350" spans="1:76" s="4" customFormat="1" ht="12.75" customHeight="1">
      <c r="A350" s="27"/>
      <c r="B350" s="26"/>
      <c r="C350" s="1706"/>
      <c r="D350" s="1706"/>
      <c r="E350" s="1706"/>
      <c r="F350" s="1706"/>
      <c r="G350" s="1706"/>
      <c r="H350" s="1706"/>
      <c r="I350" s="1706"/>
      <c r="J350" s="1706"/>
      <c r="K350" s="1706"/>
      <c r="L350" s="1706"/>
      <c r="M350" s="1706"/>
      <c r="N350" s="1706"/>
      <c r="O350" s="1706"/>
      <c r="P350" s="1706"/>
      <c r="Q350" s="1706"/>
      <c r="R350" s="1706"/>
      <c r="S350" s="1706"/>
      <c r="T350" s="1706"/>
      <c r="U350" s="1706"/>
      <c r="V350" s="1706"/>
      <c r="W350" s="1706"/>
      <c r="X350" s="1706"/>
      <c r="Y350" s="1706"/>
      <c r="Z350" s="1706"/>
      <c r="AA350" s="1706"/>
      <c r="AB350" s="1706"/>
      <c r="AC350" s="1706"/>
      <c r="AD350" s="1706"/>
      <c r="AE350" s="1706"/>
      <c r="AF350" s="1706"/>
      <c r="AG350" s="1706"/>
      <c r="AH350" s="1706"/>
      <c r="AI350" s="1706"/>
      <c r="AJ350" s="1706"/>
      <c r="AK350" s="27"/>
      <c r="AL350" s="27"/>
      <c r="AM350" s="27"/>
      <c r="AN350" s="281"/>
      <c r="AO350" s="170"/>
      <c r="AP350" s="170"/>
      <c r="AQ350"/>
    </row>
    <row r="351" spans="1:76" s="4" customFormat="1" ht="11.85" customHeight="1">
      <c r="A351" s="27"/>
      <c r="B351" s="26"/>
      <c r="C351" s="1706"/>
      <c r="D351" s="1706"/>
      <c r="E351" s="1706"/>
      <c r="F351" s="1706"/>
      <c r="G351" s="1706"/>
      <c r="H351" s="1706"/>
      <c r="I351" s="1706"/>
      <c r="J351" s="1706"/>
      <c r="K351" s="1706"/>
      <c r="L351" s="1706"/>
      <c r="M351" s="1706"/>
      <c r="N351" s="1706"/>
      <c r="O351" s="1706"/>
      <c r="P351" s="1706"/>
      <c r="Q351" s="1706"/>
      <c r="R351" s="1706"/>
      <c r="S351" s="1706"/>
      <c r="T351" s="1706"/>
      <c r="U351" s="1706"/>
      <c r="V351" s="1706"/>
      <c r="W351" s="1706"/>
      <c r="X351" s="1706"/>
      <c r="Y351" s="1706"/>
      <c r="Z351" s="1706"/>
      <c r="AA351" s="1706"/>
      <c r="AB351" s="1706"/>
      <c r="AC351" s="1706"/>
      <c r="AD351" s="1706"/>
      <c r="AE351" s="1706"/>
      <c r="AF351" s="1706"/>
      <c r="AG351" s="1706"/>
      <c r="AH351" s="1706"/>
      <c r="AI351" s="1706"/>
      <c r="AJ351" s="1706"/>
      <c r="AK351" s="27"/>
      <c r="AL351" s="27"/>
      <c r="AM351" s="27"/>
      <c r="AN351" s="281"/>
      <c r="AO351" s="695" t="s">
        <v>942</v>
      </c>
      <c r="AP351" s="71">
        <f>IF(C376="Yes",5,0)</f>
        <v>0</v>
      </c>
      <c r="AS351" s="3" t="s">
        <v>1850</v>
      </c>
    </row>
    <row r="352" spans="1:76" s="4" customFormat="1" ht="12.75" customHeight="1">
      <c r="A352" s="27"/>
      <c r="B352" s="26"/>
      <c r="C352" s="1706"/>
      <c r="D352" s="1706"/>
      <c r="E352" s="1706"/>
      <c r="F352" s="1706"/>
      <c r="G352" s="1706"/>
      <c r="H352" s="1706"/>
      <c r="I352" s="1706"/>
      <c r="J352" s="1706"/>
      <c r="K352" s="1706"/>
      <c r="L352" s="1706"/>
      <c r="M352" s="1706"/>
      <c r="N352" s="1706"/>
      <c r="O352" s="1706"/>
      <c r="P352" s="1706"/>
      <c r="Q352" s="1706"/>
      <c r="R352" s="1706"/>
      <c r="S352" s="1706"/>
      <c r="T352" s="1706"/>
      <c r="U352" s="1706"/>
      <c r="V352" s="1706"/>
      <c r="W352" s="1706"/>
      <c r="X352" s="1706"/>
      <c r="Y352" s="1706"/>
      <c r="Z352" s="1706"/>
      <c r="AA352" s="1706"/>
      <c r="AB352" s="1706"/>
      <c r="AC352" s="1706"/>
      <c r="AD352" s="1706"/>
      <c r="AE352" s="1706"/>
      <c r="AF352" s="1706"/>
      <c r="AG352" s="1706"/>
      <c r="AH352" s="1706"/>
      <c r="AI352" s="1706"/>
      <c r="AJ352" s="1706"/>
      <c r="AK352" s="27"/>
      <c r="AL352" s="27"/>
      <c r="AM352" s="27"/>
      <c r="AN352" s="281"/>
      <c r="AO352" s="695"/>
      <c r="AP352" s="71"/>
      <c r="AS352" s="1851">
        <f>IF(AQ365=0,AQ378,AQ365)</f>
        <v>10</v>
      </c>
      <c r="AT352" s="1851"/>
    </row>
    <row r="353" spans="1:46" s="4" customFormat="1" ht="12.75" customHeight="1">
      <c r="A353" s="27"/>
      <c r="B353" s="26"/>
      <c r="C353" s="1706"/>
      <c r="D353" s="1706"/>
      <c r="E353" s="1706"/>
      <c r="F353" s="1706"/>
      <c r="G353" s="1706"/>
      <c r="H353" s="1706"/>
      <c r="I353" s="1706"/>
      <c r="J353" s="1706"/>
      <c r="K353" s="1706"/>
      <c r="L353" s="1706"/>
      <c r="M353" s="1706"/>
      <c r="N353" s="1706"/>
      <c r="O353" s="1706"/>
      <c r="P353" s="1706"/>
      <c r="Q353" s="1706"/>
      <c r="R353" s="1706"/>
      <c r="S353" s="1706"/>
      <c r="T353" s="1706"/>
      <c r="U353" s="1706"/>
      <c r="V353" s="1706"/>
      <c r="W353" s="1706"/>
      <c r="X353" s="1706"/>
      <c r="Y353" s="1706"/>
      <c r="Z353" s="1706"/>
      <c r="AA353" s="1706"/>
      <c r="AB353" s="1706"/>
      <c r="AC353" s="1706"/>
      <c r="AD353" s="1706"/>
      <c r="AE353" s="1706"/>
      <c r="AF353" s="1706"/>
      <c r="AG353" s="1706"/>
      <c r="AH353" s="1706"/>
      <c r="AI353" s="1706"/>
      <c r="AJ353" s="1706"/>
      <c r="AK353" s="27"/>
      <c r="AL353" s="27"/>
      <c r="AM353" s="27"/>
      <c r="AN353" s="281"/>
      <c r="AO353" s="695" t="s">
        <v>943</v>
      </c>
      <c r="AP353" s="71">
        <f>IF(C386="Yes",5,0)</f>
        <v>0</v>
      </c>
      <c r="AS353" s="3" t="s">
        <v>1883</v>
      </c>
    </row>
    <row r="354" spans="1:46" s="4" customFormat="1" ht="12.75" customHeight="1">
      <c r="A354" s="27"/>
      <c r="B354" s="26"/>
      <c r="C354" s="1706"/>
      <c r="D354" s="1706"/>
      <c r="E354" s="1706"/>
      <c r="F354" s="1706"/>
      <c r="G354" s="1706"/>
      <c r="H354" s="1706"/>
      <c r="I354" s="1706"/>
      <c r="J354" s="1706"/>
      <c r="K354" s="1706"/>
      <c r="L354" s="1706"/>
      <c r="M354" s="1706"/>
      <c r="N354" s="1706"/>
      <c r="O354" s="1706"/>
      <c r="P354" s="1706"/>
      <c r="Q354" s="1706"/>
      <c r="R354" s="1706"/>
      <c r="S354" s="1706"/>
      <c r="T354" s="1706"/>
      <c r="U354" s="1706"/>
      <c r="V354" s="1706"/>
      <c r="W354" s="1706"/>
      <c r="X354" s="1706"/>
      <c r="Y354" s="1706"/>
      <c r="Z354" s="1706"/>
      <c r="AA354" s="1706"/>
      <c r="AB354" s="1706"/>
      <c r="AC354" s="1706"/>
      <c r="AD354" s="1706"/>
      <c r="AE354" s="1706"/>
      <c r="AF354" s="1706"/>
      <c r="AG354" s="1706"/>
      <c r="AH354" s="1706"/>
      <c r="AI354" s="1706"/>
      <c r="AJ354" s="1706"/>
      <c r="AK354" s="27"/>
      <c r="AL354" s="27"/>
      <c r="AM354" s="27"/>
      <c r="AN354" s="281"/>
      <c r="AO354" s="695"/>
      <c r="AP354" s="71"/>
      <c r="AS354" s="1851">
        <f>IF(AND(AQ365&gt;0,AQ378&gt;0),(AQ365+AQ378)/2,0)</f>
        <v>0</v>
      </c>
      <c r="AT354" s="1851"/>
    </row>
    <row r="355" spans="1:46" s="4" customFormat="1" ht="12.75" customHeight="1">
      <c r="A355" s="27"/>
      <c r="B355" s="26"/>
      <c r="C355" s="1706"/>
      <c r="D355" s="1706"/>
      <c r="E355" s="1706"/>
      <c r="F355" s="1706"/>
      <c r="G355" s="1706"/>
      <c r="H355" s="1706"/>
      <c r="I355" s="1706"/>
      <c r="J355" s="1706"/>
      <c r="K355" s="1706"/>
      <c r="L355" s="1706"/>
      <c r="M355" s="1706"/>
      <c r="N355" s="1706"/>
      <c r="O355" s="1706"/>
      <c r="P355" s="1706"/>
      <c r="Q355" s="1706"/>
      <c r="R355" s="1706"/>
      <c r="S355" s="1706"/>
      <c r="T355" s="1706"/>
      <c r="U355" s="1706"/>
      <c r="V355" s="1706"/>
      <c r="W355" s="1706"/>
      <c r="X355" s="1706"/>
      <c r="Y355" s="1706"/>
      <c r="Z355" s="1706"/>
      <c r="AA355" s="1706"/>
      <c r="AB355" s="1706"/>
      <c r="AC355" s="1706"/>
      <c r="AD355" s="1706"/>
      <c r="AE355" s="1706"/>
      <c r="AF355" s="1706"/>
      <c r="AG355" s="1706"/>
      <c r="AH355" s="1706"/>
      <c r="AI355" s="1706"/>
      <c r="AJ355" s="1706"/>
      <c r="AK355" s="27"/>
      <c r="AL355" s="27"/>
      <c r="AM355" s="27"/>
      <c r="AN355" s="281"/>
      <c r="AO355" s="695" t="s">
        <v>949</v>
      </c>
      <c r="AP355" s="71">
        <f>IF(C396="Yes",7,0)</f>
        <v>7</v>
      </c>
    </row>
    <row r="356" spans="1:46" s="4" customFormat="1" ht="12.75" customHeight="1">
      <c r="A356" s="27"/>
      <c r="B356" s="26"/>
      <c r="C356" s="1706" t="s">
        <v>1920</v>
      </c>
      <c r="D356" s="1706"/>
      <c r="E356" s="1706"/>
      <c r="F356" s="1706"/>
      <c r="G356" s="1706"/>
      <c r="H356" s="1706"/>
      <c r="I356" s="1706"/>
      <c r="J356" s="1706"/>
      <c r="K356" s="1706"/>
      <c r="L356" s="1706"/>
      <c r="M356" s="1706"/>
      <c r="N356" s="1706"/>
      <c r="O356" s="1706"/>
      <c r="P356" s="1706"/>
      <c r="Q356" s="1706"/>
      <c r="R356" s="1706"/>
      <c r="S356" s="1706"/>
      <c r="T356" s="1706"/>
      <c r="U356" s="1706"/>
      <c r="V356" s="1706"/>
      <c r="W356" s="1706"/>
      <c r="X356" s="1706"/>
      <c r="Y356" s="1706"/>
      <c r="Z356" s="1706"/>
      <c r="AA356" s="1706"/>
      <c r="AB356" s="1706"/>
      <c r="AC356" s="1706"/>
      <c r="AD356" s="1706"/>
      <c r="AE356" s="1706"/>
      <c r="AF356" s="1706"/>
      <c r="AG356" s="1706"/>
      <c r="AH356" s="1706"/>
      <c r="AI356" s="1706"/>
      <c r="AJ356" s="1706"/>
      <c r="AK356" s="27"/>
      <c r="AL356" s="27"/>
      <c r="AM356" s="27"/>
      <c r="AN356" s="281"/>
      <c r="AO356" s="281"/>
      <c r="AP356" s="71">
        <f>IF(C398="Yes",5,0)</f>
        <v>0</v>
      </c>
    </row>
    <row r="357" spans="1:46" s="4" customFormat="1" ht="12.75" customHeight="1">
      <c r="A357" s="27"/>
      <c r="B357" s="26"/>
      <c r="C357" s="1706"/>
      <c r="D357" s="1706"/>
      <c r="E357" s="1706"/>
      <c r="F357" s="1706"/>
      <c r="G357" s="1706"/>
      <c r="H357" s="1706"/>
      <c r="I357" s="1706"/>
      <c r="J357" s="1706"/>
      <c r="K357" s="1706"/>
      <c r="L357" s="1706"/>
      <c r="M357" s="1706"/>
      <c r="N357" s="1706"/>
      <c r="O357" s="1706"/>
      <c r="P357" s="1706"/>
      <c r="Q357" s="1706"/>
      <c r="R357" s="1706"/>
      <c r="S357" s="1706"/>
      <c r="T357" s="1706"/>
      <c r="U357" s="1706"/>
      <c r="V357" s="1706"/>
      <c r="W357" s="1706"/>
      <c r="X357" s="1706"/>
      <c r="Y357" s="1706"/>
      <c r="Z357" s="1706"/>
      <c r="AA357" s="1706"/>
      <c r="AB357" s="1706"/>
      <c r="AC357" s="1706"/>
      <c r="AD357" s="1706"/>
      <c r="AE357" s="1706"/>
      <c r="AF357" s="1706"/>
      <c r="AG357" s="1706"/>
      <c r="AH357" s="1706"/>
      <c r="AI357" s="1706"/>
      <c r="AJ357" s="1706"/>
      <c r="AK357" s="27"/>
      <c r="AL357" s="27"/>
      <c r="AM357" s="27"/>
      <c r="AN357" s="281"/>
      <c r="AO357" s="281"/>
      <c r="AP357" s="71"/>
    </row>
    <row r="358" spans="1:46" s="4" customFormat="1" ht="12.75" customHeight="1">
      <c r="A358" s="27"/>
      <c r="B358" s="26"/>
      <c r="C358" s="1706"/>
      <c r="D358" s="1706"/>
      <c r="E358" s="1706"/>
      <c r="F358" s="1706"/>
      <c r="G358" s="1706"/>
      <c r="H358" s="1706"/>
      <c r="I358" s="1706"/>
      <c r="J358" s="1706"/>
      <c r="K358" s="1706"/>
      <c r="L358" s="1706"/>
      <c r="M358" s="1706"/>
      <c r="N358" s="1706"/>
      <c r="O358" s="1706"/>
      <c r="P358" s="1706"/>
      <c r="Q358" s="1706"/>
      <c r="R358" s="1706"/>
      <c r="S358" s="1706"/>
      <c r="T358" s="1706"/>
      <c r="U358" s="1706"/>
      <c r="V358" s="1706"/>
      <c r="W358" s="1706"/>
      <c r="X358" s="1706"/>
      <c r="Y358" s="1706"/>
      <c r="Z358" s="1706"/>
      <c r="AA358" s="1706"/>
      <c r="AB358" s="1706"/>
      <c r="AC358" s="1706"/>
      <c r="AD358" s="1706"/>
      <c r="AE358" s="1706"/>
      <c r="AF358" s="1706"/>
      <c r="AG358" s="1706"/>
      <c r="AH358" s="1706"/>
      <c r="AI358" s="1706"/>
      <c r="AJ358" s="1706"/>
      <c r="AK358" s="27"/>
      <c r="AL358" s="27"/>
      <c r="AM358" s="27"/>
      <c r="AN358" s="281"/>
      <c r="AO358" s="695" t="s">
        <v>458</v>
      </c>
      <c r="AP358" s="71">
        <f>IF(C406="Yes",5,0)</f>
        <v>0</v>
      </c>
    </row>
    <row r="359" spans="1:46" s="4" customFormat="1" ht="11.85" customHeight="1">
      <c r="A359" s="27"/>
      <c r="B359" s="26"/>
      <c r="C359" s="1706"/>
      <c r="D359" s="1706"/>
      <c r="E359" s="1706"/>
      <c r="F359" s="1706"/>
      <c r="G359" s="1706"/>
      <c r="H359" s="1706"/>
      <c r="I359" s="1706"/>
      <c r="J359" s="1706"/>
      <c r="K359" s="1706"/>
      <c r="L359" s="1706"/>
      <c r="M359" s="1706"/>
      <c r="N359" s="1706"/>
      <c r="O359" s="1706"/>
      <c r="P359" s="1706"/>
      <c r="Q359" s="1706"/>
      <c r="R359" s="1706"/>
      <c r="S359" s="1706"/>
      <c r="T359" s="1706"/>
      <c r="U359" s="1706"/>
      <c r="V359" s="1706"/>
      <c r="W359" s="1706"/>
      <c r="X359" s="1706"/>
      <c r="Y359" s="1706"/>
      <c r="Z359" s="1706"/>
      <c r="AA359" s="1706"/>
      <c r="AB359" s="1706"/>
      <c r="AC359" s="1706"/>
      <c r="AD359" s="1706"/>
      <c r="AE359" s="1706"/>
      <c r="AF359" s="1706"/>
      <c r="AG359" s="1706"/>
      <c r="AH359" s="1706"/>
      <c r="AI359" s="1706"/>
      <c r="AJ359" s="1706"/>
      <c r="AK359" s="27"/>
      <c r="AL359" s="27"/>
      <c r="AM359" s="27"/>
      <c r="AN359" s="281"/>
      <c r="AO359" s="281"/>
      <c r="AP359" s="71">
        <f>IF(C408="Yes",3,0)</f>
        <v>0</v>
      </c>
    </row>
    <row r="360" spans="1:46" s="4" customFormat="1" ht="12.45" customHeight="1">
      <c r="A360" s="27"/>
      <c r="B360" s="26"/>
      <c r="C360" s="1706"/>
      <c r="D360" s="1706"/>
      <c r="E360" s="1706"/>
      <c r="F360" s="1706"/>
      <c r="G360" s="1706"/>
      <c r="H360" s="1706"/>
      <c r="I360" s="1706"/>
      <c r="J360" s="1706"/>
      <c r="K360" s="1706"/>
      <c r="L360" s="1706"/>
      <c r="M360" s="1706"/>
      <c r="N360" s="1706"/>
      <c r="O360" s="1706"/>
      <c r="P360" s="1706"/>
      <c r="Q360" s="1706"/>
      <c r="R360" s="1706"/>
      <c r="S360" s="1706"/>
      <c r="T360" s="1706"/>
      <c r="U360" s="1706"/>
      <c r="V360" s="1706"/>
      <c r="W360" s="1706"/>
      <c r="X360" s="1706"/>
      <c r="Y360" s="1706"/>
      <c r="Z360" s="1706"/>
      <c r="AA360" s="1706"/>
      <c r="AB360" s="1706"/>
      <c r="AC360" s="1706"/>
      <c r="AD360" s="1706"/>
      <c r="AE360" s="1706"/>
      <c r="AF360" s="1706"/>
      <c r="AG360" s="1706"/>
      <c r="AH360" s="1706"/>
      <c r="AI360" s="1706"/>
      <c r="AJ360" s="1706"/>
      <c r="AK360" s="27"/>
      <c r="AL360" s="27"/>
      <c r="AM360" s="27"/>
      <c r="AN360" s="281"/>
      <c r="AO360" s="281"/>
      <c r="AP360" s="71"/>
    </row>
    <row r="361" spans="1:46" s="4" customFormat="1" ht="12.75" customHeight="1">
      <c r="A361" s="27"/>
      <c r="B361" s="26"/>
      <c r="C361" s="1706"/>
      <c r="D361" s="1706"/>
      <c r="E361" s="1706"/>
      <c r="F361" s="1706"/>
      <c r="G361" s="1706"/>
      <c r="H361" s="1706"/>
      <c r="I361" s="1706"/>
      <c r="J361" s="1706"/>
      <c r="K361" s="1706"/>
      <c r="L361" s="1706"/>
      <c r="M361" s="1706"/>
      <c r="N361" s="1706"/>
      <c r="O361" s="1706"/>
      <c r="P361" s="1706"/>
      <c r="Q361" s="1706"/>
      <c r="R361" s="1706"/>
      <c r="S361" s="1706"/>
      <c r="T361" s="1706"/>
      <c r="U361" s="1706"/>
      <c r="V361" s="1706"/>
      <c r="W361" s="1706"/>
      <c r="X361" s="1706"/>
      <c r="Y361" s="1706"/>
      <c r="Z361" s="1706"/>
      <c r="AA361" s="1706"/>
      <c r="AB361" s="1706"/>
      <c r="AC361" s="1706"/>
      <c r="AD361" s="1706"/>
      <c r="AE361" s="1706"/>
      <c r="AF361" s="1706"/>
      <c r="AG361" s="1706"/>
      <c r="AH361" s="1706"/>
      <c r="AI361" s="1706"/>
      <c r="AJ361" s="1706"/>
      <c r="AK361" s="27"/>
      <c r="AL361" s="27"/>
      <c r="AM361" s="27"/>
      <c r="AN361" s="281"/>
      <c r="AO361" s="695" t="s">
        <v>181</v>
      </c>
      <c r="AP361" s="71">
        <f>IF(C411="Yes",5,0)</f>
        <v>0</v>
      </c>
    </row>
    <row r="362" spans="1:46" s="4" customFormat="1" ht="12.75" customHeight="1">
      <c r="A362" s="27"/>
      <c r="B362" s="26"/>
      <c r="C362" s="1706"/>
      <c r="D362" s="1706"/>
      <c r="E362" s="1706"/>
      <c r="F362" s="1706"/>
      <c r="G362" s="1706"/>
      <c r="H362" s="1706"/>
      <c r="I362" s="1706"/>
      <c r="J362" s="1706"/>
      <c r="K362" s="1706"/>
      <c r="L362" s="1706"/>
      <c r="M362" s="1706"/>
      <c r="N362" s="1706"/>
      <c r="O362" s="1706"/>
      <c r="P362" s="1706"/>
      <c r="Q362" s="1706"/>
      <c r="R362" s="1706"/>
      <c r="S362" s="1706"/>
      <c r="T362" s="1706"/>
      <c r="U362" s="1706"/>
      <c r="V362" s="1706"/>
      <c r="W362" s="1706"/>
      <c r="X362" s="1706"/>
      <c r="Y362" s="1706"/>
      <c r="Z362" s="1706"/>
      <c r="AA362" s="1706"/>
      <c r="AB362" s="1706"/>
      <c r="AC362" s="1706"/>
      <c r="AD362" s="1706"/>
      <c r="AE362" s="1706"/>
      <c r="AF362" s="1706"/>
      <c r="AG362" s="1706"/>
      <c r="AH362" s="1706"/>
      <c r="AI362" s="1706"/>
      <c r="AJ362" s="1706"/>
      <c r="AK362" s="27"/>
      <c r="AL362" s="27"/>
      <c r="AM362" s="27"/>
      <c r="AN362" s="281"/>
      <c r="AO362" s="695" t="s">
        <v>461</v>
      </c>
      <c r="AP362" s="71">
        <f>IF(C420="Yes",5,0)</f>
        <v>0</v>
      </c>
    </row>
    <row r="363" spans="1:46" s="4" customFormat="1" ht="12.75" customHeight="1">
      <c r="A363" s="27"/>
      <c r="B363" s="26"/>
      <c r="C363" s="1706" t="s">
        <v>1921</v>
      </c>
      <c r="D363" s="1706"/>
      <c r="E363" s="1706"/>
      <c r="F363" s="1706"/>
      <c r="G363" s="1706"/>
      <c r="H363" s="1706"/>
      <c r="I363" s="1706"/>
      <c r="J363" s="1706"/>
      <c r="K363" s="1706"/>
      <c r="L363" s="1706"/>
      <c r="M363" s="1706"/>
      <c r="N363" s="1706"/>
      <c r="O363" s="1706"/>
      <c r="P363" s="1706"/>
      <c r="Q363" s="1706"/>
      <c r="R363" s="1706"/>
      <c r="S363" s="1706"/>
      <c r="T363" s="1706"/>
      <c r="U363" s="1706"/>
      <c r="V363" s="1706"/>
      <c r="W363" s="1706"/>
      <c r="X363" s="1706"/>
      <c r="Y363" s="1706"/>
      <c r="Z363" s="1706"/>
      <c r="AA363" s="1706"/>
      <c r="AB363" s="1706"/>
      <c r="AC363" s="1706"/>
      <c r="AD363" s="1706"/>
      <c r="AE363" s="1706"/>
      <c r="AF363" s="1706"/>
      <c r="AG363" s="1706"/>
      <c r="AH363" s="1706"/>
      <c r="AI363" s="1706"/>
      <c r="AJ363" s="1706"/>
      <c r="AK363" s="27"/>
      <c r="AL363" s="27"/>
      <c r="AM363" s="27"/>
      <c r="AN363" s="281"/>
      <c r="AO363" s="281"/>
      <c r="AP363" s="71">
        <f>IF(C422="Yes",3,0)</f>
        <v>3</v>
      </c>
    </row>
    <row r="364" spans="1:46" s="4" customFormat="1" ht="12.75" customHeight="1">
      <c r="A364" s="27"/>
      <c r="B364" s="26"/>
      <c r="C364" s="1706"/>
      <c r="D364" s="1706"/>
      <c r="E364" s="1706"/>
      <c r="F364" s="1706"/>
      <c r="G364" s="1706"/>
      <c r="H364" s="1706"/>
      <c r="I364" s="1706"/>
      <c r="J364" s="1706"/>
      <c r="K364" s="1706"/>
      <c r="L364" s="1706"/>
      <c r="M364" s="1706"/>
      <c r="N364" s="1706"/>
      <c r="O364" s="1706"/>
      <c r="P364" s="1706"/>
      <c r="Q364" s="1706"/>
      <c r="R364" s="1706"/>
      <c r="S364" s="1706"/>
      <c r="T364" s="1706"/>
      <c r="U364" s="1706"/>
      <c r="V364" s="1706"/>
      <c r="W364" s="1706"/>
      <c r="X364" s="1706"/>
      <c r="Y364" s="1706"/>
      <c r="Z364" s="1706"/>
      <c r="AA364" s="1706"/>
      <c r="AB364" s="1706"/>
      <c r="AC364" s="1706"/>
      <c r="AD364" s="1706"/>
      <c r="AE364" s="1706"/>
      <c r="AF364" s="1706"/>
      <c r="AG364" s="1706"/>
      <c r="AH364" s="1706"/>
      <c r="AI364" s="1706"/>
      <c r="AJ364" s="1706"/>
      <c r="AK364" s="27"/>
      <c r="AL364" s="27"/>
      <c r="AM364" s="27"/>
      <c r="AN364" s="281"/>
      <c r="AO364" s="696"/>
      <c r="AP364" s="55"/>
    </row>
    <row r="365" spans="1:46" s="4" customFormat="1" ht="68.099999999999994" customHeight="1">
      <c r="A365" s="27"/>
      <c r="B365" s="26"/>
      <c r="C365" s="1706"/>
      <c r="D365" s="1706"/>
      <c r="E365" s="1706"/>
      <c r="F365" s="1706"/>
      <c r="G365" s="1706"/>
      <c r="H365" s="1706"/>
      <c r="I365" s="1706"/>
      <c r="J365" s="1706"/>
      <c r="K365" s="1706"/>
      <c r="L365" s="1706"/>
      <c r="M365" s="1706"/>
      <c r="N365" s="1706"/>
      <c r="O365" s="1706"/>
      <c r="P365" s="1706"/>
      <c r="Q365" s="1706"/>
      <c r="R365" s="1706"/>
      <c r="S365" s="1706"/>
      <c r="T365" s="1706"/>
      <c r="U365" s="1706"/>
      <c r="V365" s="1706"/>
      <c r="W365" s="1706"/>
      <c r="X365" s="1706"/>
      <c r="Y365" s="1706"/>
      <c r="Z365" s="1706"/>
      <c r="AA365" s="1706"/>
      <c r="AB365" s="1706"/>
      <c r="AC365" s="1706"/>
      <c r="AD365" s="1706"/>
      <c r="AE365" s="1706"/>
      <c r="AF365" s="1706"/>
      <c r="AG365" s="1706"/>
      <c r="AH365" s="1706"/>
      <c r="AI365" s="1706"/>
      <c r="AJ365" s="1706"/>
      <c r="AK365" s="27"/>
      <c r="AL365" s="27"/>
      <c r="AM365" s="27"/>
      <c r="AN365" s="281"/>
      <c r="AO365" s="697" t="s">
        <v>644</v>
      </c>
      <c r="AP365" s="168">
        <f>SUM(AP351:AP364)</f>
        <v>10</v>
      </c>
      <c r="AQ365" s="1222">
        <f>IF(AP365&gt;0,AP365,0)</f>
        <v>10</v>
      </c>
      <c r="AR365" s="1222"/>
    </row>
    <row r="366" spans="1:46" s="4" customFormat="1" ht="12.45" customHeight="1">
      <c r="A366" s="27"/>
      <c r="B366" s="26"/>
      <c r="C366" s="4" t="s">
        <v>1556</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692">
        <f>Application!CQ636-U368</f>
        <v>53</v>
      </c>
      <c r="V367" s="1692"/>
      <c r="W367" s="1692"/>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693">
        <f>Application!AG720</f>
        <v>0</v>
      </c>
      <c r="V368" s="1693"/>
      <c r="W368" s="1693"/>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90" t="s">
        <v>1859</v>
      </c>
      <c r="G372" s="1690"/>
      <c r="H372" s="1690"/>
      <c r="I372" s="1690"/>
      <c r="J372" s="1690"/>
      <c r="K372" s="1690"/>
      <c r="L372" s="1690"/>
      <c r="M372" s="1690"/>
      <c r="N372" s="1690"/>
      <c r="O372" s="1690"/>
      <c r="P372" s="1690"/>
      <c r="Q372" s="1690"/>
      <c r="R372" s="1690"/>
      <c r="S372" s="1690"/>
      <c r="T372" s="1690"/>
      <c r="U372" s="1690"/>
      <c r="V372" s="1690"/>
      <c r="W372" s="1690"/>
      <c r="X372" s="1690"/>
      <c r="Y372" s="1690"/>
      <c r="Z372" s="1690"/>
      <c r="AA372" s="1690"/>
      <c r="AB372" s="1690"/>
      <c r="AC372" s="1690"/>
      <c r="AD372" s="1690"/>
      <c r="AE372" s="1690"/>
      <c r="AF372" s="1690"/>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4"/>
      <c r="G373" s="1664"/>
      <c r="H373" s="1664"/>
      <c r="I373" s="1664"/>
      <c r="J373" s="1664"/>
      <c r="K373" s="1664"/>
      <c r="L373" s="1664"/>
      <c r="M373" s="1664"/>
      <c r="N373" s="1664"/>
      <c r="O373" s="1664"/>
      <c r="P373" s="1664"/>
      <c r="Q373" s="1664"/>
      <c r="R373" s="1664"/>
      <c r="S373" s="1664"/>
      <c r="T373" s="1664"/>
      <c r="U373" s="1664"/>
      <c r="V373" s="1664"/>
      <c r="W373" s="1664"/>
      <c r="X373" s="1664"/>
      <c r="Y373" s="1664"/>
      <c r="Z373" s="1664"/>
      <c r="AA373" s="1664"/>
      <c r="AB373" s="1664"/>
      <c r="AC373" s="1664"/>
      <c r="AD373" s="1664"/>
      <c r="AE373" s="1664"/>
      <c r="AF373" s="1664"/>
      <c r="AG373" s="3"/>
      <c r="AH373" s="3"/>
      <c r="AI373" s="3"/>
      <c r="AJ373" s="3"/>
      <c r="AK373" s="3"/>
      <c r="AL373" s="788"/>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4"/>
      <c r="G374" s="1664"/>
      <c r="H374" s="1664"/>
      <c r="I374" s="1664"/>
      <c r="J374" s="1664"/>
      <c r="K374" s="1664"/>
      <c r="L374" s="1664"/>
      <c r="M374" s="1664"/>
      <c r="N374" s="1664"/>
      <c r="O374" s="1664"/>
      <c r="P374" s="1664"/>
      <c r="Q374" s="1664"/>
      <c r="R374" s="1664"/>
      <c r="S374" s="1664"/>
      <c r="T374" s="1664"/>
      <c r="U374" s="1664"/>
      <c r="V374" s="1664"/>
      <c r="W374" s="1664"/>
      <c r="X374" s="1664"/>
      <c r="Y374" s="1664"/>
      <c r="Z374" s="1664"/>
      <c r="AA374" s="1664"/>
      <c r="AB374" s="1664"/>
      <c r="AC374" s="1664"/>
      <c r="AD374" s="1664"/>
      <c r="AE374" s="1664"/>
      <c r="AF374" s="1664"/>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4"/>
      <c r="G375" s="1664"/>
      <c r="H375" s="1664"/>
      <c r="I375" s="1664"/>
      <c r="J375" s="1664"/>
      <c r="K375" s="1664"/>
      <c r="L375" s="1664"/>
      <c r="M375" s="1664"/>
      <c r="N375" s="1664"/>
      <c r="O375" s="1664"/>
      <c r="P375" s="1664"/>
      <c r="Q375" s="1664"/>
      <c r="R375" s="1664"/>
      <c r="S375" s="1664"/>
      <c r="T375" s="1664"/>
      <c r="U375" s="1664"/>
      <c r="V375" s="1664"/>
      <c r="W375" s="1664"/>
      <c r="X375" s="1664"/>
      <c r="Y375" s="1664"/>
      <c r="Z375" s="1664"/>
      <c r="AA375" s="1664"/>
      <c r="AB375" s="1664"/>
      <c r="AC375" s="1664"/>
      <c r="AD375" s="1664"/>
      <c r="AE375" s="1664"/>
      <c r="AF375" s="1664"/>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4" t="s">
        <v>131</v>
      </c>
      <c r="D376" s="1109"/>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7" t="s">
        <v>338</v>
      </c>
      <c r="AG376" s="1577"/>
      <c r="AH376" s="1577"/>
      <c r="AI376" s="1577"/>
      <c r="AJ376" s="1577"/>
      <c r="AK376" s="1577"/>
      <c r="AL376" s="1689"/>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222">
        <f>IF(AP378&gt;0,AP378,0)</f>
        <v>0</v>
      </c>
      <c r="AR378" s="1222"/>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90" t="s">
        <v>1858</v>
      </c>
      <c r="G381" s="1690"/>
      <c r="H381" s="1690"/>
      <c r="I381" s="1690"/>
      <c r="J381" s="1690"/>
      <c r="K381" s="1690"/>
      <c r="L381" s="1690"/>
      <c r="M381" s="1690"/>
      <c r="N381" s="1690"/>
      <c r="O381" s="1690"/>
      <c r="P381" s="1690"/>
      <c r="Q381" s="1690"/>
      <c r="R381" s="1690"/>
      <c r="S381" s="1690"/>
      <c r="T381" s="1690"/>
      <c r="U381" s="1690"/>
      <c r="V381" s="1690"/>
      <c r="W381" s="1690"/>
      <c r="X381" s="1690"/>
      <c r="Y381" s="1690"/>
      <c r="Z381" s="1690"/>
      <c r="AA381" s="1690"/>
      <c r="AB381" s="1690"/>
      <c r="AC381" s="1690"/>
      <c r="AD381" s="1690"/>
      <c r="AE381" s="1690"/>
      <c r="AF381" s="1690"/>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4"/>
      <c r="G382" s="1664"/>
      <c r="H382" s="1664"/>
      <c r="I382" s="1664"/>
      <c r="J382" s="1664"/>
      <c r="K382" s="1664"/>
      <c r="L382" s="1664"/>
      <c r="M382" s="1664"/>
      <c r="N382" s="1664"/>
      <c r="O382" s="1664"/>
      <c r="P382" s="1664"/>
      <c r="Q382" s="1664"/>
      <c r="R382" s="1664"/>
      <c r="S382" s="1664"/>
      <c r="T382" s="1664"/>
      <c r="U382" s="1664"/>
      <c r="V382" s="1664"/>
      <c r="W382" s="1664"/>
      <c r="X382" s="1664"/>
      <c r="Y382" s="1664"/>
      <c r="Z382" s="1664"/>
      <c r="AA382" s="1664"/>
      <c r="AB382" s="1664"/>
      <c r="AC382" s="1664"/>
      <c r="AD382" s="1664"/>
      <c r="AE382" s="1664"/>
      <c r="AF382" s="1664"/>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4"/>
      <c r="G383" s="1664"/>
      <c r="H383" s="1664"/>
      <c r="I383" s="1664"/>
      <c r="J383" s="1664"/>
      <c r="K383" s="1664"/>
      <c r="L383" s="1664"/>
      <c r="M383" s="1664"/>
      <c r="N383" s="1664"/>
      <c r="O383" s="1664"/>
      <c r="P383" s="1664"/>
      <c r="Q383" s="1664"/>
      <c r="R383" s="1664"/>
      <c r="S383" s="1664"/>
      <c r="T383" s="1664"/>
      <c r="U383" s="1664"/>
      <c r="V383" s="1664"/>
      <c r="W383" s="1664"/>
      <c r="X383" s="1664"/>
      <c r="Y383" s="1664"/>
      <c r="Z383" s="1664"/>
      <c r="AA383" s="1664"/>
      <c r="AB383" s="1664"/>
      <c r="AC383" s="1664"/>
      <c r="AD383" s="1664"/>
      <c r="AE383" s="1664"/>
      <c r="AF383" s="1664"/>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4"/>
      <c r="G384" s="1664"/>
      <c r="H384" s="1664"/>
      <c r="I384" s="1664"/>
      <c r="J384" s="1664"/>
      <c r="K384" s="1664"/>
      <c r="L384" s="1664"/>
      <c r="M384" s="1664"/>
      <c r="N384" s="1664"/>
      <c r="O384" s="1664"/>
      <c r="P384" s="1664"/>
      <c r="Q384" s="1664"/>
      <c r="R384" s="1664"/>
      <c r="S384" s="1664"/>
      <c r="T384" s="1664"/>
      <c r="U384" s="1664"/>
      <c r="V384" s="1664"/>
      <c r="W384" s="1664"/>
      <c r="X384" s="1664"/>
      <c r="Y384" s="1664"/>
      <c r="Z384" s="1664"/>
      <c r="AA384" s="1664"/>
      <c r="AB384" s="1664"/>
      <c r="AC384" s="1664"/>
      <c r="AD384" s="1664"/>
      <c r="AE384" s="1664"/>
      <c r="AF384" s="1664"/>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4"/>
      <c r="G385" s="1664"/>
      <c r="H385" s="1664"/>
      <c r="I385" s="1664"/>
      <c r="J385" s="1664"/>
      <c r="K385" s="1664"/>
      <c r="L385" s="1664"/>
      <c r="M385" s="1664"/>
      <c r="N385" s="1664"/>
      <c r="O385" s="1664"/>
      <c r="P385" s="1664"/>
      <c r="Q385" s="1664"/>
      <c r="R385" s="1664"/>
      <c r="S385" s="1664"/>
      <c r="T385" s="1664"/>
      <c r="U385" s="1664"/>
      <c r="V385" s="1664"/>
      <c r="W385" s="1664"/>
      <c r="X385" s="1664"/>
      <c r="Y385" s="1664"/>
      <c r="Z385" s="1664"/>
      <c r="AA385" s="1664"/>
      <c r="AB385" s="1664"/>
      <c r="AC385" s="1664"/>
      <c r="AD385" s="1664"/>
      <c r="AE385" s="1664"/>
      <c r="AF385" s="1664"/>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4" t="s">
        <v>131</v>
      </c>
      <c r="D386" s="1109"/>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7" t="s">
        <v>338</v>
      </c>
      <c r="AG386" s="1577"/>
      <c r="AH386" s="1577"/>
      <c r="AI386" s="1577"/>
      <c r="AJ386" s="1577"/>
      <c r="AK386" s="1577"/>
      <c r="AL386" s="1689"/>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5"/>
      <c r="D388" s="1275"/>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7"/>
      <c r="AG388" s="1577"/>
      <c r="AH388" s="1577"/>
      <c r="AI388" s="1577"/>
      <c r="AJ388" s="1577"/>
      <c r="AK388" s="1577"/>
      <c r="AL388" s="1577"/>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852" t="s">
        <v>2041</v>
      </c>
      <c r="G391" s="1852"/>
      <c r="H391" s="1852"/>
      <c r="I391" s="1852"/>
      <c r="J391" s="1852"/>
      <c r="K391" s="1852"/>
      <c r="L391" s="1852"/>
      <c r="M391" s="1852"/>
      <c r="N391" s="1852"/>
      <c r="O391" s="1852"/>
      <c r="P391" s="1852"/>
      <c r="Q391" s="1852"/>
      <c r="R391" s="1852"/>
      <c r="S391" s="1852"/>
      <c r="T391" s="1852"/>
      <c r="U391" s="1852"/>
      <c r="V391" s="1852"/>
      <c r="W391" s="1852"/>
      <c r="X391" s="1852"/>
      <c r="Y391" s="1852"/>
      <c r="Z391" s="1852"/>
      <c r="AA391" s="1852"/>
      <c r="AB391" s="1852"/>
      <c r="AC391" s="1852"/>
      <c r="AD391" s="1852"/>
      <c r="AE391" s="1852"/>
      <c r="AF391" s="1852"/>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7"/>
      <c r="G392" s="1677"/>
      <c r="H392" s="1677"/>
      <c r="I392" s="1677"/>
      <c r="J392" s="1677"/>
      <c r="K392" s="1677"/>
      <c r="L392" s="1677"/>
      <c r="M392" s="1677"/>
      <c r="N392" s="1677"/>
      <c r="O392" s="1677"/>
      <c r="P392" s="1677"/>
      <c r="Q392" s="1677"/>
      <c r="R392" s="1677"/>
      <c r="S392" s="1677"/>
      <c r="T392" s="1677"/>
      <c r="U392" s="1677"/>
      <c r="V392" s="1677"/>
      <c r="W392" s="1677"/>
      <c r="X392" s="1677"/>
      <c r="Y392" s="1677"/>
      <c r="Z392" s="1677"/>
      <c r="AA392" s="1677"/>
      <c r="AB392" s="1677"/>
      <c r="AC392" s="1677"/>
      <c r="AD392" s="1677"/>
      <c r="AE392" s="1677"/>
      <c r="AF392" s="1677"/>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7"/>
      <c r="G393" s="1677"/>
      <c r="H393" s="1677"/>
      <c r="I393" s="1677"/>
      <c r="J393" s="1677"/>
      <c r="K393" s="1677"/>
      <c r="L393" s="1677"/>
      <c r="M393" s="1677"/>
      <c r="N393" s="1677"/>
      <c r="O393" s="1677"/>
      <c r="P393" s="1677"/>
      <c r="Q393" s="1677"/>
      <c r="R393" s="1677"/>
      <c r="S393" s="1677"/>
      <c r="T393" s="1677"/>
      <c r="U393" s="1677"/>
      <c r="V393" s="1677"/>
      <c r="W393" s="1677"/>
      <c r="X393" s="1677"/>
      <c r="Y393" s="1677"/>
      <c r="Z393" s="1677"/>
      <c r="AA393" s="1677"/>
      <c r="AB393" s="1677"/>
      <c r="AC393" s="1677"/>
      <c r="AD393" s="1677"/>
      <c r="AE393" s="1677"/>
      <c r="AF393" s="1677"/>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7"/>
      <c r="G394" s="1677"/>
      <c r="H394" s="1677"/>
      <c r="I394" s="1677"/>
      <c r="J394" s="1677"/>
      <c r="K394" s="1677"/>
      <c r="L394" s="1677"/>
      <c r="M394" s="1677"/>
      <c r="N394" s="1677"/>
      <c r="O394" s="1677"/>
      <c r="P394" s="1677"/>
      <c r="Q394" s="1677"/>
      <c r="R394" s="1677"/>
      <c r="S394" s="1677"/>
      <c r="T394" s="1677"/>
      <c r="U394" s="1677"/>
      <c r="V394" s="1677"/>
      <c r="W394" s="1677"/>
      <c r="X394" s="1677"/>
      <c r="Y394" s="1677"/>
      <c r="Z394" s="1677"/>
      <c r="AA394" s="1677"/>
      <c r="AB394" s="1677"/>
      <c r="AC394" s="1677"/>
      <c r="AD394" s="1677"/>
      <c r="AE394" s="1677"/>
      <c r="AF394" s="1677"/>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7"/>
      <c r="G395" s="1677"/>
      <c r="H395" s="1677"/>
      <c r="I395" s="1677"/>
      <c r="J395" s="1677"/>
      <c r="K395" s="1677"/>
      <c r="L395" s="1677"/>
      <c r="M395" s="1677"/>
      <c r="N395" s="1677"/>
      <c r="O395" s="1677"/>
      <c r="P395" s="1677"/>
      <c r="Q395" s="1677"/>
      <c r="R395" s="1677"/>
      <c r="S395" s="1677"/>
      <c r="T395" s="1677"/>
      <c r="U395" s="1677"/>
      <c r="V395" s="1677"/>
      <c r="W395" s="1677"/>
      <c r="X395" s="1677"/>
      <c r="Y395" s="1677"/>
      <c r="Z395" s="1677"/>
      <c r="AA395" s="1677"/>
      <c r="AB395" s="1677"/>
      <c r="AC395" s="1677"/>
      <c r="AD395" s="1677"/>
      <c r="AE395" s="1677"/>
      <c r="AF395" s="1677"/>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4" t="s">
        <v>115</v>
      </c>
      <c r="D396" s="1109"/>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7" t="s">
        <v>1005</v>
      </c>
      <c r="AG396" s="1577"/>
      <c r="AH396" s="1577"/>
      <c r="AI396" s="1577"/>
      <c r="AJ396" s="1577"/>
      <c r="AK396" s="1577"/>
      <c r="AL396" s="1689"/>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4" t="s">
        <v>131</v>
      </c>
      <c r="D398" s="1109"/>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7" t="s">
        <v>338</v>
      </c>
      <c r="AG398" s="1577"/>
      <c r="AH398" s="1577"/>
      <c r="AI398" s="1577"/>
      <c r="AJ398" s="1577"/>
      <c r="AK398" s="1577"/>
      <c r="AL398" s="1689"/>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90" t="s">
        <v>1857</v>
      </c>
      <c r="G402" s="1690"/>
      <c r="H402" s="1690"/>
      <c r="I402" s="1690"/>
      <c r="J402" s="1690"/>
      <c r="K402" s="1690"/>
      <c r="L402" s="1690"/>
      <c r="M402" s="1690"/>
      <c r="N402" s="1690"/>
      <c r="O402" s="1690"/>
      <c r="P402" s="1690"/>
      <c r="Q402" s="1690"/>
      <c r="R402" s="1690"/>
      <c r="S402" s="1690"/>
      <c r="T402" s="1690"/>
      <c r="U402" s="1690"/>
      <c r="V402" s="1690"/>
      <c r="W402" s="1690"/>
      <c r="X402" s="1690"/>
      <c r="Y402" s="1690"/>
      <c r="Z402" s="1690"/>
      <c r="AA402" s="1690"/>
      <c r="AB402" s="1690"/>
      <c r="AC402" s="1690"/>
      <c r="AD402" s="1690"/>
      <c r="AE402" s="1690"/>
      <c r="AF402" s="1690"/>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4"/>
      <c r="G403" s="1664"/>
      <c r="H403" s="1664"/>
      <c r="I403" s="1664"/>
      <c r="J403" s="1664"/>
      <c r="K403" s="1664"/>
      <c r="L403" s="1664"/>
      <c r="M403" s="1664"/>
      <c r="N403" s="1664"/>
      <c r="O403" s="1664"/>
      <c r="P403" s="1664"/>
      <c r="Q403" s="1664"/>
      <c r="R403" s="1664"/>
      <c r="S403" s="1664"/>
      <c r="T403" s="1664"/>
      <c r="U403" s="1664"/>
      <c r="V403" s="1664"/>
      <c r="W403" s="1664"/>
      <c r="X403" s="1664"/>
      <c r="Y403" s="1664"/>
      <c r="Z403" s="1664"/>
      <c r="AA403" s="1664"/>
      <c r="AB403" s="1664"/>
      <c r="AC403" s="1664"/>
      <c r="AD403" s="1664"/>
      <c r="AE403" s="1664"/>
      <c r="AF403" s="1664"/>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4"/>
      <c r="G404" s="1664"/>
      <c r="H404" s="1664"/>
      <c r="I404" s="1664"/>
      <c r="J404" s="1664"/>
      <c r="K404" s="1664"/>
      <c r="L404" s="1664"/>
      <c r="M404" s="1664"/>
      <c r="N404" s="1664"/>
      <c r="O404" s="1664"/>
      <c r="P404" s="1664"/>
      <c r="Q404" s="1664"/>
      <c r="R404" s="1664"/>
      <c r="S404" s="1664"/>
      <c r="T404" s="1664"/>
      <c r="U404" s="1664"/>
      <c r="V404" s="1664"/>
      <c r="W404" s="1664"/>
      <c r="X404" s="1664"/>
      <c r="Y404" s="1664"/>
      <c r="Z404" s="1664"/>
      <c r="AA404" s="1664"/>
      <c r="AB404" s="1664"/>
      <c r="AC404" s="1664"/>
      <c r="AD404" s="1664"/>
      <c r="AE404" s="1664"/>
      <c r="AF404" s="1664"/>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4"/>
      <c r="G405" s="1664"/>
      <c r="H405" s="1664"/>
      <c r="I405" s="1664"/>
      <c r="J405" s="1664"/>
      <c r="K405" s="1664"/>
      <c r="L405" s="1664"/>
      <c r="M405" s="1664"/>
      <c r="N405" s="1664"/>
      <c r="O405" s="1664"/>
      <c r="P405" s="1664"/>
      <c r="Q405" s="1664"/>
      <c r="R405" s="1664"/>
      <c r="S405" s="1664"/>
      <c r="T405" s="1664"/>
      <c r="U405" s="1664"/>
      <c r="V405" s="1664"/>
      <c r="W405" s="1664"/>
      <c r="X405" s="1664"/>
      <c r="Y405" s="1664"/>
      <c r="Z405" s="1664"/>
      <c r="AA405" s="1664"/>
      <c r="AB405" s="1664"/>
      <c r="AC405" s="1664"/>
      <c r="AD405" s="1664"/>
      <c r="AE405" s="1664"/>
      <c r="AF405" s="1664"/>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4" t="s">
        <v>131</v>
      </c>
      <c r="D406" s="1109"/>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7" t="s">
        <v>338</v>
      </c>
      <c r="AG406" s="1577"/>
      <c r="AH406" s="1577"/>
      <c r="AI406" s="1577"/>
      <c r="AJ406" s="1577"/>
      <c r="AK406" s="1577"/>
      <c r="AL406" s="1689"/>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4" t="s">
        <v>131</v>
      </c>
      <c r="D408" s="1109"/>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7" t="s">
        <v>1004</v>
      </c>
      <c r="AG408" s="1577"/>
      <c r="AH408" s="1577"/>
      <c r="AI408" s="1577"/>
      <c r="AJ408" s="1577"/>
      <c r="AK408" s="1577"/>
      <c r="AL408" s="1689"/>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4" t="s">
        <v>131</v>
      </c>
      <c r="D411" s="1109"/>
      <c r="E411" s="705" t="s">
        <v>203</v>
      </c>
      <c r="F411" s="1690" t="s">
        <v>1861</v>
      </c>
      <c r="G411" s="1690"/>
      <c r="H411" s="1690"/>
      <c r="I411" s="1690"/>
      <c r="J411" s="1690"/>
      <c r="K411" s="1690"/>
      <c r="L411" s="1690"/>
      <c r="M411" s="1690"/>
      <c r="N411" s="1690"/>
      <c r="O411" s="1690"/>
      <c r="P411" s="1690"/>
      <c r="Q411" s="1690"/>
      <c r="R411" s="1690"/>
      <c r="S411" s="1690"/>
      <c r="T411" s="1690"/>
      <c r="U411" s="1690"/>
      <c r="V411" s="1690"/>
      <c r="W411" s="1690"/>
      <c r="X411" s="1690"/>
      <c r="Y411" s="1690"/>
      <c r="Z411" s="1690"/>
      <c r="AA411" s="1690"/>
      <c r="AB411" s="1690"/>
      <c r="AC411" s="1690"/>
      <c r="AD411" s="1690"/>
      <c r="AE411" s="1690"/>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4"/>
      <c r="G412" s="1664"/>
      <c r="H412" s="1664"/>
      <c r="I412" s="1664"/>
      <c r="J412" s="1664"/>
      <c r="K412" s="1664"/>
      <c r="L412" s="1664"/>
      <c r="M412" s="1664"/>
      <c r="N412" s="1664"/>
      <c r="O412" s="1664"/>
      <c r="P412" s="1664"/>
      <c r="Q412" s="1664"/>
      <c r="R412" s="1664"/>
      <c r="S412" s="1664"/>
      <c r="T412" s="1664"/>
      <c r="U412" s="1664"/>
      <c r="V412" s="1664"/>
      <c r="W412" s="1664"/>
      <c r="X412" s="1664"/>
      <c r="Y412" s="1664"/>
      <c r="Z412" s="1664"/>
      <c r="AA412" s="1664"/>
      <c r="AB412" s="1664"/>
      <c r="AC412" s="1664"/>
      <c r="AD412" s="1664"/>
      <c r="AE412" s="1664"/>
      <c r="AF412" s="1675" t="s">
        <v>338</v>
      </c>
      <c r="AG412" s="1675"/>
      <c r="AH412" s="1675"/>
      <c r="AI412" s="1675"/>
      <c r="AJ412" s="1675"/>
      <c r="AK412" s="1675"/>
      <c r="AL412" s="1700"/>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4"/>
      <c r="G413" s="1664"/>
      <c r="H413" s="1664"/>
      <c r="I413" s="1664"/>
      <c r="J413" s="1664"/>
      <c r="K413" s="1664"/>
      <c r="L413" s="1664"/>
      <c r="M413" s="1664"/>
      <c r="N413" s="1664"/>
      <c r="O413" s="1664"/>
      <c r="P413" s="1664"/>
      <c r="Q413" s="1664"/>
      <c r="R413" s="1664"/>
      <c r="S413" s="1664"/>
      <c r="T413" s="1664"/>
      <c r="U413" s="1664"/>
      <c r="V413" s="1664"/>
      <c r="W413" s="1664"/>
      <c r="X413" s="1664"/>
      <c r="Y413" s="1664"/>
      <c r="Z413" s="1664"/>
      <c r="AA413" s="1664"/>
      <c r="AB413" s="1664"/>
      <c r="AC413" s="1664"/>
      <c r="AD413" s="1664"/>
      <c r="AE413" s="1664"/>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1"/>
      <c r="G414" s="1691"/>
      <c r="H414" s="1691"/>
      <c r="I414" s="1691"/>
      <c r="J414" s="1691"/>
      <c r="K414" s="1691"/>
      <c r="L414" s="1691"/>
      <c r="M414" s="1691"/>
      <c r="N414" s="1691"/>
      <c r="O414" s="1691"/>
      <c r="P414" s="1691"/>
      <c r="Q414" s="1691"/>
      <c r="R414" s="1691"/>
      <c r="S414" s="1691"/>
      <c r="T414" s="1691"/>
      <c r="U414" s="1691"/>
      <c r="V414" s="1691"/>
      <c r="W414" s="1691"/>
      <c r="X414" s="1691"/>
      <c r="Y414" s="1691"/>
      <c r="Z414" s="1691"/>
      <c r="AA414" s="1691"/>
      <c r="AB414" s="1691"/>
      <c r="AC414" s="1691"/>
      <c r="AD414" s="1691"/>
      <c r="AE414" s="1691"/>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90" t="s">
        <v>1863</v>
      </c>
      <c r="G416" s="1690"/>
      <c r="H416" s="1690"/>
      <c r="I416" s="1690"/>
      <c r="J416" s="1690"/>
      <c r="K416" s="1690"/>
      <c r="L416" s="1690"/>
      <c r="M416" s="1690"/>
      <c r="N416" s="1690"/>
      <c r="O416" s="1690"/>
      <c r="P416" s="1690"/>
      <c r="Q416" s="1690"/>
      <c r="R416" s="1690"/>
      <c r="S416" s="1690"/>
      <c r="T416" s="1690"/>
      <c r="U416" s="1690"/>
      <c r="V416" s="1690"/>
      <c r="W416" s="1690"/>
      <c r="X416" s="1690"/>
      <c r="Y416" s="1690"/>
      <c r="Z416" s="1690"/>
      <c r="AA416" s="1690"/>
      <c r="AB416" s="1690"/>
      <c r="AC416" s="1690"/>
      <c r="AD416" s="1690"/>
      <c r="AE416" s="1690"/>
      <c r="AF416" s="725"/>
      <c r="AG416" s="725"/>
      <c r="AH416" s="725"/>
      <c r="AI416" s="725"/>
      <c r="AJ416" s="725"/>
      <c r="AK416" s="725"/>
      <c r="AL416" s="726"/>
      <c r="AM416"/>
    </row>
    <row r="417" spans="1:60">
      <c r="A417" s="5"/>
      <c r="C417" s="711"/>
      <c r="E417" s="194"/>
      <c r="F417" s="1664"/>
      <c r="G417" s="1664"/>
      <c r="H417" s="1664"/>
      <c r="I417" s="1664"/>
      <c r="J417" s="1664"/>
      <c r="K417" s="1664"/>
      <c r="L417" s="1664"/>
      <c r="M417" s="1664"/>
      <c r="N417" s="1664"/>
      <c r="O417" s="1664"/>
      <c r="P417" s="1664"/>
      <c r="Q417" s="1664"/>
      <c r="R417" s="1664"/>
      <c r="S417" s="1664"/>
      <c r="T417" s="1664"/>
      <c r="U417" s="1664"/>
      <c r="V417" s="1664"/>
      <c r="W417" s="1664"/>
      <c r="X417" s="1664"/>
      <c r="Y417" s="1664"/>
      <c r="Z417" s="1664"/>
      <c r="AA417" s="1664"/>
      <c r="AB417" s="1664"/>
      <c r="AC417" s="1664"/>
      <c r="AD417" s="1664"/>
      <c r="AE417" s="1664"/>
      <c r="AF417" s="3"/>
      <c r="AG417" s="5"/>
      <c r="AH417" s="4"/>
      <c r="AI417" s="4"/>
      <c r="AJ417" s="4"/>
      <c r="AK417" s="4"/>
      <c r="AL417" s="712"/>
      <c r="AM417"/>
    </row>
    <row r="418" spans="1:60" s="4" customFormat="1" ht="12.75" customHeight="1">
      <c r="A418" s="5"/>
      <c r="B418" s="21"/>
      <c r="C418" s="711"/>
      <c r="D418" s="21"/>
      <c r="E418" s="194"/>
      <c r="F418" s="1664"/>
      <c r="G418" s="1664"/>
      <c r="H418" s="1664"/>
      <c r="I418" s="1664"/>
      <c r="J418" s="1664"/>
      <c r="K418" s="1664"/>
      <c r="L418" s="1664"/>
      <c r="M418" s="1664"/>
      <c r="N418" s="1664"/>
      <c r="O418" s="1664"/>
      <c r="P418" s="1664"/>
      <c r="Q418" s="1664"/>
      <c r="R418" s="1664"/>
      <c r="S418" s="1664"/>
      <c r="T418" s="1664"/>
      <c r="U418" s="1664"/>
      <c r="V418" s="1664"/>
      <c r="W418" s="1664"/>
      <c r="X418" s="1664"/>
      <c r="Y418" s="1664"/>
      <c r="Z418" s="1664"/>
      <c r="AA418" s="1664"/>
      <c r="AB418" s="1664"/>
      <c r="AC418" s="1664"/>
      <c r="AD418" s="1664"/>
      <c r="AE418" s="1664"/>
      <c r="AL418" s="712"/>
      <c r="AM418"/>
      <c r="AN418" s="281"/>
    </row>
    <row r="419" spans="1:60" s="4" customFormat="1" ht="12.75" customHeight="1">
      <c r="A419" s="5"/>
      <c r="B419" s="21"/>
      <c r="C419" s="714"/>
      <c r="F419" s="1664"/>
      <c r="G419" s="1664"/>
      <c r="H419" s="1664"/>
      <c r="I419" s="1664"/>
      <c r="J419" s="1664"/>
      <c r="K419" s="1664"/>
      <c r="L419" s="1664"/>
      <c r="M419" s="1664"/>
      <c r="N419" s="1664"/>
      <c r="O419" s="1664"/>
      <c r="P419" s="1664"/>
      <c r="Q419" s="1664"/>
      <c r="R419" s="1664"/>
      <c r="S419" s="1664"/>
      <c r="T419" s="1664"/>
      <c r="U419" s="1664"/>
      <c r="V419" s="1664"/>
      <c r="W419" s="1664"/>
      <c r="X419" s="1664"/>
      <c r="Y419" s="1664"/>
      <c r="Z419" s="1664"/>
      <c r="AA419" s="1664"/>
      <c r="AB419" s="1664"/>
      <c r="AC419" s="1664"/>
      <c r="AD419" s="1664"/>
      <c r="AE419" s="1664"/>
      <c r="AL419" s="712"/>
      <c r="AM419"/>
      <c r="AN419" s="281"/>
    </row>
    <row r="420" spans="1:60" s="4" customFormat="1" ht="12.75" customHeight="1">
      <c r="A420" s="5"/>
      <c r="B420" s="21"/>
      <c r="C420" s="1694" t="s">
        <v>131</v>
      </c>
      <c r="D420" s="1109"/>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5" t="s">
        <v>338</v>
      </c>
      <c r="AG420" s="1675"/>
      <c r="AH420" s="1675"/>
      <c r="AI420" s="1675"/>
      <c r="AJ420" s="1675"/>
      <c r="AK420" s="1675"/>
      <c r="AL420" s="1700"/>
      <c r="AM420"/>
      <c r="AN420" s="281"/>
    </row>
    <row r="421" spans="1:60" s="4" customFormat="1" ht="12.75" customHeight="1">
      <c r="A421" s="5"/>
      <c r="B421" s="21"/>
      <c r="C421" s="714"/>
      <c r="AL421" s="712"/>
      <c r="AM421"/>
      <c r="AN421" s="281"/>
    </row>
    <row r="422" spans="1:60" s="4" customFormat="1" ht="12.75" customHeight="1">
      <c r="A422" s="5"/>
      <c r="B422" s="21"/>
      <c r="C422" s="1694" t="s">
        <v>115</v>
      </c>
      <c r="D422" s="1109"/>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5" t="s">
        <v>1004</v>
      </c>
      <c r="AG422" s="1675"/>
      <c r="AH422" s="1675"/>
      <c r="AI422" s="1675"/>
      <c r="AJ422" s="1675"/>
      <c r="AK422" s="1675"/>
      <c r="AL422" s="1700"/>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90" t="s">
        <v>1864</v>
      </c>
      <c r="G426" s="1690"/>
      <c r="H426" s="1690"/>
      <c r="I426" s="1690"/>
      <c r="J426" s="1690"/>
      <c r="K426" s="1690"/>
      <c r="L426" s="1690"/>
      <c r="M426" s="1690"/>
      <c r="N426" s="1690"/>
      <c r="O426" s="1690"/>
      <c r="P426" s="1690"/>
      <c r="Q426" s="1690"/>
      <c r="R426" s="1690"/>
      <c r="S426" s="1690"/>
      <c r="T426" s="1690"/>
      <c r="U426" s="1690"/>
      <c r="V426" s="1690"/>
      <c r="W426" s="1690"/>
      <c r="X426" s="1690"/>
      <c r="Y426" s="1690"/>
      <c r="Z426" s="1690"/>
      <c r="AA426" s="1690"/>
      <c r="AB426" s="1690"/>
      <c r="AC426" s="1690"/>
      <c r="AD426" s="1690"/>
      <c r="AE426" s="1690"/>
      <c r="AF426" s="704"/>
      <c r="AG426" s="704"/>
      <c r="AH426" s="704"/>
      <c r="AI426" s="704"/>
      <c r="AJ426" s="704"/>
      <c r="AK426" s="704"/>
      <c r="AL426" s="728"/>
      <c r="AM426"/>
      <c r="AN426" s="281"/>
    </row>
    <row r="427" spans="1:60" s="4" customFormat="1" ht="12.75" customHeight="1">
      <c r="A427" s="5"/>
      <c r="B427" s="73"/>
      <c r="C427" s="729"/>
      <c r="D427" s="73"/>
      <c r="E427" s="194"/>
      <c r="F427" s="1664"/>
      <c r="G427" s="1664"/>
      <c r="H427" s="1664"/>
      <c r="I427" s="1664"/>
      <c r="J427" s="1664"/>
      <c r="K427" s="1664"/>
      <c r="L427" s="1664"/>
      <c r="M427" s="1664"/>
      <c r="N427" s="1664"/>
      <c r="O427" s="1664"/>
      <c r="P427" s="1664"/>
      <c r="Q427" s="1664"/>
      <c r="R427" s="1664"/>
      <c r="S427" s="1664"/>
      <c r="T427" s="1664"/>
      <c r="U427" s="1664"/>
      <c r="V427" s="1664"/>
      <c r="W427" s="1664"/>
      <c r="X427" s="1664"/>
      <c r="Y427" s="1664"/>
      <c r="Z427" s="1664"/>
      <c r="AA427" s="1664"/>
      <c r="AB427" s="1664"/>
      <c r="AC427" s="1664"/>
      <c r="AD427" s="1664"/>
      <c r="AE427" s="1664"/>
      <c r="AF427" s="3"/>
      <c r="AG427" s="5"/>
      <c r="AL427" s="712"/>
      <c r="AM427"/>
      <c r="AN427" s="281"/>
    </row>
    <row r="428" spans="1:60" s="4" customFormat="1" ht="12.45" customHeight="1">
      <c r="A428" s="5"/>
      <c r="B428" s="73"/>
      <c r="C428" s="729"/>
      <c r="D428" s="73"/>
      <c r="E428" s="194"/>
      <c r="F428" s="1664"/>
      <c r="G428" s="1664"/>
      <c r="H428" s="1664"/>
      <c r="I428" s="1664"/>
      <c r="J428" s="1664"/>
      <c r="K428" s="1664"/>
      <c r="L428" s="1664"/>
      <c r="M428" s="1664"/>
      <c r="N428" s="1664"/>
      <c r="O428" s="1664"/>
      <c r="P428" s="1664"/>
      <c r="Q428" s="1664"/>
      <c r="R428" s="1664"/>
      <c r="S428" s="1664"/>
      <c r="T428" s="1664"/>
      <c r="U428" s="1664"/>
      <c r="V428" s="1664"/>
      <c r="W428" s="1664"/>
      <c r="X428" s="1664"/>
      <c r="Y428" s="1664"/>
      <c r="Z428" s="1664"/>
      <c r="AA428" s="1664"/>
      <c r="AB428" s="1664"/>
      <c r="AC428" s="1664"/>
      <c r="AD428" s="1664"/>
      <c r="AE428" s="1664"/>
      <c r="AL428" s="712"/>
      <c r="AM428"/>
      <c r="AN428" s="281"/>
    </row>
    <row r="429" spans="1:60" s="4" customFormat="1" ht="12.75" customHeight="1">
      <c r="A429" s="5"/>
      <c r="B429" s="73"/>
      <c r="C429" s="1694" t="s">
        <v>131</v>
      </c>
      <c r="D429" s="1109"/>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5" t="s">
        <v>338</v>
      </c>
      <c r="AG429" s="1675"/>
      <c r="AH429" s="1675"/>
      <c r="AI429" s="1675"/>
      <c r="AJ429" s="1675"/>
      <c r="AK429" s="1675"/>
      <c r="AL429" s="1700"/>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 customHeight="1">
      <c r="A432" s="5"/>
      <c r="B432" s="73"/>
      <c r="C432" s="724"/>
      <c r="D432" s="725"/>
      <c r="E432" s="705" t="s">
        <v>701</v>
      </c>
      <c r="F432" s="1690" t="s">
        <v>1865</v>
      </c>
      <c r="G432" s="1690"/>
      <c r="H432" s="1690"/>
      <c r="I432" s="1690"/>
      <c r="J432" s="1690"/>
      <c r="K432" s="1690"/>
      <c r="L432" s="1690"/>
      <c r="M432" s="1690"/>
      <c r="N432" s="1690"/>
      <c r="O432" s="1690"/>
      <c r="P432" s="1690"/>
      <c r="Q432" s="1690"/>
      <c r="R432" s="1690"/>
      <c r="S432" s="1690"/>
      <c r="T432" s="1690"/>
      <c r="U432" s="1690"/>
      <c r="V432" s="1690"/>
      <c r="W432" s="1690"/>
      <c r="X432" s="1690"/>
      <c r="Y432" s="1690"/>
      <c r="Z432" s="1690"/>
      <c r="AA432" s="1690"/>
      <c r="AB432" s="1690"/>
      <c r="AC432" s="1690"/>
      <c r="AD432" s="1690"/>
      <c r="AE432" s="1690"/>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4"/>
      <c r="G433" s="1664"/>
      <c r="H433" s="1664"/>
      <c r="I433" s="1664"/>
      <c r="J433" s="1664"/>
      <c r="K433" s="1664"/>
      <c r="L433" s="1664"/>
      <c r="M433" s="1664"/>
      <c r="N433" s="1664"/>
      <c r="O433" s="1664"/>
      <c r="P433" s="1664"/>
      <c r="Q433" s="1664"/>
      <c r="R433" s="1664"/>
      <c r="S433" s="1664"/>
      <c r="T433" s="1664"/>
      <c r="U433" s="1664"/>
      <c r="V433" s="1664"/>
      <c r="W433" s="1664"/>
      <c r="X433" s="1664"/>
      <c r="Y433" s="1664"/>
      <c r="Z433" s="1664"/>
      <c r="AA433" s="1664"/>
      <c r="AB433" s="1664"/>
      <c r="AC433" s="1664"/>
      <c r="AD433" s="1664"/>
      <c r="AE433" s="1664"/>
      <c r="AF433" s="108"/>
      <c r="AG433" s="108"/>
      <c r="AH433" s="108"/>
      <c r="AI433" s="108"/>
      <c r="AJ433" s="108"/>
      <c r="AK433" s="108"/>
      <c r="AL433" s="791"/>
      <c r="AM433"/>
      <c r="AO433" s="4"/>
      <c r="AP433" s="4"/>
    </row>
    <row r="434" spans="1:49" s="4" customFormat="1" ht="12.75" customHeight="1">
      <c r="A434" s="5"/>
      <c r="B434" s="73"/>
      <c r="C434" s="729"/>
      <c r="D434" s="73"/>
      <c r="E434" s="194"/>
      <c r="F434" s="1664"/>
      <c r="G434" s="1664"/>
      <c r="H434" s="1664"/>
      <c r="I434" s="1664"/>
      <c r="J434" s="1664"/>
      <c r="K434" s="1664"/>
      <c r="L434" s="1664"/>
      <c r="M434" s="1664"/>
      <c r="N434" s="1664"/>
      <c r="O434" s="1664"/>
      <c r="P434" s="1664"/>
      <c r="Q434" s="1664"/>
      <c r="R434" s="1664"/>
      <c r="S434" s="1664"/>
      <c r="T434" s="1664"/>
      <c r="U434" s="1664"/>
      <c r="V434" s="1664"/>
      <c r="W434" s="1664"/>
      <c r="X434" s="1664"/>
      <c r="Y434" s="1664"/>
      <c r="Z434" s="1664"/>
      <c r="AA434" s="1664"/>
      <c r="AB434" s="1664"/>
      <c r="AC434" s="1664"/>
      <c r="AD434" s="1664"/>
      <c r="AE434" s="1664"/>
      <c r="AF434" s="108"/>
      <c r="AG434" s="108"/>
      <c r="AH434" s="108"/>
      <c r="AI434" s="108"/>
      <c r="AJ434" s="108"/>
      <c r="AK434" s="108"/>
      <c r="AL434" s="791"/>
      <c r="AM434"/>
      <c r="AN434" s="281"/>
    </row>
    <row r="435" spans="1:49" s="4" customFormat="1" ht="12.75" customHeight="1">
      <c r="A435" s="5"/>
      <c r="B435" s="73"/>
      <c r="C435" s="730"/>
      <c r="D435" s="1"/>
      <c r="E435" s="225"/>
      <c r="F435" s="1664"/>
      <c r="G435" s="1664"/>
      <c r="H435" s="1664"/>
      <c r="I435" s="1664"/>
      <c r="J435" s="1664"/>
      <c r="K435" s="1664"/>
      <c r="L435" s="1664"/>
      <c r="M435" s="1664"/>
      <c r="N435" s="1664"/>
      <c r="O435" s="1664"/>
      <c r="P435" s="1664"/>
      <c r="Q435" s="1664"/>
      <c r="R435" s="1664"/>
      <c r="S435" s="1664"/>
      <c r="T435" s="1664"/>
      <c r="U435" s="1664"/>
      <c r="V435" s="1664"/>
      <c r="W435" s="1664"/>
      <c r="X435" s="1664"/>
      <c r="Y435" s="1664"/>
      <c r="Z435" s="1664"/>
      <c r="AA435" s="1664"/>
      <c r="AB435" s="1664"/>
      <c r="AC435" s="1664"/>
      <c r="AD435" s="1664"/>
      <c r="AE435" s="1664"/>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4"/>
      <c r="G436" s="1664"/>
      <c r="H436" s="1664"/>
      <c r="I436" s="1664"/>
      <c r="J436" s="1664"/>
      <c r="K436" s="1664"/>
      <c r="L436" s="1664"/>
      <c r="M436" s="1664"/>
      <c r="N436" s="1664"/>
      <c r="O436" s="1664"/>
      <c r="P436" s="1664"/>
      <c r="Q436" s="1664"/>
      <c r="R436" s="1664"/>
      <c r="S436" s="1664"/>
      <c r="T436" s="1664"/>
      <c r="U436" s="1664"/>
      <c r="V436" s="1664"/>
      <c r="W436" s="1664"/>
      <c r="X436" s="1664"/>
      <c r="Y436" s="1664"/>
      <c r="Z436" s="1664"/>
      <c r="AA436" s="1664"/>
      <c r="AB436" s="1664"/>
      <c r="AC436" s="1664"/>
      <c r="AD436" s="1664"/>
      <c r="AE436" s="1664"/>
      <c r="AF436" s="108"/>
      <c r="AG436" s="108"/>
      <c r="AH436" s="108"/>
      <c r="AI436" s="108"/>
      <c r="AJ436" s="108"/>
      <c r="AK436" s="108"/>
      <c r="AL436" s="791"/>
      <c r="AM436"/>
      <c r="AN436" s="281"/>
    </row>
    <row r="437" spans="1:49" s="4" customFormat="1" ht="12.75" customHeight="1">
      <c r="A437" s="5"/>
      <c r="B437" s="73"/>
      <c r="C437" s="730"/>
      <c r="D437" s="1"/>
      <c r="E437" s="225"/>
      <c r="F437" s="1664"/>
      <c r="G437" s="1664"/>
      <c r="H437" s="1664"/>
      <c r="I437" s="1664"/>
      <c r="J437" s="1664"/>
      <c r="K437" s="1664"/>
      <c r="L437" s="1664"/>
      <c r="M437" s="1664"/>
      <c r="N437" s="1664"/>
      <c r="O437" s="1664"/>
      <c r="P437" s="1664"/>
      <c r="Q437" s="1664"/>
      <c r="R437" s="1664"/>
      <c r="S437" s="1664"/>
      <c r="T437" s="1664"/>
      <c r="U437" s="1664"/>
      <c r="V437" s="1664"/>
      <c r="W437" s="1664"/>
      <c r="X437" s="1664"/>
      <c r="Y437" s="1664"/>
      <c r="Z437" s="1664"/>
      <c r="AA437" s="1664"/>
      <c r="AB437" s="1664"/>
      <c r="AC437" s="1664"/>
      <c r="AD437" s="1664"/>
      <c r="AE437" s="1664"/>
      <c r="AF437" s="108"/>
      <c r="AG437" s="108"/>
      <c r="AH437" s="108"/>
      <c r="AI437" s="108"/>
      <c r="AJ437" s="108"/>
      <c r="AK437" s="108"/>
      <c r="AL437" s="791"/>
      <c r="AM437"/>
      <c r="AN437" s="281"/>
    </row>
    <row r="438" spans="1:49" s="4" customFormat="1" ht="12.75" customHeight="1">
      <c r="A438" s="5"/>
      <c r="B438" s="73"/>
      <c r="C438" s="730"/>
      <c r="D438" s="1"/>
      <c r="E438" s="225"/>
      <c r="F438" s="1664"/>
      <c r="G438" s="1664"/>
      <c r="H438" s="1664"/>
      <c r="I438" s="1664"/>
      <c r="J438" s="1664"/>
      <c r="K438" s="1664"/>
      <c r="L438" s="1664"/>
      <c r="M438" s="1664"/>
      <c r="N438" s="1664"/>
      <c r="O438" s="1664"/>
      <c r="P438" s="1664"/>
      <c r="Q438" s="1664"/>
      <c r="R438" s="1664"/>
      <c r="S438" s="1664"/>
      <c r="T438" s="1664"/>
      <c r="U438" s="1664"/>
      <c r="V438" s="1664"/>
      <c r="W438" s="1664"/>
      <c r="X438" s="1664"/>
      <c r="Y438" s="1664"/>
      <c r="Z438" s="1664"/>
      <c r="AA438" s="1664"/>
      <c r="AB438" s="1664"/>
      <c r="AC438" s="1664"/>
      <c r="AD438" s="1664"/>
      <c r="AE438" s="1664"/>
      <c r="AF438" s="108"/>
      <c r="AG438" s="108"/>
      <c r="AH438" s="108"/>
      <c r="AI438" s="108"/>
      <c r="AJ438" s="108"/>
      <c r="AK438" s="108"/>
      <c r="AL438" s="791"/>
      <c r="AM438"/>
      <c r="AN438" s="281"/>
    </row>
    <row r="439" spans="1:49" s="4" customFormat="1" ht="12.75" customHeight="1">
      <c r="A439" s="5"/>
      <c r="B439" s="73"/>
      <c r="C439" s="730"/>
      <c r="D439" s="1"/>
      <c r="E439" s="225"/>
      <c r="F439" s="1664"/>
      <c r="G439" s="1664"/>
      <c r="H439" s="1664"/>
      <c r="I439" s="1664"/>
      <c r="J439" s="1664"/>
      <c r="K439" s="1664"/>
      <c r="L439" s="1664"/>
      <c r="M439" s="1664"/>
      <c r="N439" s="1664"/>
      <c r="O439" s="1664"/>
      <c r="P439" s="1664"/>
      <c r="Q439" s="1664"/>
      <c r="R439" s="1664"/>
      <c r="S439" s="1664"/>
      <c r="T439" s="1664"/>
      <c r="U439" s="1664"/>
      <c r="V439" s="1664"/>
      <c r="W439" s="1664"/>
      <c r="X439" s="1664"/>
      <c r="Y439" s="1664"/>
      <c r="Z439" s="1664"/>
      <c r="AA439" s="1664"/>
      <c r="AB439" s="1664"/>
      <c r="AC439" s="1664"/>
      <c r="AD439" s="1664"/>
      <c r="AE439" s="1664"/>
      <c r="AF439" s="108"/>
      <c r="AG439" s="108"/>
      <c r="AH439" s="108"/>
      <c r="AI439" s="108"/>
      <c r="AJ439" s="108"/>
      <c r="AK439" s="108"/>
      <c r="AL439" s="791"/>
      <c r="AM439"/>
      <c r="AN439" s="281"/>
    </row>
    <row r="440" spans="1:49" s="4" customFormat="1" ht="17.25" customHeight="1">
      <c r="A440" s="5"/>
      <c r="B440" s="73"/>
      <c r="C440" s="730"/>
      <c r="D440" s="1"/>
      <c r="E440" s="225"/>
      <c r="F440" s="1664"/>
      <c r="G440" s="1664"/>
      <c r="H440" s="1664"/>
      <c r="I440" s="1664"/>
      <c r="J440" s="1664"/>
      <c r="K440" s="1664"/>
      <c r="L440" s="1664"/>
      <c r="M440" s="1664"/>
      <c r="N440" s="1664"/>
      <c r="O440" s="1664"/>
      <c r="P440" s="1664"/>
      <c r="Q440" s="1664"/>
      <c r="R440" s="1664"/>
      <c r="S440" s="1664"/>
      <c r="T440" s="1664"/>
      <c r="U440" s="1664"/>
      <c r="V440" s="1664"/>
      <c r="W440" s="1664"/>
      <c r="X440" s="1664"/>
      <c r="Y440" s="1664"/>
      <c r="Z440" s="1664"/>
      <c r="AA440" s="1664"/>
      <c r="AB440" s="1664"/>
      <c r="AC440" s="1664"/>
      <c r="AD440" s="1664"/>
      <c r="AE440" s="1664"/>
      <c r="AL440" s="712"/>
      <c r="AM440"/>
      <c r="AN440" s="281"/>
    </row>
    <row r="441" spans="1:49" s="4" customFormat="1" ht="12.75" customHeight="1">
      <c r="A441" s="5"/>
      <c r="B441" s="21"/>
      <c r="C441" s="1694" t="s">
        <v>131</v>
      </c>
      <c r="D441" s="1109"/>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5" t="s">
        <v>338</v>
      </c>
      <c r="AG441" s="1675"/>
      <c r="AH441" s="1675"/>
      <c r="AI441" s="1675"/>
      <c r="AJ441" s="1675"/>
      <c r="AK441" s="1675"/>
      <c r="AL441" s="1700"/>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90" t="s">
        <v>1868</v>
      </c>
      <c r="G444" s="1690"/>
      <c r="H444" s="1690"/>
      <c r="I444" s="1690"/>
      <c r="J444" s="1690"/>
      <c r="K444" s="1690"/>
      <c r="L444" s="1690"/>
      <c r="M444" s="1690"/>
      <c r="N444" s="1690"/>
      <c r="O444" s="1690"/>
      <c r="P444" s="1690"/>
      <c r="Q444" s="1690"/>
      <c r="R444" s="1690"/>
      <c r="S444" s="1690"/>
      <c r="T444" s="1690"/>
      <c r="U444" s="1690"/>
      <c r="V444" s="1690"/>
      <c r="W444" s="1690"/>
      <c r="X444" s="1690"/>
      <c r="Y444" s="1690"/>
      <c r="Z444" s="1690"/>
      <c r="AA444" s="1690"/>
      <c r="AB444" s="1690"/>
      <c r="AC444" s="1690"/>
      <c r="AD444" s="1690"/>
      <c r="AE444" s="1690"/>
      <c r="AF444" s="704"/>
      <c r="AG444" s="704"/>
      <c r="AH444" s="704"/>
      <c r="AI444" s="704"/>
      <c r="AJ444" s="704"/>
      <c r="AK444" s="704"/>
      <c r="AL444" s="728"/>
      <c r="AM444"/>
      <c r="AN444" s="281"/>
    </row>
    <row r="445" spans="1:49" s="4" customFormat="1" ht="12.75" customHeight="1">
      <c r="A445" s="5"/>
      <c r="B445" s="73"/>
      <c r="C445" s="730"/>
      <c r="D445" s="1"/>
      <c r="E445" s="225"/>
      <c r="F445" s="1664"/>
      <c r="G445" s="1664"/>
      <c r="H445" s="1664"/>
      <c r="I445" s="1664"/>
      <c r="J445" s="1664"/>
      <c r="K445" s="1664"/>
      <c r="L445" s="1664"/>
      <c r="M445" s="1664"/>
      <c r="N445" s="1664"/>
      <c r="O445" s="1664"/>
      <c r="P445" s="1664"/>
      <c r="Q445" s="1664"/>
      <c r="R445" s="1664"/>
      <c r="S445" s="1664"/>
      <c r="T445" s="1664"/>
      <c r="U445" s="1664"/>
      <c r="V445" s="1664"/>
      <c r="W445" s="1664"/>
      <c r="X445" s="1664"/>
      <c r="Y445" s="1664"/>
      <c r="Z445" s="1664"/>
      <c r="AA445" s="1664"/>
      <c r="AB445" s="1664"/>
      <c r="AC445" s="1664"/>
      <c r="AD445" s="1664"/>
      <c r="AE445" s="1664"/>
      <c r="AF445" s="18"/>
      <c r="AG445" s="18"/>
      <c r="AH445" s="18"/>
      <c r="AI445" s="18"/>
      <c r="AJ445" s="18"/>
      <c r="AK445" s="18"/>
      <c r="AL445" s="788"/>
      <c r="AM445"/>
      <c r="AN445" s="281"/>
    </row>
    <row r="446" spans="1:49" s="4" customFormat="1" ht="12.75" customHeight="1">
      <c r="A446" s="5"/>
      <c r="B446" s="73"/>
      <c r="C446" s="730"/>
      <c r="D446" s="1"/>
      <c r="E446" s="225"/>
      <c r="F446" s="1664"/>
      <c r="G446" s="1664"/>
      <c r="H446" s="1664"/>
      <c r="I446" s="1664"/>
      <c r="J446" s="1664"/>
      <c r="K446" s="1664"/>
      <c r="L446" s="1664"/>
      <c r="M446" s="1664"/>
      <c r="N446" s="1664"/>
      <c r="O446" s="1664"/>
      <c r="P446" s="1664"/>
      <c r="Q446" s="1664"/>
      <c r="R446" s="1664"/>
      <c r="S446" s="1664"/>
      <c r="T446" s="1664"/>
      <c r="U446" s="1664"/>
      <c r="V446" s="1664"/>
      <c r="W446" s="1664"/>
      <c r="X446" s="1664"/>
      <c r="Y446" s="1664"/>
      <c r="Z446" s="1664"/>
      <c r="AA446" s="1664"/>
      <c r="AB446" s="1664"/>
      <c r="AC446" s="1664"/>
      <c r="AD446" s="1664"/>
      <c r="AE446" s="1664"/>
      <c r="AF446" s="18"/>
      <c r="AG446" s="18"/>
      <c r="AH446" s="18"/>
      <c r="AI446" s="18"/>
      <c r="AJ446" s="18"/>
      <c r="AK446" s="18"/>
      <c r="AL446" s="788"/>
      <c r="AM446"/>
      <c r="AN446" s="281"/>
    </row>
    <row r="447" spans="1:49" s="4" customFormat="1" ht="12.75" customHeight="1">
      <c r="A447" s="5"/>
      <c r="B447" s="73"/>
      <c r="C447" s="730"/>
      <c r="D447" s="1"/>
      <c r="E447" s="225"/>
      <c r="F447" s="1664"/>
      <c r="G447" s="1664"/>
      <c r="H447" s="1664"/>
      <c r="I447" s="1664"/>
      <c r="J447" s="1664"/>
      <c r="K447" s="1664"/>
      <c r="L447" s="1664"/>
      <c r="M447" s="1664"/>
      <c r="N447" s="1664"/>
      <c r="O447" s="1664"/>
      <c r="P447" s="1664"/>
      <c r="Q447" s="1664"/>
      <c r="R447" s="1664"/>
      <c r="S447" s="1664"/>
      <c r="T447" s="1664"/>
      <c r="U447" s="1664"/>
      <c r="V447" s="1664"/>
      <c r="W447" s="1664"/>
      <c r="X447" s="1664"/>
      <c r="Y447" s="1664"/>
      <c r="Z447" s="1664"/>
      <c r="AA447" s="1664"/>
      <c r="AB447" s="1664"/>
      <c r="AC447" s="1664"/>
      <c r="AD447" s="1664"/>
      <c r="AE447" s="1664"/>
      <c r="AL447" s="712"/>
      <c r="AM447"/>
      <c r="AN447" s="281"/>
    </row>
    <row r="448" spans="1:49" s="4" customFormat="1" ht="12.75" customHeight="1">
      <c r="A448" s="5"/>
      <c r="B448" s="73"/>
      <c r="C448" s="1694" t="s">
        <v>131</v>
      </c>
      <c r="D448" s="1109"/>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5" t="s">
        <v>338</v>
      </c>
      <c r="AG448" s="1675"/>
      <c r="AH448" s="1675"/>
      <c r="AI448" s="1675"/>
      <c r="AJ448" s="1675"/>
      <c r="AK448" s="1675"/>
      <c r="AL448" s="1700"/>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79" t="s">
        <v>131</v>
      </c>
      <c r="D452" s="1680"/>
      <c r="E452" s="705" t="s">
        <v>1009</v>
      </c>
      <c r="F452" s="1690" t="s">
        <v>1011</v>
      </c>
      <c r="G452" s="1690"/>
      <c r="H452" s="1690"/>
      <c r="I452" s="1690"/>
      <c r="J452" s="1690"/>
      <c r="K452" s="1690"/>
      <c r="L452" s="1690"/>
      <c r="M452" s="1690"/>
      <c r="N452" s="1690"/>
      <c r="O452" s="1690"/>
      <c r="P452" s="1690"/>
      <c r="Q452" s="1690"/>
      <c r="R452" s="1690"/>
      <c r="S452" s="1690"/>
      <c r="T452" s="1690"/>
      <c r="U452" s="1690"/>
      <c r="V452" s="1690"/>
      <c r="W452" s="1690"/>
      <c r="X452" s="1690"/>
      <c r="Y452" s="1690"/>
      <c r="Z452" s="1690"/>
      <c r="AA452" s="1690"/>
      <c r="AB452" s="1690"/>
      <c r="AC452" s="1690"/>
      <c r="AD452" s="1690"/>
      <c r="AE452" s="1690"/>
      <c r="AF452" s="1695" t="s">
        <v>338</v>
      </c>
      <c r="AG452" s="1695"/>
      <c r="AH452" s="1695"/>
      <c r="AI452" s="1695"/>
      <c r="AJ452" s="1695"/>
      <c r="AK452" s="1695"/>
      <c r="AL452" s="1696"/>
      <c r="AM452"/>
      <c r="AN452" s="681"/>
      <c r="AQ452" s="166"/>
    </row>
    <row r="453" spans="1:54" s="4" customFormat="1" ht="12.75" customHeight="1">
      <c r="A453" s="5"/>
      <c r="B453" s="73"/>
      <c r="C453" s="730"/>
      <c r="D453" s="1"/>
      <c r="E453" s="225"/>
      <c r="F453" s="1664"/>
      <c r="G453" s="1664"/>
      <c r="H453" s="1664"/>
      <c r="I453" s="1664"/>
      <c r="J453" s="1664"/>
      <c r="K453" s="1664"/>
      <c r="L453" s="1664"/>
      <c r="M453" s="1664"/>
      <c r="N453" s="1664"/>
      <c r="O453" s="1664"/>
      <c r="P453" s="1664"/>
      <c r="Q453" s="1664"/>
      <c r="R453" s="1664"/>
      <c r="S453" s="1664"/>
      <c r="T453" s="1664"/>
      <c r="U453" s="1664"/>
      <c r="V453" s="1664"/>
      <c r="W453" s="1664"/>
      <c r="X453" s="1664"/>
      <c r="Y453" s="1664"/>
      <c r="Z453" s="1664"/>
      <c r="AA453" s="1664"/>
      <c r="AB453" s="1664"/>
      <c r="AC453" s="1664"/>
      <c r="AD453" s="1664"/>
      <c r="AE453" s="1664"/>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91"/>
      <c r="G454" s="1691"/>
      <c r="H454" s="1691"/>
      <c r="I454" s="1691"/>
      <c r="J454" s="1691"/>
      <c r="K454" s="1691"/>
      <c r="L454" s="1691"/>
      <c r="M454" s="1691"/>
      <c r="N454" s="1691"/>
      <c r="O454" s="1691"/>
      <c r="P454" s="1691"/>
      <c r="Q454" s="1691"/>
      <c r="R454" s="1691"/>
      <c r="S454" s="1691"/>
      <c r="T454" s="1691"/>
      <c r="U454" s="1691"/>
      <c r="V454" s="1691"/>
      <c r="W454" s="1691"/>
      <c r="X454" s="1691"/>
      <c r="Y454" s="1691"/>
      <c r="Z454" s="1691"/>
      <c r="AA454" s="1691"/>
      <c r="AB454" s="1691"/>
      <c r="AC454" s="1691"/>
      <c r="AD454" s="1691"/>
      <c r="AE454" s="1691"/>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679" t="s">
        <v>131</v>
      </c>
      <c r="D456" s="1680"/>
      <c r="E456" s="705" t="s">
        <v>1010</v>
      </c>
      <c r="F456" s="1690" t="s">
        <v>1905</v>
      </c>
      <c r="G456" s="1690"/>
      <c r="H456" s="1690"/>
      <c r="I456" s="1690"/>
      <c r="J456" s="1690"/>
      <c r="K456" s="1690"/>
      <c r="L456" s="1690"/>
      <c r="M456" s="1690"/>
      <c r="N456" s="1690"/>
      <c r="O456" s="1690"/>
      <c r="P456" s="1690"/>
      <c r="Q456" s="1690"/>
      <c r="R456" s="1690"/>
      <c r="S456" s="1690"/>
      <c r="T456" s="1690"/>
      <c r="U456" s="1690"/>
      <c r="V456" s="1690"/>
      <c r="W456" s="1690"/>
      <c r="X456" s="1690"/>
      <c r="Y456" s="1690"/>
      <c r="Z456" s="1690"/>
      <c r="AA456" s="1690"/>
      <c r="AB456" s="1690"/>
      <c r="AC456" s="1690"/>
      <c r="AD456" s="1690"/>
      <c r="AE456" s="1690"/>
      <c r="AF456" s="1695" t="s">
        <v>338</v>
      </c>
      <c r="AG456" s="1695"/>
      <c r="AH456" s="1695"/>
      <c r="AI456" s="1695"/>
      <c r="AJ456" s="1695"/>
      <c r="AK456" s="1695"/>
      <c r="AL456" s="1696"/>
      <c r="AM456"/>
      <c r="AN456" s="677"/>
      <c r="AO456" s="4" t="s">
        <v>1386</v>
      </c>
      <c r="AP456" s="4">
        <v>5</v>
      </c>
      <c r="AQ456" s="5"/>
    </row>
    <row r="457" spans="1:54" s="4" customFormat="1" ht="12.75" customHeight="1">
      <c r="A457" s="5"/>
      <c r="B457" s="21"/>
      <c r="C457" s="711"/>
      <c r="D457" s="21"/>
      <c r="E457" s="194"/>
      <c r="F457" s="1664"/>
      <c r="G457" s="1664"/>
      <c r="H457" s="1664"/>
      <c r="I457" s="1664"/>
      <c r="J457" s="1664"/>
      <c r="K457" s="1664"/>
      <c r="L457" s="1664"/>
      <c r="M457" s="1664"/>
      <c r="N457" s="1664"/>
      <c r="O457" s="1664"/>
      <c r="P457" s="1664"/>
      <c r="Q457" s="1664"/>
      <c r="R457" s="1664"/>
      <c r="S457" s="1664"/>
      <c r="T457" s="1664"/>
      <c r="U457" s="1664"/>
      <c r="V457" s="1664"/>
      <c r="W457" s="1664"/>
      <c r="X457" s="1664"/>
      <c r="Y457" s="1664"/>
      <c r="Z457" s="1664"/>
      <c r="AA457" s="1664"/>
      <c r="AB457" s="1664"/>
      <c r="AC457" s="1664"/>
      <c r="AD457" s="1664"/>
      <c r="AE457" s="1664"/>
      <c r="AF457" s="3"/>
      <c r="AG457" s="5"/>
      <c r="AL457" s="712"/>
      <c r="AM457"/>
      <c r="AN457" s="677"/>
      <c r="AO457" s="4" t="s">
        <v>1382</v>
      </c>
      <c r="AP457" s="4">
        <v>5</v>
      </c>
    </row>
    <row r="458" spans="1:54" s="4" customFormat="1" ht="12.75" customHeight="1">
      <c r="A458" s="5"/>
      <c r="B458" s="21"/>
      <c r="C458" s="711"/>
      <c r="D458" s="21"/>
      <c r="E458" s="194"/>
      <c r="F458" s="1664"/>
      <c r="G458" s="1664"/>
      <c r="H458" s="1664"/>
      <c r="I458" s="1664"/>
      <c r="J458" s="1664"/>
      <c r="K458" s="1664"/>
      <c r="L458" s="1664"/>
      <c r="M458" s="1664"/>
      <c r="N458" s="1664"/>
      <c r="O458" s="1664"/>
      <c r="P458" s="1664"/>
      <c r="Q458" s="1664"/>
      <c r="R458" s="1664"/>
      <c r="S458" s="1664"/>
      <c r="T458" s="1664"/>
      <c r="U458" s="1664"/>
      <c r="V458" s="1664"/>
      <c r="W458" s="1664"/>
      <c r="X458" s="1664"/>
      <c r="Y458" s="1664"/>
      <c r="Z458" s="1664"/>
      <c r="AA458" s="1664"/>
      <c r="AB458" s="1664"/>
      <c r="AC458" s="1664"/>
      <c r="AD458" s="1664"/>
      <c r="AE458" s="1664"/>
      <c r="AF458" s="3"/>
      <c r="AG458" s="5"/>
      <c r="AL458" s="712"/>
      <c r="AM458"/>
      <c r="AN458" s="677"/>
      <c r="AO458" s="4" t="s">
        <v>1383</v>
      </c>
      <c r="AP458" s="4">
        <v>5</v>
      </c>
    </row>
    <row r="459" spans="1:54" s="4" customFormat="1" ht="4.5" customHeight="1">
      <c r="A459" s="5"/>
      <c r="B459" s="73"/>
      <c r="C459" s="707"/>
      <c r="D459" s="708"/>
      <c r="E459" s="709"/>
      <c r="F459" s="1691"/>
      <c r="G459" s="1691"/>
      <c r="H459" s="1691"/>
      <c r="I459" s="1691"/>
      <c r="J459" s="1691"/>
      <c r="K459" s="1691"/>
      <c r="L459" s="1691"/>
      <c r="M459" s="1691"/>
      <c r="N459" s="1691"/>
      <c r="O459" s="1691"/>
      <c r="P459" s="1691"/>
      <c r="Q459" s="1691"/>
      <c r="R459" s="1691"/>
      <c r="S459" s="1691"/>
      <c r="T459" s="1691"/>
      <c r="U459" s="1691"/>
      <c r="V459" s="1691"/>
      <c r="W459" s="1691"/>
      <c r="X459" s="1691"/>
      <c r="Y459" s="1691"/>
      <c r="Z459" s="1691"/>
      <c r="AA459" s="1691"/>
      <c r="AB459" s="1691"/>
      <c r="AC459" s="1691"/>
      <c r="AD459" s="1691"/>
      <c r="AE459" s="1691"/>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90" t="s">
        <v>1906</v>
      </c>
      <c r="G461" s="1690"/>
      <c r="H461" s="1690"/>
      <c r="I461" s="1690"/>
      <c r="J461" s="1690"/>
      <c r="K461" s="1690"/>
      <c r="L461" s="1690"/>
      <c r="M461" s="1690"/>
      <c r="N461" s="1690"/>
      <c r="O461" s="1690"/>
      <c r="P461" s="1690"/>
      <c r="Q461" s="1690"/>
      <c r="R461" s="1690"/>
      <c r="S461" s="1690"/>
      <c r="T461" s="1690"/>
      <c r="U461" s="1690"/>
      <c r="V461" s="1690"/>
      <c r="W461" s="1690"/>
      <c r="X461" s="1690"/>
      <c r="Y461" s="1690"/>
      <c r="Z461" s="1690"/>
      <c r="AA461" s="1690"/>
      <c r="AB461" s="1690"/>
      <c r="AC461" s="1690"/>
      <c r="AD461" s="1690"/>
      <c r="AE461" s="1690"/>
      <c r="AF461" s="1690"/>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64"/>
      <c r="G462" s="1664"/>
      <c r="H462" s="1664"/>
      <c r="I462" s="1664"/>
      <c r="J462" s="1664"/>
      <c r="K462" s="1664"/>
      <c r="L462" s="1664"/>
      <c r="M462" s="1664"/>
      <c r="N462" s="1664"/>
      <c r="O462" s="1664"/>
      <c r="P462" s="1664"/>
      <c r="Q462" s="1664"/>
      <c r="R462" s="1664"/>
      <c r="S462" s="1664"/>
      <c r="T462" s="1664"/>
      <c r="U462" s="1664"/>
      <c r="V462" s="1664"/>
      <c r="W462" s="1664"/>
      <c r="X462" s="1664"/>
      <c r="Y462" s="1664"/>
      <c r="Z462" s="1664"/>
      <c r="AA462" s="1664"/>
      <c r="AB462" s="1664"/>
      <c r="AC462" s="1664"/>
      <c r="AD462" s="1664"/>
      <c r="AE462" s="1664"/>
      <c r="AF462" s="1664"/>
      <c r="AL462" s="712"/>
      <c r="AM462"/>
      <c r="AN462" s="281"/>
      <c r="AS462" s="346"/>
      <c r="AW462" s="346" t="s">
        <v>1017</v>
      </c>
      <c r="BA462" s="346" t="s">
        <v>1018</v>
      </c>
    </row>
    <row r="463" spans="1:54" s="4" customFormat="1" ht="12.75" customHeight="1">
      <c r="A463" s="5"/>
      <c r="B463" s="21"/>
      <c r="C463" s="714"/>
      <c r="F463" s="1664"/>
      <c r="G463" s="1664"/>
      <c r="H463" s="1664"/>
      <c r="I463" s="1664"/>
      <c r="J463" s="1664"/>
      <c r="K463" s="1664"/>
      <c r="L463" s="1664"/>
      <c r="M463" s="1664"/>
      <c r="N463" s="1664"/>
      <c r="O463" s="1664"/>
      <c r="P463" s="1664"/>
      <c r="Q463" s="1664"/>
      <c r="R463" s="1664"/>
      <c r="S463" s="1664"/>
      <c r="T463" s="1664"/>
      <c r="U463" s="1664"/>
      <c r="V463" s="1664"/>
      <c r="W463" s="1664"/>
      <c r="X463" s="1664"/>
      <c r="Y463" s="1664"/>
      <c r="Z463" s="1664"/>
      <c r="AA463" s="1664"/>
      <c r="AB463" s="1664"/>
      <c r="AC463" s="1664"/>
      <c r="AD463" s="1664"/>
      <c r="AE463" s="1664"/>
      <c r="AF463" s="1664"/>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64"/>
      <c r="G464" s="1664"/>
      <c r="H464" s="1664"/>
      <c r="I464" s="1664"/>
      <c r="J464" s="1664"/>
      <c r="K464" s="1664"/>
      <c r="L464" s="1664"/>
      <c r="M464" s="1664"/>
      <c r="N464" s="1664"/>
      <c r="O464" s="1664"/>
      <c r="P464" s="1664"/>
      <c r="Q464" s="1664"/>
      <c r="R464" s="1664"/>
      <c r="S464" s="1664"/>
      <c r="T464" s="1664"/>
      <c r="U464" s="1664"/>
      <c r="V464" s="1664"/>
      <c r="W464" s="1664"/>
      <c r="X464" s="1664"/>
      <c r="Y464" s="1664"/>
      <c r="Z464" s="1664"/>
      <c r="AA464" s="1664"/>
      <c r="AB464" s="1664"/>
      <c r="AC464" s="1664"/>
      <c r="AD464" s="1664"/>
      <c r="AE464" s="1664"/>
      <c r="AF464" s="1664"/>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694" t="s">
        <v>131</v>
      </c>
      <c r="D465" s="1109"/>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7" t="s">
        <v>338</v>
      </c>
      <c r="AG465" s="1577"/>
      <c r="AH465" s="1577"/>
      <c r="AI465" s="1577"/>
      <c r="AJ465" s="1577"/>
      <c r="AK465" s="1577"/>
      <c r="AL465" s="1689"/>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37">
        <f>IF(AS354=0,AS352,AS354)</f>
        <v>10</v>
      </c>
      <c r="AL471" s="1238"/>
      <c r="AM471" s="1240"/>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1530</v>
      </c>
      <c r="C474" s="3"/>
      <c r="E474" s="20"/>
      <c r="AE474" s="1577" t="s">
        <v>1308</v>
      </c>
      <c r="AF474" s="1577"/>
      <c r="AG474" s="1577"/>
      <c r="AH474" s="1577"/>
      <c r="AI474" s="1577"/>
      <c r="AJ474" s="1577"/>
      <c r="AK474" s="1577"/>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97" t="s">
        <v>131</v>
      </c>
      <c r="D480" s="1698"/>
      <c r="E480" s="756" t="s">
        <v>205</v>
      </c>
      <c r="F480" s="1687" t="s">
        <v>1014</v>
      </c>
      <c r="G480" s="1687"/>
      <c r="H480" s="1687"/>
      <c r="I480" s="1687"/>
      <c r="J480" s="1687"/>
      <c r="K480" s="1687"/>
      <c r="L480" s="1687"/>
      <c r="M480" s="1687"/>
      <c r="N480" s="1687"/>
      <c r="O480" s="1687"/>
      <c r="P480" s="1687"/>
      <c r="Q480" s="1687"/>
      <c r="R480" s="1687"/>
      <c r="S480" s="1687"/>
      <c r="T480" s="1687"/>
      <c r="U480" s="1687"/>
      <c r="V480" s="1687"/>
      <c r="W480" s="1687"/>
      <c r="X480" s="1687"/>
      <c r="Y480" s="1687"/>
      <c r="Z480" s="1687"/>
      <c r="AA480" s="1687"/>
      <c r="AB480" s="1687"/>
      <c r="AC480" s="1687"/>
      <c r="AD480" s="1687"/>
      <c r="AE480" s="1687"/>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688"/>
      <c r="G481" s="1688"/>
      <c r="H481" s="1688"/>
      <c r="I481" s="1688"/>
      <c r="J481" s="1688"/>
      <c r="K481" s="1688"/>
      <c r="L481" s="1688"/>
      <c r="M481" s="1688"/>
      <c r="N481" s="1688"/>
      <c r="O481" s="1688"/>
      <c r="P481" s="1688"/>
      <c r="Q481" s="1688"/>
      <c r="R481" s="1688"/>
      <c r="S481" s="1688"/>
      <c r="T481" s="1688"/>
      <c r="U481" s="1688"/>
      <c r="V481" s="1688"/>
      <c r="W481" s="1688"/>
      <c r="X481" s="1688"/>
      <c r="Y481" s="1688"/>
      <c r="Z481" s="1688"/>
      <c r="AA481" s="1688"/>
      <c r="AB481" s="1688"/>
      <c r="AC481" s="1688"/>
      <c r="AD481" s="1688"/>
      <c r="AE481" s="1688"/>
      <c r="AG481" s="19"/>
      <c r="AH481" s="19"/>
      <c r="AI481" s="19"/>
      <c r="AJ481" s="19"/>
      <c r="AK481" s="712"/>
      <c r="AN481" s="281"/>
      <c r="AO481" s="4" t="s">
        <v>1385</v>
      </c>
      <c r="AP481" s="4">
        <v>1</v>
      </c>
    </row>
    <row r="482" spans="1:49" s="4" customFormat="1" ht="12.75" hidden="1" customHeight="1">
      <c r="C482" s="734"/>
      <c r="D482" s="721"/>
      <c r="E482" s="735"/>
      <c r="F482" s="1699" t="s">
        <v>131</v>
      </c>
      <c r="G482" s="1699"/>
      <c r="H482" s="1699"/>
      <c r="I482" s="1699"/>
      <c r="J482" s="1699"/>
      <c r="K482" s="1699"/>
      <c r="L482" s="1699"/>
      <c r="M482" s="1699"/>
      <c r="N482" s="1699"/>
      <c r="O482" s="1699"/>
      <c r="P482" s="1699"/>
      <c r="Q482" s="1699"/>
      <c r="R482" s="1699"/>
      <c r="S482" s="1699"/>
      <c r="T482" s="1699"/>
      <c r="U482" s="1699"/>
      <c r="V482" s="1699"/>
      <c r="W482" s="1699"/>
      <c r="X482" s="1699"/>
      <c r="Y482" s="1699"/>
      <c r="Z482" s="1699"/>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679" t="s">
        <v>115</v>
      </c>
      <c r="D484" s="1680"/>
      <c r="E484" s="756" t="s">
        <v>319</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0" t="s">
        <v>131</v>
      </c>
      <c r="W487" s="1660"/>
      <c r="X487" s="1660"/>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60" t="s">
        <v>131</v>
      </c>
      <c r="W489" s="1660"/>
      <c r="X489" s="1660"/>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60" t="s">
        <v>131</v>
      </c>
      <c r="W494" s="1660"/>
      <c r="X494" s="1660"/>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17"/>
      <c r="E497" s="1017"/>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0" t="s">
        <v>131</v>
      </c>
      <c r="W498" s="1660"/>
      <c r="X498" s="1660"/>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60" t="s">
        <v>131</v>
      </c>
      <c r="W500" s="1660"/>
      <c r="X500" s="1660"/>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3" t="s">
        <v>691</v>
      </c>
      <c r="AV501" s="1854"/>
      <c r="AW501" s="1854"/>
      <c r="AX501" s="1854"/>
      <c r="AY501" s="1854"/>
      <c r="AZ501" s="1854"/>
      <c r="BA501" s="1854"/>
      <c r="BB501" s="20"/>
      <c r="BC501" s="20"/>
      <c r="BE501" s="4"/>
      <c r="BF501" s="4"/>
      <c r="BG501" s="4"/>
      <c r="BH501" s="4"/>
      <c r="BI501" s="4"/>
      <c r="BJ501" s="1796" t="s">
        <v>34</v>
      </c>
      <c r="BK501" s="1797"/>
      <c r="BL501" s="1797"/>
      <c r="BM501" s="1797"/>
      <c r="BN501" s="1797"/>
      <c r="BO501" s="1797"/>
      <c r="BP501" s="1797"/>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3"/>
      <c r="AV502" s="1854"/>
      <c r="AW502" s="1854"/>
      <c r="AX502" s="1854"/>
      <c r="AY502" s="1854"/>
      <c r="AZ502" s="1854"/>
      <c r="BA502" s="1854"/>
      <c r="BB502" s="20"/>
      <c r="BC502" s="20"/>
      <c r="BE502" s="4"/>
      <c r="BF502" s="4"/>
      <c r="BG502" s="4"/>
      <c r="BH502" s="4"/>
      <c r="BI502" s="4"/>
      <c r="BJ502" s="1796"/>
      <c r="BK502" s="1797"/>
      <c r="BL502" s="1797"/>
      <c r="BM502" s="1797"/>
      <c r="BN502" s="1797"/>
      <c r="BO502" s="1797"/>
      <c r="BP502" s="1797"/>
      <c r="BQ502" s="20"/>
      <c r="BR502" s="4"/>
    </row>
    <row r="503" spans="1:147" customFormat="1" ht="12.75" hidden="1" customHeight="1">
      <c r="A503" s="120"/>
      <c r="B503" s="4"/>
      <c r="C503" s="1697" t="s">
        <v>131</v>
      </c>
      <c r="D503" s="1698"/>
      <c r="E503" s="749" t="s">
        <v>205</v>
      </c>
      <c r="F503" s="1687" t="s">
        <v>1014</v>
      </c>
      <c r="G503" s="1687"/>
      <c r="H503" s="1687"/>
      <c r="I503" s="1687"/>
      <c r="J503" s="1687"/>
      <c r="K503" s="1687"/>
      <c r="L503" s="1687"/>
      <c r="M503" s="1687"/>
      <c r="N503" s="1687"/>
      <c r="O503" s="1687"/>
      <c r="P503" s="1687"/>
      <c r="Q503" s="1687"/>
      <c r="R503" s="1687"/>
      <c r="S503" s="1687"/>
      <c r="T503" s="1687"/>
      <c r="U503" s="1687"/>
      <c r="V503" s="1687"/>
      <c r="W503" s="1687"/>
      <c r="X503" s="1687"/>
      <c r="Y503" s="1687"/>
      <c r="Z503" s="1687"/>
      <c r="AA503" s="1687"/>
      <c r="AB503" s="1687"/>
      <c r="AC503" s="1687"/>
      <c r="AD503" s="1687"/>
      <c r="AE503" s="1687"/>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88"/>
      <c r="G504" s="1688"/>
      <c r="H504" s="1688"/>
      <c r="I504" s="1688"/>
      <c r="J504" s="1688"/>
      <c r="K504" s="1688"/>
      <c r="L504" s="1688"/>
      <c r="M504" s="1688"/>
      <c r="N504" s="1688"/>
      <c r="O504" s="1688"/>
      <c r="P504" s="1688"/>
      <c r="Q504" s="1688"/>
      <c r="R504" s="1688"/>
      <c r="S504" s="1688"/>
      <c r="T504" s="1688"/>
      <c r="U504" s="1688"/>
      <c r="V504" s="1688"/>
      <c r="W504" s="1688"/>
      <c r="X504" s="1688"/>
      <c r="Y504" s="1688"/>
      <c r="Z504" s="1688"/>
      <c r="AA504" s="1688"/>
      <c r="AB504" s="1688"/>
      <c r="AC504" s="1688"/>
      <c r="AD504" s="1688"/>
      <c r="AE504" s="1688"/>
      <c r="AF504" s="4"/>
      <c r="AG504" s="19"/>
      <c r="AH504" s="19"/>
      <c r="AI504" s="19"/>
      <c r="AJ504" s="19"/>
      <c r="AK504" s="712"/>
      <c r="AL504" s="4"/>
      <c r="AM504" s="4"/>
      <c r="AN504" s="676"/>
      <c r="AO504" s="38"/>
      <c r="AP504" s="1120" t="s">
        <v>1564</v>
      </c>
      <c r="AQ504" s="1121"/>
      <c r="AR504" s="1122"/>
      <c r="AS504" s="631">
        <v>80</v>
      </c>
      <c r="AT504" s="4">
        <v>0</v>
      </c>
      <c r="AU504" s="160">
        <v>10</v>
      </c>
      <c r="AV504" s="160">
        <v>25</v>
      </c>
      <c r="AW504" s="160">
        <v>37.5</v>
      </c>
      <c r="AX504" s="160">
        <v>35</v>
      </c>
      <c r="AY504" s="160">
        <v>37.5</v>
      </c>
      <c r="AZ504" s="160">
        <v>50</v>
      </c>
      <c r="BA504" s="160">
        <v>50</v>
      </c>
      <c r="BB504" s="21"/>
      <c r="BC504" s="21"/>
      <c r="BE504" s="1120" t="s">
        <v>1564</v>
      </c>
      <c r="BF504" s="1121"/>
      <c r="BG504" s="1122"/>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5" t="s">
        <v>131</v>
      </c>
      <c r="G505" s="1685"/>
      <c r="H505" s="1685"/>
      <c r="I505" s="1685"/>
      <c r="J505" s="1685"/>
      <c r="K505" s="1685"/>
      <c r="L505" s="1685"/>
      <c r="M505" s="1685"/>
      <c r="N505" s="1685"/>
      <c r="O505" s="1685"/>
      <c r="P505" s="1685"/>
      <c r="Q505" s="1685"/>
      <c r="R505" s="1685"/>
      <c r="S505" s="1685"/>
      <c r="T505" s="1685"/>
      <c r="U505" s="1685"/>
      <c r="V505" s="1685"/>
      <c r="W505" s="1685"/>
      <c r="X505" s="1685"/>
      <c r="Y505" s="1685"/>
      <c r="Z505" s="1685"/>
      <c r="AA505" s="736"/>
      <c r="AB505" s="737"/>
      <c r="AC505" s="737"/>
      <c r="AD505" s="721"/>
      <c r="AE505" s="721"/>
      <c r="AF505" s="721"/>
      <c r="AG505" s="738">
        <f>IF($C$503="Yes",(VLOOKUP($F$505,$AO$473:$AP$481,2,FALSE)),0)</f>
        <v>0</v>
      </c>
      <c r="AH505" s="739" t="s">
        <v>1016</v>
      </c>
      <c r="AI505" s="738"/>
      <c r="AJ505" s="737"/>
      <c r="AK505" s="722"/>
      <c r="AL505" s="4"/>
      <c r="AM505" s="4"/>
      <c r="AN505" s="676"/>
      <c r="AO505" s="38"/>
      <c r="AP505" s="1123"/>
      <c r="AQ505" s="1124"/>
      <c r="AR505" s="1125"/>
      <c r="AS505" s="631">
        <v>75</v>
      </c>
      <c r="AT505" s="4">
        <v>0</v>
      </c>
      <c r="AU505" s="160">
        <v>10</v>
      </c>
      <c r="AV505" s="160">
        <v>25</v>
      </c>
      <c r="AW505" s="160">
        <v>37.5</v>
      </c>
      <c r="AX505" s="160">
        <v>35</v>
      </c>
      <c r="AY505" s="160">
        <v>37.5</v>
      </c>
      <c r="AZ505" s="160">
        <v>50</v>
      </c>
      <c r="BA505" s="160">
        <v>50</v>
      </c>
      <c r="BB505" s="21"/>
      <c r="BC505" s="21"/>
      <c r="BE505" s="1123"/>
      <c r="BF505" s="1124"/>
      <c r="BG505" s="1125"/>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3"/>
      <c r="AQ506" s="1124"/>
      <c r="AR506" s="1125"/>
      <c r="AS506" s="631">
        <v>70</v>
      </c>
      <c r="AT506" s="4">
        <v>0</v>
      </c>
      <c r="AU506" s="160">
        <v>10</v>
      </c>
      <c r="AV506" s="160">
        <v>25</v>
      </c>
      <c r="AW506" s="160">
        <v>37.5</v>
      </c>
      <c r="AX506" s="160">
        <v>35</v>
      </c>
      <c r="AY506" s="160">
        <v>37.5</v>
      </c>
      <c r="AZ506" s="160">
        <v>50</v>
      </c>
      <c r="BA506" s="160">
        <v>50</v>
      </c>
      <c r="BB506" s="21"/>
      <c r="BC506" s="21"/>
      <c r="BE506" s="1123"/>
      <c r="BF506" s="1124"/>
      <c r="BG506" s="1125"/>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7" t="s">
        <v>131</v>
      </c>
      <c r="D507" s="1698"/>
      <c r="E507" s="749" t="s">
        <v>319</v>
      </c>
      <c r="F507" s="1681" t="s">
        <v>1204</v>
      </c>
      <c r="G507" s="1681"/>
      <c r="H507" s="1681"/>
      <c r="I507" s="1681"/>
      <c r="J507" s="1681"/>
      <c r="K507" s="1681"/>
      <c r="L507" s="1681"/>
      <c r="M507" s="1681"/>
      <c r="N507" s="1681"/>
      <c r="O507" s="1681"/>
      <c r="P507" s="1681"/>
      <c r="Q507" s="1681"/>
      <c r="R507" s="1681"/>
      <c r="S507" s="1681"/>
      <c r="T507" s="1681"/>
      <c r="U507" s="1681"/>
      <c r="V507" s="1681"/>
      <c r="W507" s="1681"/>
      <c r="X507" s="1681"/>
      <c r="Y507" s="1681"/>
      <c r="Z507" s="1681"/>
      <c r="AA507" s="1681"/>
      <c r="AB507" s="1681"/>
      <c r="AC507" s="1681"/>
      <c r="AD507" s="1681"/>
      <c r="AE507" s="1681"/>
      <c r="AF507" s="704"/>
      <c r="AG507" s="741"/>
      <c r="AH507" s="741"/>
      <c r="AI507" s="741"/>
      <c r="AJ507" s="741"/>
      <c r="AK507" s="728"/>
      <c r="AL507" s="4"/>
      <c r="AM507" s="4"/>
      <c r="AN507" s="676"/>
      <c r="AO507" s="38"/>
      <c r="AP507" s="1123"/>
      <c r="AQ507" s="1124"/>
      <c r="AR507" s="1125"/>
      <c r="AS507" s="631">
        <v>65</v>
      </c>
      <c r="AT507" s="4">
        <v>0</v>
      </c>
      <c r="AU507" s="160">
        <v>10</v>
      </c>
      <c r="AV507" s="160">
        <v>25</v>
      </c>
      <c r="AW507" s="160">
        <v>37.5</v>
      </c>
      <c r="AX507" s="160">
        <v>35</v>
      </c>
      <c r="AY507" s="160">
        <v>37.5</v>
      </c>
      <c r="AZ507" s="160">
        <v>50</v>
      </c>
      <c r="BA507" s="160">
        <v>50</v>
      </c>
      <c r="BB507" s="21"/>
      <c r="BC507" s="21"/>
      <c r="BE507" s="1123"/>
      <c r="BF507" s="1124"/>
      <c r="BG507" s="1125"/>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2"/>
      <c r="G508" s="1682"/>
      <c r="H508" s="1682"/>
      <c r="I508" s="1682"/>
      <c r="J508" s="1682"/>
      <c r="K508" s="1682"/>
      <c r="L508" s="1682"/>
      <c r="M508" s="1682"/>
      <c r="N508" s="1682"/>
      <c r="O508" s="1682"/>
      <c r="P508" s="1682"/>
      <c r="Q508" s="1682"/>
      <c r="R508" s="1682"/>
      <c r="S508" s="1682"/>
      <c r="T508" s="1682"/>
      <c r="U508" s="1682"/>
      <c r="V508" s="1682"/>
      <c r="W508" s="1682"/>
      <c r="X508" s="1682"/>
      <c r="Y508" s="1682"/>
      <c r="Z508" s="1682"/>
      <c r="AA508" s="1682"/>
      <c r="AB508" s="1682"/>
      <c r="AC508" s="1682"/>
      <c r="AD508" s="1682"/>
      <c r="AE508" s="1682"/>
      <c r="AF508" s="4"/>
      <c r="AG508" s="19"/>
      <c r="AH508" s="19"/>
      <c r="AI508" s="19"/>
      <c r="AJ508" s="19"/>
      <c r="AK508" s="712"/>
      <c r="AL508" s="4"/>
      <c r="AM508" s="4"/>
      <c r="AN508" s="676"/>
      <c r="AO508" s="38"/>
      <c r="AP508" s="1123"/>
      <c r="AQ508" s="1124"/>
      <c r="AR508" s="1125"/>
      <c r="AS508" s="631">
        <v>60</v>
      </c>
      <c r="AT508" s="4">
        <v>0</v>
      </c>
      <c r="AU508" s="160">
        <v>10</v>
      </c>
      <c r="AV508" s="160">
        <v>25</v>
      </c>
      <c r="AW508" s="160">
        <v>37.5</v>
      </c>
      <c r="AX508" s="160">
        <v>35</v>
      </c>
      <c r="AY508" s="160">
        <v>37.5</v>
      </c>
      <c r="AZ508" s="160">
        <v>50</v>
      </c>
      <c r="BA508" s="160">
        <v>50</v>
      </c>
      <c r="BB508" s="21"/>
      <c r="BC508" s="21"/>
      <c r="BE508" s="1123"/>
      <c r="BF508" s="1124"/>
      <c r="BG508" s="1125"/>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3"/>
      <c r="AQ509" s="1124"/>
      <c r="AR509" s="1125"/>
      <c r="AS509" s="631">
        <v>55</v>
      </c>
      <c r="AT509" s="4">
        <v>0</v>
      </c>
      <c r="AU509" s="160">
        <v>10</v>
      </c>
      <c r="AV509" s="160">
        <v>25</v>
      </c>
      <c r="AW509" s="160">
        <v>37.5</v>
      </c>
      <c r="AX509" s="160">
        <v>35</v>
      </c>
      <c r="AY509" s="160">
        <v>37.5</v>
      </c>
      <c r="AZ509" s="160">
        <v>50</v>
      </c>
      <c r="BA509" s="160">
        <v>50</v>
      </c>
      <c r="BE509" s="1123"/>
      <c r="BF509" s="1124"/>
      <c r="BG509" s="1125"/>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6" t="s">
        <v>131</v>
      </c>
      <c r="G510" s="1686"/>
      <c r="H510" s="1686"/>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123"/>
      <c r="AQ510" s="1124"/>
      <c r="AR510" s="1125"/>
      <c r="AS510" s="159">
        <v>50</v>
      </c>
      <c r="AT510" s="4">
        <v>0</v>
      </c>
      <c r="AU510" s="160">
        <v>10</v>
      </c>
      <c r="AV510" s="160">
        <v>25</v>
      </c>
      <c r="AW510" s="160">
        <v>37.5</v>
      </c>
      <c r="AX510" s="160">
        <v>35</v>
      </c>
      <c r="AY510" s="160">
        <v>37.5</v>
      </c>
      <c r="AZ510" s="160">
        <v>50</v>
      </c>
      <c r="BA510" s="160">
        <v>50</v>
      </c>
      <c r="BE510" s="1123"/>
      <c r="BF510" s="1124"/>
      <c r="BG510" s="1125"/>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3"/>
      <c r="AQ511" s="1124"/>
      <c r="AR511" s="1125"/>
      <c r="AS511" s="159">
        <v>45</v>
      </c>
      <c r="AT511" s="4">
        <v>0</v>
      </c>
      <c r="AU511" s="160">
        <v>10</v>
      </c>
      <c r="AV511" s="160">
        <v>22.5</v>
      </c>
      <c r="AW511" s="160">
        <v>33.799999999999997</v>
      </c>
      <c r="AX511" s="160">
        <v>35</v>
      </c>
      <c r="AY511" s="160">
        <v>37.5</v>
      </c>
      <c r="AZ511" s="160">
        <v>50</v>
      </c>
      <c r="BA511" s="160">
        <v>50</v>
      </c>
      <c r="BE511" s="1123"/>
      <c r="BF511" s="1124"/>
      <c r="BG511" s="1125"/>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97" t="s">
        <v>131</v>
      </c>
      <c r="D512" s="1698"/>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3"/>
      <c r="AQ512" s="1124"/>
      <c r="AR512" s="1125"/>
      <c r="AS512" s="159">
        <v>40</v>
      </c>
      <c r="AT512" s="4">
        <v>0</v>
      </c>
      <c r="AU512" s="160">
        <v>10</v>
      </c>
      <c r="AV512" s="160">
        <v>20</v>
      </c>
      <c r="AW512" s="160">
        <v>30</v>
      </c>
      <c r="AX512" s="160">
        <v>35</v>
      </c>
      <c r="AY512" s="160">
        <v>37.5</v>
      </c>
      <c r="AZ512" s="160">
        <v>50</v>
      </c>
      <c r="BA512" s="160">
        <v>50</v>
      </c>
      <c r="BE512" s="1123"/>
      <c r="BF512" s="1124"/>
      <c r="BG512" s="1125"/>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3"/>
      <c r="AQ513" s="1124"/>
      <c r="AR513" s="1125"/>
      <c r="AS513" s="159">
        <v>35</v>
      </c>
      <c r="AT513" s="4">
        <v>0</v>
      </c>
      <c r="AU513" s="160">
        <v>8.8000000000000007</v>
      </c>
      <c r="AV513" s="160">
        <v>17.5</v>
      </c>
      <c r="AW513" s="160">
        <v>26.3</v>
      </c>
      <c r="AX513" s="160">
        <v>35</v>
      </c>
      <c r="AY513" s="160">
        <v>37.5</v>
      </c>
      <c r="AZ513" s="160">
        <v>50</v>
      </c>
      <c r="BA513" s="160">
        <v>50</v>
      </c>
      <c r="BE513" s="1123"/>
      <c r="BF513" s="1124"/>
      <c r="BG513" s="1125"/>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59"/>
      <c r="D514" s="1017"/>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123"/>
      <c r="AQ514" s="1124"/>
      <c r="AR514" s="1125"/>
      <c r="AS514" s="159">
        <v>30</v>
      </c>
      <c r="AT514" s="4">
        <v>0</v>
      </c>
      <c r="AU514" s="160">
        <v>7.5</v>
      </c>
      <c r="AV514" s="160">
        <v>15</v>
      </c>
      <c r="AW514" s="160">
        <v>22.5</v>
      </c>
      <c r="AX514" s="160">
        <v>30</v>
      </c>
      <c r="AY514" s="160">
        <v>37.5</v>
      </c>
      <c r="AZ514" s="160">
        <v>45</v>
      </c>
      <c r="BA514" s="160">
        <v>50</v>
      </c>
      <c r="BE514" s="1123"/>
      <c r="BF514" s="1124"/>
      <c r="BG514" s="1125"/>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6" t="s">
        <v>131</v>
      </c>
      <c r="H515" s="1856"/>
      <c r="I515" s="1856"/>
      <c r="J515" s="1856"/>
      <c r="K515" s="1856"/>
      <c r="L515" s="1856"/>
      <c r="M515" s="1856"/>
      <c r="N515" s="1856"/>
      <c r="O515" s="1856"/>
      <c r="P515" s="1856"/>
      <c r="Q515" s="1856"/>
      <c r="R515" s="1856"/>
      <c r="S515" s="1856"/>
      <c r="T515" s="1856"/>
      <c r="U515" s="1856"/>
      <c r="V515" s="1856"/>
      <c r="W515" s="1856"/>
      <c r="X515" s="1856"/>
      <c r="Y515" s="1856"/>
      <c r="Z515" s="1856"/>
      <c r="AA515" s="1856"/>
      <c r="AB515" s="1856"/>
      <c r="AC515" s="1856"/>
      <c r="AD515" s="1856"/>
      <c r="AE515" s="1856"/>
      <c r="AF515" s="1856"/>
      <c r="AG515" s="4"/>
      <c r="AH515" s="4"/>
      <c r="AI515" s="4"/>
      <c r="AJ515" s="19"/>
      <c r="AK515" s="712"/>
      <c r="AL515" s="4"/>
      <c r="AM515" s="4"/>
      <c r="AN515" s="676"/>
      <c r="AP515" s="1123"/>
      <c r="AQ515" s="1124"/>
      <c r="AR515" s="1125"/>
      <c r="AS515" s="159">
        <v>25</v>
      </c>
      <c r="AT515" s="4">
        <v>0</v>
      </c>
      <c r="AU515" s="160">
        <v>6.3</v>
      </c>
      <c r="AV515" s="160">
        <v>12.5</v>
      </c>
      <c r="AW515" s="160">
        <v>18.8</v>
      </c>
      <c r="AX515" s="160">
        <v>25</v>
      </c>
      <c r="AY515" s="160">
        <v>31.3</v>
      </c>
      <c r="AZ515" s="160">
        <v>37.5</v>
      </c>
      <c r="BA515" s="160">
        <v>50</v>
      </c>
      <c r="BE515" s="1123"/>
      <c r="BF515" s="1124"/>
      <c r="BG515" s="1125"/>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3"/>
      <c r="AQ516" s="1124"/>
      <c r="AR516" s="1125"/>
      <c r="AS516" s="159">
        <v>20</v>
      </c>
      <c r="AT516" s="4">
        <v>0</v>
      </c>
      <c r="AU516" s="160">
        <v>5</v>
      </c>
      <c r="AV516" s="160">
        <v>10</v>
      </c>
      <c r="AW516" s="160">
        <v>15</v>
      </c>
      <c r="AX516" s="160">
        <v>20</v>
      </c>
      <c r="AY516" s="160">
        <v>25</v>
      </c>
      <c r="AZ516" s="160">
        <v>30</v>
      </c>
      <c r="BA516" s="160">
        <v>40</v>
      </c>
      <c r="BE516" s="1123"/>
      <c r="BF516" s="1124"/>
      <c r="BG516" s="1125"/>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7" t="s">
        <v>131</v>
      </c>
      <c r="D517" s="1858"/>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123"/>
      <c r="AQ517" s="1124"/>
      <c r="AR517" s="1125"/>
      <c r="AS517" s="159">
        <v>15</v>
      </c>
      <c r="AT517" s="4">
        <v>0</v>
      </c>
      <c r="AU517" s="160">
        <v>3.8</v>
      </c>
      <c r="AV517" s="160">
        <v>7.5</v>
      </c>
      <c r="AW517" s="160">
        <v>11.3</v>
      </c>
      <c r="AX517" s="160">
        <v>15</v>
      </c>
      <c r="AY517" s="160">
        <v>18.8</v>
      </c>
      <c r="AZ517" s="160">
        <v>22.5</v>
      </c>
      <c r="BA517" s="160">
        <v>30</v>
      </c>
      <c r="BE517" s="1123"/>
      <c r="BF517" s="1124"/>
      <c r="BG517" s="1125"/>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6"/>
      <c r="AQ518" s="1127"/>
      <c r="AR518" s="1128"/>
      <c r="AS518" s="159">
        <v>10</v>
      </c>
      <c r="AT518" s="4">
        <v>0</v>
      </c>
      <c r="AU518" s="160">
        <v>2.5</v>
      </c>
      <c r="AV518" s="160">
        <v>5</v>
      </c>
      <c r="AW518" s="160">
        <v>7.5</v>
      </c>
      <c r="AX518" s="160">
        <v>10</v>
      </c>
      <c r="AY518" s="160">
        <v>12.5</v>
      </c>
      <c r="AZ518" s="160">
        <v>15</v>
      </c>
      <c r="BA518" s="160">
        <v>20</v>
      </c>
      <c r="BE518" s="1126"/>
      <c r="BF518" s="1127"/>
      <c r="BG518" s="1128"/>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7" t="s">
        <v>131</v>
      </c>
      <c r="D521" s="1858"/>
      <c r="F521" s="502" t="s">
        <v>913</v>
      </c>
      <c r="G521" s="1664" t="s">
        <v>1025</v>
      </c>
      <c r="H521" s="1664"/>
      <c r="I521" s="1664"/>
      <c r="J521" s="1664"/>
      <c r="K521" s="1664"/>
      <c r="L521" s="1664"/>
      <c r="M521" s="1664"/>
      <c r="N521" s="1664"/>
      <c r="O521" s="1664"/>
      <c r="P521" s="1664"/>
      <c r="Q521" s="1664"/>
      <c r="R521" s="1664"/>
      <c r="S521" s="1664"/>
      <c r="T521" s="1664"/>
      <c r="U521" s="1664"/>
      <c r="V521" s="1664"/>
      <c r="W521" s="1664"/>
      <c r="X521" s="1664"/>
      <c r="Y521" s="1664"/>
      <c r="Z521" s="1664"/>
      <c r="AA521" s="1664"/>
      <c r="AB521" s="1664"/>
      <c r="AC521" s="1664"/>
      <c r="AD521" s="1664"/>
      <c r="AE521" s="1664"/>
      <c r="AF521" s="1664"/>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357</v>
      </c>
      <c r="BD521" s="1850">
        <f>BJ525</f>
        <v>28</v>
      </c>
      <c r="BE521" s="1850"/>
      <c r="BF521" s="168" t="s">
        <v>358</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91"/>
      <c r="H522" s="1691"/>
      <c r="I522" s="1691"/>
      <c r="J522" s="1691"/>
      <c r="K522" s="1691"/>
      <c r="L522" s="1691"/>
      <c r="M522" s="1691"/>
      <c r="N522" s="1691"/>
      <c r="O522" s="1691"/>
      <c r="P522" s="1691"/>
      <c r="Q522" s="1691"/>
      <c r="R522" s="1691"/>
      <c r="S522" s="1691"/>
      <c r="T522" s="1691"/>
      <c r="U522" s="1691"/>
      <c r="V522" s="1691"/>
      <c r="W522" s="1691"/>
      <c r="X522" s="1691"/>
      <c r="Y522" s="1691"/>
      <c r="Z522" s="1691"/>
      <c r="AA522" s="1691"/>
      <c r="AB522" s="1691"/>
      <c r="AC522" s="1691"/>
      <c r="AD522" s="1691"/>
      <c r="AE522" s="1691"/>
      <c r="AF522" s="1691"/>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850">
        <f>SUM(E578:J586)</f>
        <v>28</v>
      </c>
      <c r="BE522" s="1850"/>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842">
        <v>0</v>
      </c>
      <c r="BK523" s="1843"/>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2">
        <f>Application!AG431</f>
        <v>0</v>
      </c>
      <c r="BK524" s="1843"/>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4" t="s">
        <v>131</v>
      </c>
      <c r="D525" s="1109"/>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842">
        <f>Application!AG433</f>
        <v>28</v>
      </c>
      <c r="BK525" s="1843"/>
      <c r="BM525" s="1737"/>
      <c r="BN525" s="1738"/>
      <c r="BO525" s="1737"/>
      <c r="BP525" s="1738"/>
      <c r="BQ525" s="1747"/>
      <c r="BR525" s="1749"/>
      <c r="BS525" s="1747"/>
      <c r="BT525" s="1749"/>
      <c r="BU525" s="1737">
        <f>IF(T607&gt;0,1,0)</f>
        <v>1</v>
      </c>
      <c r="BV525" s="1738"/>
      <c r="BW525" s="1737">
        <f>IF(Y607&gt;=0.1,1,0)</f>
        <v>1</v>
      </c>
      <c r="BX525" s="1738"/>
      <c r="BY525" s="1747"/>
      <c r="BZ525" s="1749"/>
      <c r="CA525" s="1747"/>
      <c r="CB525" s="1749"/>
      <c r="CC525" s="1737"/>
      <c r="CD525" s="1738"/>
      <c r="CE525" s="1737"/>
      <c r="CF525" s="1738"/>
      <c r="CG525"/>
      <c r="CH525"/>
      <c r="CI525"/>
      <c r="CJ525"/>
    </row>
    <row r="526" spans="1:122" s="4" customFormat="1" ht="12.75" hidden="1" customHeight="1">
      <c r="C526" s="706"/>
      <c r="E526" s="143"/>
      <c r="F526" s="1461" t="s">
        <v>131</v>
      </c>
      <c r="G526" s="1461"/>
      <c r="H526" s="1461"/>
      <c r="I526" s="1461"/>
      <c r="J526" s="1461"/>
      <c r="K526" s="1461"/>
      <c r="L526" s="1461"/>
      <c r="M526" s="1461"/>
      <c r="N526" s="1461"/>
      <c r="O526" s="1461"/>
      <c r="P526" s="1461"/>
      <c r="Q526" s="1461"/>
      <c r="R526" s="1461"/>
      <c r="S526" s="1461"/>
      <c r="T526" s="1461"/>
      <c r="U526" s="1461"/>
      <c r="V526" s="1461"/>
      <c r="W526" s="1461"/>
      <c r="X526" s="1461"/>
      <c r="Y526" s="1461"/>
      <c r="Z526" s="1461"/>
      <c r="AA526" s="1461"/>
      <c r="AB526" s="1461"/>
      <c r="AC526" s="1461"/>
      <c r="AD526" s="1461"/>
      <c r="AE526" s="1461"/>
      <c r="AF526" s="1461"/>
      <c r="AG526" s="19"/>
      <c r="AH526" s="19"/>
      <c r="AI526" s="19"/>
      <c r="AJ526" s="19"/>
      <c r="AK526" s="712"/>
      <c r="AN526" s="281"/>
      <c r="BM526" s="1737"/>
      <c r="BN526" s="1738"/>
      <c r="BO526" s="1737"/>
      <c r="BP526" s="1738"/>
      <c r="BQ526" s="1747"/>
      <c r="BR526" s="1749"/>
      <c r="BS526" s="1747"/>
      <c r="BT526" s="1749"/>
      <c r="BU526" s="1737"/>
      <c r="BV526" s="1738"/>
      <c r="BW526" s="1737"/>
      <c r="BX526" s="1738"/>
      <c r="BY526" s="1747">
        <f>IF(T608&gt;0,1,0)</f>
        <v>1</v>
      </c>
      <c r="BZ526" s="1749"/>
      <c r="CA526" s="1747">
        <f>IF(Y608&gt;=0.1,1,0)</f>
        <v>0</v>
      </c>
      <c r="CB526" s="1749"/>
      <c r="CC526" s="1737"/>
      <c r="CD526" s="1738"/>
      <c r="CE526" s="1737"/>
      <c r="CF526" s="1738"/>
      <c r="CG526"/>
      <c r="CH526"/>
      <c r="CI526"/>
      <c r="CJ526"/>
      <c r="CW526"/>
    </row>
    <row r="527" spans="1:122" s="4" customFormat="1" ht="12.75" hidden="1" customHeight="1">
      <c r="C527" s="754"/>
      <c r="D527" s="721"/>
      <c r="E527" s="735"/>
      <c r="F527" s="1678"/>
      <c r="G527" s="1678"/>
      <c r="H527" s="1678"/>
      <c r="I527" s="1678"/>
      <c r="J527" s="1678"/>
      <c r="K527" s="1678"/>
      <c r="L527" s="1678"/>
      <c r="M527" s="1678"/>
      <c r="N527" s="1678"/>
      <c r="O527" s="1678"/>
      <c r="P527" s="1678"/>
      <c r="Q527" s="1678"/>
      <c r="R527" s="1678"/>
      <c r="S527" s="1678"/>
      <c r="T527" s="1678"/>
      <c r="U527" s="1678"/>
      <c r="V527" s="1678"/>
      <c r="W527" s="1678"/>
      <c r="X527" s="1678"/>
      <c r="Y527" s="1678"/>
      <c r="Z527" s="1678"/>
      <c r="AA527" s="1678"/>
      <c r="AB527" s="1678"/>
      <c r="AC527" s="1678"/>
      <c r="AD527" s="1678"/>
      <c r="AE527" s="1678"/>
      <c r="AF527" s="1678"/>
      <c r="AG527" s="737"/>
      <c r="AH527" s="737"/>
      <c r="AI527" s="737"/>
      <c r="AJ527" s="737"/>
      <c r="AK527" s="722"/>
      <c r="AN527" s="281"/>
      <c r="BM527" s="1737"/>
      <c r="BN527" s="1738"/>
      <c r="BO527" s="1737"/>
      <c r="BP527" s="1738"/>
      <c r="BQ527" s="1747"/>
      <c r="BR527" s="1749"/>
      <c r="BS527" s="1747"/>
      <c r="BT527" s="1749"/>
      <c r="BU527" s="1737"/>
      <c r="BV527" s="1738"/>
      <c r="BW527" s="1737"/>
      <c r="BX527" s="1738"/>
      <c r="BY527" s="1747"/>
      <c r="BZ527" s="1749"/>
      <c r="CA527" s="1747"/>
      <c r="CB527" s="1749"/>
      <c r="CC527" s="1737">
        <f>IF(T609&gt;0,1,0)</f>
        <v>0</v>
      </c>
      <c r="CD527" s="1738"/>
      <c r="CE527" s="1737">
        <f>IF(Y609&gt;=0.1,1,0)</f>
        <v>0</v>
      </c>
      <c r="CF527" s="1738"/>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7">
        <f>SUM(BM523:BN527)</f>
        <v>0</v>
      </c>
      <c r="BN528" s="1738"/>
      <c r="BO528" s="1737">
        <f>SUM(BO523:BP527)</f>
        <v>0</v>
      </c>
      <c r="BP528" s="1738"/>
      <c r="BQ528" s="1737">
        <f>SUM(BQ523:BR527)</f>
        <v>1</v>
      </c>
      <c r="BR528" s="1738"/>
      <c r="BS528" s="1737">
        <f>SUM(BS523:BT527)</f>
        <v>1</v>
      </c>
      <c r="BT528" s="1738"/>
      <c r="BU528" s="1737">
        <f>SUM(BU523:BV527)</f>
        <v>1</v>
      </c>
      <c r="BV528" s="1738"/>
      <c r="BW528" s="1737">
        <f>SUM(BW523:BX527)</f>
        <v>1</v>
      </c>
      <c r="BX528" s="1738"/>
      <c r="BY528" s="1737">
        <f>SUM(BY523:BZ527)</f>
        <v>1</v>
      </c>
      <c r="BZ528" s="1738"/>
      <c r="CA528" s="1737">
        <f>SUM(CA523:CB527)</f>
        <v>0</v>
      </c>
      <c r="CB528" s="1738"/>
      <c r="CC528" s="1737">
        <f>SUM(CC523:CD527)</f>
        <v>0</v>
      </c>
      <c r="CD528" s="1738"/>
      <c r="CE528" s="1737">
        <f>SUM(CE523:CF527)</f>
        <v>0</v>
      </c>
      <c r="CF528" s="1738"/>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7" t="s">
        <v>482</v>
      </c>
      <c r="AQ529" s="1848"/>
      <c r="AR529" s="1848"/>
      <c r="AS529" s="1848"/>
      <c r="AT529" s="1849"/>
      <c r="AU529" s="1847" t="s">
        <v>483</v>
      </c>
      <c r="AV529" s="1848"/>
      <c r="AW529" s="1848"/>
      <c r="AX529" s="1848"/>
      <c r="AY529" s="1849"/>
      <c r="BM529" s="1747">
        <f>SUM(BM528:BP528)</f>
        <v>0</v>
      </c>
      <c r="BN529" s="1748"/>
      <c r="BO529" s="1748"/>
      <c r="BP529" s="1749"/>
      <c r="BQ529" s="1747">
        <f>SUM(BQ528:BT528)</f>
        <v>2</v>
      </c>
      <c r="BR529" s="1748"/>
      <c r="BS529" s="1748"/>
      <c r="BT529" s="1749"/>
      <c r="BU529" s="1747">
        <f>SUM(BU528:BX528)</f>
        <v>2</v>
      </c>
      <c r="BV529" s="1748"/>
      <c r="BW529" s="1748"/>
      <c r="BX529" s="1749"/>
      <c r="BY529" s="1747">
        <f>SUM(BY528:CB528)</f>
        <v>1</v>
      </c>
      <c r="BZ529" s="1748"/>
      <c r="CA529" s="1748"/>
      <c r="CB529" s="1749"/>
      <c r="CC529" s="1747">
        <f>SUM(CC528:CF528)</f>
        <v>0</v>
      </c>
      <c r="CD529" s="1748"/>
      <c r="CE529" s="1748"/>
      <c r="CF529" s="1749"/>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4">
        <f>RANK(T605,$T$605:$X$609,0)+COUNTIF($T$605:$X$609,T605)-1</f>
        <v>5</v>
      </c>
      <c r="AQ530" s="1845"/>
      <c r="AR530" s="1845"/>
      <c r="AS530" s="1845"/>
      <c r="AT530" s="1846"/>
      <c r="AU530" s="1844">
        <f>RANK(Y605,$Y$605:$AC$609,0)+COUNTIF($Y$605:$AC$609,Y605)-1</f>
        <v>5</v>
      </c>
      <c r="AV530" s="1845"/>
      <c r="AW530" s="1845"/>
      <c r="AX530" s="1845"/>
      <c r="AY530" s="1846"/>
      <c r="BM530" s="1747"/>
      <c r="BN530" s="1748"/>
      <c r="BO530" s="1748"/>
      <c r="BP530" s="1749"/>
      <c r="BQ530" s="1747">
        <f>IF(AND(BQ529=2,BM529=1),1,0)</f>
        <v>0</v>
      </c>
      <c r="BR530" s="1748"/>
      <c r="BS530" s="1748"/>
      <c r="BT530" s="1749"/>
      <c r="BU530" s="1747">
        <f>IF(AND(BU529=2,BQ529=1),1,0)</f>
        <v>0</v>
      </c>
      <c r="BV530" s="1748"/>
      <c r="BW530" s="1748"/>
      <c r="BX530" s="1749"/>
      <c r="BY530" s="1747">
        <f>IF(AND(BY529=2,BU529=1),1,0)</f>
        <v>0</v>
      </c>
      <c r="BZ530" s="1748"/>
      <c r="CA530" s="1748"/>
      <c r="CB530" s="1749"/>
      <c r="CC530" s="1747">
        <f>IF(AND(CC529=2,BU529=1),1,0)</f>
        <v>0</v>
      </c>
      <c r="CD530" s="1748"/>
      <c r="CE530" s="1748"/>
      <c r="CF530" s="1749"/>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4">
        <f>RANK(T606,$T$605:$X$609,0)+COUNTIF($T$605:$X$609,T606)-1</f>
        <v>3</v>
      </c>
      <c r="AQ531" s="1845"/>
      <c r="AR531" s="1845"/>
      <c r="AS531" s="1845"/>
      <c r="AT531" s="1846"/>
      <c r="AU531" s="1844">
        <f>RANK(Y606,$Y$605:$AC$609,0)+COUNTIF($Y$605:$AC$609,Y606)-1</f>
        <v>2</v>
      </c>
      <c r="AV531" s="1845"/>
      <c r="AW531" s="1845"/>
      <c r="AX531" s="1845"/>
      <c r="AY531" s="1846"/>
      <c r="BM531" s="1747"/>
      <c r="BN531" s="1748"/>
      <c r="BO531" s="1748"/>
      <c r="BP531" s="1749"/>
      <c r="BQ531" s="1747"/>
      <c r="BR531" s="1748"/>
      <c r="BS531" s="1748"/>
      <c r="BT531" s="1749"/>
      <c r="BU531" s="1747">
        <f>IF(AND(BU529=2,BM529=1),1,0)</f>
        <v>0</v>
      </c>
      <c r="BV531" s="1748"/>
      <c r="BW531" s="1748"/>
      <c r="BX531" s="1749"/>
      <c r="BY531" s="1747">
        <f>IF(AND(BY529=2,BQ529=1),1,0)</f>
        <v>0</v>
      </c>
      <c r="BZ531" s="1748"/>
      <c r="CA531" s="1748"/>
      <c r="CB531" s="1749"/>
      <c r="CC531" s="1747">
        <f>IF(AND(CC530=2,BY530=1),1,0)</f>
        <v>0</v>
      </c>
      <c r="CD531" s="1748"/>
      <c r="CE531" s="1748"/>
      <c r="CF531" s="1749"/>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4">
        <f>RANK(T607,$T$605:$X$609,0)+COUNTIF($T$605:$X$609,T607)-1</f>
        <v>3</v>
      </c>
      <c r="AQ532" s="1845"/>
      <c r="AR532" s="1845"/>
      <c r="AS532" s="1845"/>
      <c r="AT532" s="1846"/>
      <c r="AU532" s="1844">
        <f>RANK(Y607,$Y$605:$AC$609,0)+COUNTIF($Y$605:$AC$609,Y607)-1</f>
        <v>1</v>
      </c>
      <c r="AV532" s="1845"/>
      <c r="AW532" s="1845"/>
      <c r="AX532" s="1845"/>
      <c r="AY532" s="1846"/>
      <c r="BM532" s="1747"/>
      <c r="BN532" s="1748"/>
      <c r="BO532" s="1748"/>
      <c r="BP532" s="1749"/>
      <c r="BQ532" s="1747"/>
      <c r="BR532" s="1748"/>
      <c r="BS532" s="1748"/>
      <c r="BT532" s="1749"/>
      <c r="BU532" s="1747"/>
      <c r="BV532" s="1748"/>
      <c r="BW532" s="1748"/>
      <c r="BX532" s="1749"/>
      <c r="BY532" s="1747">
        <f>IF(AND(BY529=2,BM529=1),1,0)</f>
        <v>0</v>
      </c>
      <c r="BZ532" s="1748"/>
      <c r="CA532" s="1748"/>
      <c r="CB532" s="1749"/>
      <c r="CC532" s="1747">
        <f>IF(AND(CC529=2,BQ529=1),1,0)</f>
        <v>0</v>
      </c>
      <c r="CD532" s="1748"/>
      <c r="CE532" s="1748"/>
      <c r="CF532" s="1749"/>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4">
        <f>RANK(T608,$T$605:$X$609,0)+COUNTIF($T$605:$X$609,T608)-1</f>
        <v>3</v>
      </c>
      <c r="AQ533" s="1845"/>
      <c r="AR533" s="1845"/>
      <c r="AS533" s="1845"/>
      <c r="AT533" s="1846"/>
      <c r="AU533" s="1844">
        <f>RANK(Y608,$Y$605:$AC$609,0)+COUNTIF($Y$605:$AC$609,Y608)-1</f>
        <v>3</v>
      </c>
      <c r="AV533" s="1845"/>
      <c r="AW533" s="1845"/>
      <c r="AX533" s="1845"/>
      <c r="AY533" s="1846"/>
      <c r="BM533" s="1747"/>
      <c r="BN533" s="1748"/>
      <c r="BO533" s="1748"/>
      <c r="BP533" s="1749"/>
      <c r="BQ533" s="1747"/>
      <c r="BR533" s="1748"/>
      <c r="BS533" s="1748"/>
      <c r="BT533" s="1749"/>
      <c r="BU533" s="1747"/>
      <c r="BV533" s="1748"/>
      <c r="BW533" s="1748"/>
      <c r="BX533" s="1749"/>
      <c r="BY533" s="1747"/>
      <c r="BZ533" s="1748"/>
      <c r="CA533" s="1748"/>
      <c r="CB533" s="1749"/>
      <c r="CC533" s="1747">
        <f>IF(AND(CC529=2,BM529=1),1,0)</f>
        <v>0</v>
      </c>
      <c r="CD533" s="1748"/>
      <c r="CE533" s="1748"/>
      <c r="CF533" s="1749"/>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4">
        <f>RANK(T609,$T$605:$X$609,0)+COUNTIF($T$605:$X$609,T609)-1</f>
        <v>5</v>
      </c>
      <c r="AQ534" s="1845"/>
      <c r="AR534" s="1845"/>
      <c r="AS534" s="1845"/>
      <c r="AT534" s="1846"/>
      <c r="AU534" s="1844">
        <f>RANK(Y609,$Y$605:$AC$609,0)+COUNTIF($Y$605:$AC$609,Y609)-1</f>
        <v>5</v>
      </c>
      <c r="AV534" s="1845"/>
      <c r="AW534" s="1845"/>
      <c r="AX534" s="1845"/>
      <c r="AY534" s="1846"/>
      <c r="BM534" s="1747">
        <f>SUM(BM530:BP533)</f>
        <v>0</v>
      </c>
      <c r="BN534" s="1748"/>
      <c r="BO534" s="1748"/>
      <c r="BP534" s="1749"/>
      <c r="BQ534" s="1747">
        <f>SUM(BQ530:BT533)</f>
        <v>0</v>
      </c>
      <c r="BR534" s="1748"/>
      <c r="BS534" s="1748"/>
      <c r="BT534" s="1749"/>
      <c r="BU534" s="1747">
        <f>SUM(BU530:BX533)</f>
        <v>0</v>
      </c>
      <c r="BV534" s="1748"/>
      <c r="BW534" s="1748"/>
      <c r="BX534" s="1749"/>
      <c r="BY534" s="1747">
        <f>SUM(BY530:CB533)</f>
        <v>0</v>
      </c>
      <c r="BZ534" s="1748"/>
      <c r="CA534" s="1748"/>
      <c r="CB534" s="1749"/>
      <c r="CC534" s="1747">
        <f>SUM(CC530:CF533)</f>
        <v>0</v>
      </c>
      <c r="CD534" s="1748"/>
      <c r="CE534" s="1748"/>
      <c r="CF534" s="1749"/>
      <c r="CG534" s="1747">
        <f>SUM(BM534:CF534)</f>
        <v>0</v>
      </c>
      <c r="CH534" s="1748"/>
      <c r="CI534" s="1748"/>
      <c r="CJ534" s="1749"/>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37">
        <f>SUM(AG481:AG526)</f>
        <v>0</v>
      </c>
      <c r="AL537" s="1238"/>
      <c r="AM537" s="1240"/>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737">
        <f>SUM(O605:S609)</f>
        <v>28</v>
      </c>
      <c r="AZ538" s="1738"/>
      <c r="CG538"/>
      <c r="CH538" s="1779" t="s">
        <v>810</v>
      </c>
      <c r="CI538" s="1498"/>
      <c r="CJ538" s="1498"/>
      <c r="CK538" s="1499"/>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737" t="str">
        <f>IF(AY538=BK565,"passed","failed")</f>
        <v>passed</v>
      </c>
      <c r="AT539" s="1739"/>
      <c r="AU539" s="1738"/>
      <c r="AV539" s="151"/>
      <c r="AW539" s="151"/>
      <c r="AX539" s="151"/>
      <c r="AY539" s="151"/>
      <c r="AZ539" s="152"/>
      <c r="CG539"/>
      <c r="CH539" s="1500"/>
      <c r="CI539" s="1501"/>
      <c r="CJ539" s="1501"/>
      <c r="CK539" s="1502"/>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3" t="s">
        <v>388</v>
      </c>
      <c r="AF540" s="1673"/>
      <c r="AG540" s="1673"/>
      <c r="AH540" s="1673"/>
      <c r="AI540" s="1673"/>
      <c r="AJ540" s="1673"/>
      <c r="AK540" s="1673"/>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500"/>
      <c r="CI540" s="1501"/>
      <c r="CJ540" s="1501"/>
      <c r="CK540" s="1502"/>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5" t="s">
        <v>192</v>
      </c>
      <c r="AH541" s="1675"/>
      <c r="AI541" s="1675"/>
      <c r="AJ541" s="1675"/>
      <c r="AK541" s="18"/>
      <c r="AL541" s="18"/>
      <c r="AM541" s="21"/>
      <c r="AN541" s="281"/>
      <c r="BE541" s="1747" t="s">
        <v>236</v>
      </c>
      <c r="BF541" s="1748"/>
      <c r="BG541" s="1748"/>
      <c r="BH541" s="1749"/>
      <c r="BI541" s="1747" t="s">
        <v>750</v>
      </c>
      <c r="BJ541" s="1748"/>
      <c r="BK541" s="1748"/>
      <c r="BL541" s="1749"/>
      <c r="BM541" s="1747" t="s">
        <v>751</v>
      </c>
      <c r="BN541" s="1748"/>
      <c r="BO541" s="1748"/>
      <c r="BP541" s="1749"/>
      <c r="BQ541" s="1747" t="s">
        <v>752</v>
      </c>
      <c r="BR541" s="1748"/>
      <c r="BS541" s="1748"/>
      <c r="BT541" s="1749"/>
      <c r="BU541" s="1747" t="s">
        <v>753</v>
      </c>
      <c r="BV541" s="1748"/>
      <c r="BW541" s="1748"/>
      <c r="BX541" s="1749"/>
      <c r="BY541" s="1747" t="s">
        <v>237</v>
      </c>
      <c r="BZ541" s="1748"/>
      <c r="CA541" s="1748"/>
      <c r="CB541" s="1749"/>
      <c r="CC541"/>
      <c r="CG541"/>
      <c r="CH541" s="1500"/>
      <c r="CI541" s="1501"/>
      <c r="CJ541" s="1501"/>
      <c r="CK541" s="1502"/>
    </row>
    <row r="542" spans="1:89" s="4" customFormat="1" ht="12.75" customHeight="1">
      <c r="A542" s="3"/>
      <c r="B542" s="1855" t="s">
        <v>1790</v>
      </c>
      <c r="C542" s="1855"/>
      <c r="D542" s="1855"/>
      <c r="E542" s="1855"/>
      <c r="F542" s="1855"/>
      <c r="G542" s="1855"/>
      <c r="H542" s="1855"/>
      <c r="I542" s="1855"/>
      <c r="J542" s="1855"/>
      <c r="K542" s="1855"/>
      <c r="L542" s="1855"/>
      <c r="M542" s="1855"/>
      <c r="N542" s="1855"/>
      <c r="O542" s="1855"/>
      <c r="P542" s="1855"/>
      <c r="Q542" s="1855"/>
      <c r="R542" s="1855"/>
      <c r="S542" s="1855"/>
      <c r="T542" s="1855"/>
      <c r="U542" s="1855"/>
      <c r="V542" s="1855"/>
      <c r="W542" s="1855"/>
      <c r="X542" s="1855"/>
      <c r="Y542" s="1855"/>
      <c r="Z542" s="1855"/>
      <c r="AA542" s="1855"/>
      <c r="AB542" s="1855"/>
      <c r="AC542" s="1855"/>
      <c r="AD542" s="1855"/>
      <c r="AE542" s="1855"/>
      <c r="AF542" s="1855"/>
      <c r="AG542" s="1855"/>
      <c r="AK542" s="21"/>
      <c r="AL542" s="21"/>
      <c r="AN542" s="281"/>
      <c r="AP542" s="438" t="s">
        <v>647</v>
      </c>
      <c r="AQ542" s="439"/>
      <c r="AR542" s="439"/>
      <c r="AS542" s="439"/>
      <c r="AT542" s="439"/>
      <c r="AU542" s="439"/>
      <c r="AV542" s="440"/>
      <c r="AW542" s="439"/>
      <c r="AX542" s="439"/>
      <c r="AY542" s="440"/>
      <c r="BE542" s="1737">
        <f>IF(CH543=1,0,1)</f>
        <v>0</v>
      </c>
      <c r="BF542" s="1739"/>
      <c r="BG542" s="1739"/>
      <c r="BH542" s="1738"/>
      <c r="BI542" s="1737"/>
      <c r="BJ542" s="1739"/>
      <c r="BK542" s="1739"/>
      <c r="BL542" s="1738"/>
      <c r="BM542" s="1737"/>
      <c r="BN542" s="1739"/>
      <c r="BO542" s="1739"/>
      <c r="BP542" s="1738"/>
      <c r="BQ542" s="1737"/>
      <c r="BR542" s="1739"/>
      <c r="BS542" s="1739"/>
      <c r="BT542" s="1738"/>
      <c r="BU542" s="1747"/>
      <c r="BV542" s="1748"/>
      <c r="BW542" s="1748"/>
      <c r="BX542" s="1749"/>
      <c r="BY542" s="1747"/>
      <c r="BZ542" s="1748"/>
      <c r="CA542" s="1748"/>
      <c r="CB542" s="1749"/>
      <c r="CC542"/>
      <c r="CG542"/>
      <c r="CH542" s="1506"/>
      <c r="CI542" s="1507"/>
      <c r="CJ542" s="1507"/>
      <c r="CK542" s="1508"/>
    </row>
    <row r="543" spans="1:89" s="4" customFormat="1" ht="12.75" customHeight="1">
      <c r="A543" s="20"/>
      <c r="B543" s="1855"/>
      <c r="C543" s="1855"/>
      <c r="D543" s="1855"/>
      <c r="E543" s="1855"/>
      <c r="F543" s="1855"/>
      <c r="G543" s="1855"/>
      <c r="H543" s="1855"/>
      <c r="I543" s="1855"/>
      <c r="J543" s="1855"/>
      <c r="K543" s="1855"/>
      <c r="L543" s="1855"/>
      <c r="M543" s="1855"/>
      <c r="N543" s="1855"/>
      <c r="O543" s="1855"/>
      <c r="P543" s="1855"/>
      <c r="Q543" s="1855"/>
      <c r="R543" s="1855"/>
      <c r="S543" s="1855"/>
      <c r="T543" s="1855"/>
      <c r="U543" s="1855"/>
      <c r="V543" s="1855"/>
      <c r="W543" s="1855"/>
      <c r="X543" s="1855"/>
      <c r="Y543" s="1855"/>
      <c r="Z543" s="1855"/>
      <c r="AA543" s="1855"/>
      <c r="AB543" s="1855"/>
      <c r="AC543" s="1855"/>
      <c r="AD543" s="1855"/>
      <c r="AE543" s="1855"/>
      <c r="AF543" s="1855"/>
      <c r="AG543" s="1855"/>
      <c r="AK543" s="163"/>
      <c r="AL543" s="163"/>
      <c r="AM543" s="163"/>
      <c r="AN543" s="281"/>
      <c r="AP543" s="441" t="s">
        <v>645</v>
      </c>
      <c r="AQ543" s="442"/>
      <c r="AR543" s="442"/>
      <c r="AS543" s="442"/>
      <c r="AT543" s="442"/>
      <c r="AU543" s="1769">
        <f>ROUNDUP(BK565*0.1,0)</f>
        <v>3</v>
      </c>
      <c r="AV543" s="1771"/>
      <c r="AW543" s="442"/>
      <c r="AX543" s="442">
        <f>AU543-AP545</f>
        <v>0</v>
      </c>
      <c r="AY543" s="443"/>
      <c r="BE543" s="1737"/>
      <c r="BF543" s="1739"/>
      <c r="BG543" s="1739"/>
      <c r="BH543" s="1738"/>
      <c r="BI543" s="1737">
        <f>IF(AND(CH544=1,BE542=0),0,1)</f>
        <v>0</v>
      </c>
      <c r="BJ543" s="1739"/>
      <c r="BK543" s="1739"/>
      <c r="BL543" s="1738"/>
      <c r="BM543" s="1737"/>
      <c r="BN543" s="1739"/>
      <c r="BO543" s="1739"/>
      <c r="BP543" s="1738"/>
      <c r="BQ543" s="1737"/>
      <c r="BR543" s="1739"/>
      <c r="BS543" s="1739"/>
      <c r="BT543" s="1738"/>
      <c r="BU543" s="1747"/>
      <c r="BV543" s="1748"/>
      <c r="BW543" s="1748"/>
      <c r="BX543" s="1749"/>
      <c r="BY543" s="1747"/>
      <c r="BZ543" s="1748"/>
      <c r="CA543" s="1748"/>
      <c r="CB543" s="1749"/>
      <c r="CC543"/>
      <c r="CG543"/>
      <c r="CH543" s="1747">
        <f>IF(OR(Y605=0,Y605&gt;=0.1),1,0)</f>
        <v>1</v>
      </c>
      <c r="CI543" s="1748"/>
      <c r="CJ543" s="1748"/>
      <c r="CK543" s="1749"/>
    </row>
    <row r="544" spans="1:89" s="4" customFormat="1" ht="12.75" customHeight="1">
      <c r="B544" s="1855"/>
      <c r="C544" s="1855"/>
      <c r="D544" s="1855"/>
      <c r="E544" s="1855"/>
      <c r="F544" s="1855"/>
      <c r="G544" s="1855"/>
      <c r="H544" s="1855"/>
      <c r="I544" s="1855"/>
      <c r="J544" s="1855"/>
      <c r="K544" s="1855"/>
      <c r="L544" s="1855"/>
      <c r="M544" s="1855"/>
      <c r="N544" s="1855"/>
      <c r="O544" s="1855"/>
      <c r="P544" s="1855"/>
      <c r="Q544" s="1855"/>
      <c r="R544" s="1855"/>
      <c r="S544" s="1855"/>
      <c r="T544" s="1855"/>
      <c r="U544" s="1855"/>
      <c r="V544" s="1855"/>
      <c r="W544" s="1855"/>
      <c r="X544" s="1855"/>
      <c r="Y544" s="1855"/>
      <c r="Z544" s="1855"/>
      <c r="AA544" s="1855"/>
      <c r="AB544" s="1855"/>
      <c r="AC544" s="1855"/>
      <c r="AD544" s="1855"/>
      <c r="AE544" s="1855"/>
      <c r="AF544" s="1855"/>
      <c r="AG544" s="1855"/>
      <c r="AH544" s="162"/>
      <c r="AI544" s="162"/>
      <c r="AJ544" s="162"/>
      <c r="AK544" s="163"/>
      <c r="AL544" s="163"/>
      <c r="AM544" s="163"/>
      <c r="AN544" s="281"/>
      <c r="AP544" s="441"/>
      <c r="AQ544" s="442"/>
      <c r="AR544" s="442"/>
      <c r="AS544" s="442"/>
      <c r="AT544" s="442"/>
      <c r="AU544" s="442"/>
      <c r="AV544" s="443"/>
      <c r="AW544" s="442"/>
      <c r="AX544" s="442"/>
      <c r="AY544" s="443"/>
      <c r="BE544" s="1737"/>
      <c r="BF544" s="1739"/>
      <c r="BG544" s="1739"/>
      <c r="BH544" s="1738"/>
      <c r="BI544" s="1737"/>
      <c r="BJ544" s="1739"/>
      <c r="BK544" s="1739"/>
      <c r="BL544" s="1738"/>
      <c r="BM544" s="1737">
        <f>IF(AND(AND(CH545=1,BI543=0,BE542=0)),0,1)</f>
        <v>0</v>
      </c>
      <c r="BN544" s="1739"/>
      <c r="BO544" s="1739"/>
      <c r="BP544" s="1738"/>
      <c r="BQ544" s="1737"/>
      <c r="BR544" s="1739"/>
      <c r="BS544" s="1739"/>
      <c r="BT544" s="1738"/>
      <c r="BU544" s="1747"/>
      <c r="BV544" s="1748"/>
      <c r="BW544" s="1748"/>
      <c r="BX544" s="1749"/>
      <c r="BY544" s="1747"/>
      <c r="BZ544" s="1748"/>
      <c r="CA544" s="1748"/>
      <c r="CB544" s="1749"/>
      <c r="CC544"/>
      <c r="CG544"/>
      <c r="CH544" s="1747">
        <f>IF(OR(Y606=0,Y606&gt;=0.1),1,0)</f>
        <v>1</v>
      </c>
      <c r="CI544" s="1748"/>
      <c r="CJ544" s="1748"/>
      <c r="CK544" s="1749"/>
    </row>
    <row r="545" spans="2:89" s="4" customFormat="1" ht="12.75" customHeight="1">
      <c r="B545" s="1855"/>
      <c r="C545" s="1855"/>
      <c r="D545" s="1855"/>
      <c r="E545" s="1855"/>
      <c r="F545" s="1855"/>
      <c r="G545" s="1855"/>
      <c r="H545" s="1855"/>
      <c r="I545" s="1855"/>
      <c r="J545" s="1855"/>
      <c r="K545" s="1855"/>
      <c r="L545" s="1855"/>
      <c r="M545" s="1855"/>
      <c r="N545" s="1855"/>
      <c r="O545" s="1855"/>
      <c r="P545" s="1855"/>
      <c r="Q545" s="1855"/>
      <c r="R545" s="1855"/>
      <c r="S545" s="1855"/>
      <c r="T545" s="1855"/>
      <c r="U545" s="1855"/>
      <c r="V545" s="1855"/>
      <c r="W545" s="1855"/>
      <c r="X545" s="1855"/>
      <c r="Y545" s="1855"/>
      <c r="Z545" s="1855"/>
      <c r="AA545" s="1855"/>
      <c r="AB545" s="1855"/>
      <c r="AC545" s="1855"/>
      <c r="AD545" s="1855"/>
      <c r="AE545" s="1855"/>
      <c r="AF545" s="1855"/>
      <c r="AG545" s="1855"/>
      <c r="AH545" s="162"/>
      <c r="AI545" s="162"/>
      <c r="AJ545" s="162"/>
      <c r="AK545" s="163"/>
      <c r="AL545" s="163"/>
      <c r="AM545" s="163"/>
      <c r="AN545" s="281"/>
      <c r="AP545" s="1827">
        <f>SUM(T605:X609)</f>
        <v>3</v>
      </c>
      <c r="AQ545" s="1828"/>
      <c r="AR545" s="1828"/>
      <c r="AS545" s="1828"/>
      <c r="AT545" s="1829"/>
      <c r="AU545" s="442"/>
      <c r="AV545" s="443"/>
      <c r="AW545" s="442"/>
      <c r="AX545" s="442"/>
      <c r="AY545" s="443"/>
      <c r="BE545" s="1737"/>
      <c r="BF545" s="1739"/>
      <c r="BG545" s="1739"/>
      <c r="BH545" s="1738"/>
      <c r="BI545" s="1737"/>
      <c r="BJ545" s="1739"/>
      <c r="BK545" s="1739"/>
      <c r="BL545" s="1738"/>
      <c r="BM545" s="1737"/>
      <c r="BN545" s="1739"/>
      <c r="BO545" s="1739"/>
      <c r="BP545" s="1738"/>
      <c r="BQ545" s="1737">
        <f>IF(AND(AND(AND(CH546=1,BM544=0,BI543=0,BE542=0))),0,1)</f>
        <v>1</v>
      </c>
      <c r="BR545" s="1739"/>
      <c r="BS545" s="1739"/>
      <c r="BT545" s="1738"/>
      <c r="BU545" s="1747"/>
      <c r="BV545" s="1748"/>
      <c r="BW545" s="1748"/>
      <c r="BX545" s="1749"/>
      <c r="BY545" s="1747"/>
      <c r="BZ545" s="1748"/>
      <c r="CA545" s="1748"/>
      <c r="CB545" s="1749"/>
      <c r="CC545"/>
      <c r="CG545"/>
      <c r="CH545" s="1747">
        <f>IF(OR(Y607=0,Y607&gt;=0.1),1,0)</f>
        <v>1</v>
      </c>
      <c r="CI545" s="1748"/>
      <c r="CJ545" s="1748"/>
      <c r="CK545" s="1749"/>
    </row>
    <row r="546" spans="2:89" s="4" customFormat="1" ht="12.75" customHeight="1">
      <c r="B546" s="1855"/>
      <c r="C546" s="1855"/>
      <c r="D546" s="1855"/>
      <c r="E546" s="1855"/>
      <c r="F546" s="1855"/>
      <c r="G546" s="1855"/>
      <c r="H546" s="1855"/>
      <c r="I546" s="1855"/>
      <c r="J546" s="1855"/>
      <c r="K546" s="1855"/>
      <c r="L546" s="1855"/>
      <c r="M546" s="1855"/>
      <c r="N546" s="1855"/>
      <c r="O546" s="1855"/>
      <c r="P546" s="1855"/>
      <c r="Q546" s="1855"/>
      <c r="R546" s="1855"/>
      <c r="S546" s="1855"/>
      <c r="T546" s="1855"/>
      <c r="U546" s="1855"/>
      <c r="V546" s="1855"/>
      <c r="W546" s="1855"/>
      <c r="X546" s="1855"/>
      <c r="Y546" s="1855"/>
      <c r="Z546" s="1855"/>
      <c r="AA546" s="1855"/>
      <c r="AB546" s="1855"/>
      <c r="AC546" s="1855"/>
      <c r="AD546" s="1855"/>
      <c r="AE546" s="1855"/>
      <c r="AF546" s="1855"/>
      <c r="AG546" s="1855"/>
      <c r="AH546" s="162"/>
      <c r="AI546" s="162"/>
      <c r="AJ546" s="162"/>
      <c r="AK546" s="163"/>
      <c r="AL546" s="163"/>
      <c r="AM546" s="163"/>
      <c r="AN546" s="281"/>
      <c r="AP546" s="444"/>
      <c r="AQ546" s="445"/>
      <c r="AR546" s="445"/>
      <c r="AS546" s="445"/>
      <c r="AT546" s="446" t="s">
        <v>640</v>
      </c>
      <c r="AU546" s="1769" t="str">
        <f>IF(AP545&gt;=AU543,"passed","failed")</f>
        <v>passed</v>
      </c>
      <c r="AV546" s="1770"/>
      <c r="AW546" s="1771"/>
      <c r="AX546" s="447"/>
      <c r="AY546" s="448"/>
      <c r="BE546" s="1737"/>
      <c r="BF546" s="1739"/>
      <c r="BG546" s="1739"/>
      <c r="BH546" s="1738"/>
      <c r="BI546" s="1737"/>
      <c r="BJ546" s="1739"/>
      <c r="BK546" s="1739"/>
      <c r="BL546" s="1738"/>
      <c r="BM546" s="1737"/>
      <c r="BN546" s="1739"/>
      <c r="BO546" s="1739"/>
      <c r="BP546" s="1738"/>
      <c r="BQ546" s="1737"/>
      <c r="BR546" s="1739"/>
      <c r="BS546" s="1739"/>
      <c r="BT546" s="1738"/>
      <c r="BU546" s="1737">
        <f>IF(AND(AND(AND(AND(CH547=1,BQ545=0,BM544=0,BI543=0,BE542=0)))),0,1)</f>
        <v>1</v>
      </c>
      <c r="BV546" s="1739"/>
      <c r="BW546" s="1739"/>
      <c r="BX546" s="1738"/>
      <c r="BY546" s="1747"/>
      <c r="BZ546" s="1748"/>
      <c r="CA546" s="1748"/>
      <c r="CB546" s="1749"/>
      <c r="CC546"/>
      <c r="CD546"/>
      <c r="CE546"/>
      <c r="CF546"/>
      <c r="CG546"/>
      <c r="CH546" s="1747">
        <f>IF(OR(Y608=0,Y608&gt;=0.1),1,0)</f>
        <v>0</v>
      </c>
      <c r="CI546" s="1748"/>
      <c r="CJ546" s="1748"/>
      <c r="CK546" s="1749"/>
    </row>
    <row r="547" spans="2:89" s="4" customFormat="1" ht="13.65" customHeight="1">
      <c r="B547" s="1855"/>
      <c r="C547" s="1855"/>
      <c r="D547" s="1855"/>
      <c r="E547" s="1855"/>
      <c r="F547" s="1855"/>
      <c r="G547" s="1855"/>
      <c r="H547" s="1855"/>
      <c r="I547" s="1855"/>
      <c r="J547" s="1855"/>
      <c r="K547" s="1855"/>
      <c r="L547" s="1855"/>
      <c r="M547" s="1855"/>
      <c r="N547" s="1855"/>
      <c r="O547" s="1855"/>
      <c r="P547" s="1855"/>
      <c r="Q547" s="1855"/>
      <c r="R547" s="1855"/>
      <c r="S547" s="1855"/>
      <c r="T547" s="1855"/>
      <c r="U547" s="1855"/>
      <c r="V547" s="1855"/>
      <c r="W547" s="1855"/>
      <c r="X547" s="1855"/>
      <c r="Y547" s="1855"/>
      <c r="Z547" s="1855"/>
      <c r="AA547" s="1855"/>
      <c r="AB547" s="1855"/>
      <c r="AC547" s="1855"/>
      <c r="AD547" s="1855"/>
      <c r="AE547" s="1855"/>
      <c r="AF547" s="1855"/>
      <c r="AG547" s="1855"/>
      <c r="AH547" s="162"/>
      <c r="AI547" s="162"/>
      <c r="AJ547" s="162"/>
      <c r="AK547" s="163"/>
      <c r="AL547" s="163"/>
      <c r="AM547" s="163"/>
      <c r="AN547" s="281"/>
      <c r="BE547" s="1737">
        <f>SUM(BE542:BH546)</f>
        <v>0</v>
      </c>
      <c r="BF547" s="1739"/>
      <c r="BG547" s="1739"/>
      <c r="BH547" s="1738"/>
      <c r="BI547" s="1737">
        <f>SUM(BI542:BL546)</f>
        <v>0</v>
      </c>
      <c r="BJ547" s="1739"/>
      <c r="BK547" s="1739"/>
      <c r="BL547" s="1738"/>
      <c r="BM547" s="1737">
        <f>SUM(BM542:BP546)</f>
        <v>0</v>
      </c>
      <c r="BN547" s="1739"/>
      <c r="BO547" s="1739"/>
      <c r="BP547" s="1738"/>
      <c r="BQ547" s="1737">
        <f>SUM(BQ542:BT546)</f>
        <v>1</v>
      </c>
      <c r="BR547" s="1739"/>
      <c r="BS547" s="1739"/>
      <c r="BT547" s="1738"/>
      <c r="BU547" s="1737">
        <f>SUM(BU542:BX546)</f>
        <v>1</v>
      </c>
      <c r="BV547" s="1739"/>
      <c r="BW547" s="1739"/>
      <c r="BX547" s="1738"/>
      <c r="BY547" s="1737">
        <f>SUM(BY542:CB546)</f>
        <v>0</v>
      </c>
      <c r="BZ547" s="1739"/>
      <c r="CA547" s="1739"/>
      <c r="CB547" s="1738"/>
      <c r="CC547" s="1747">
        <f>IF(AND(CH543=1,T605&gt;0),0,SUM(BE547:CB547))</f>
        <v>2</v>
      </c>
      <c r="CD547" s="1748"/>
      <c r="CE547" s="1748"/>
      <c r="CF547" s="1749"/>
      <c r="CG547"/>
      <c r="CH547" s="1747">
        <f>IF(OR(Y609=0,Y609&gt;=0.1),1,0)</f>
        <v>1</v>
      </c>
      <c r="CI547" s="1748"/>
      <c r="CJ547" s="1748"/>
      <c r="CK547" s="1749"/>
    </row>
    <row r="548" spans="2:89" s="4" customFormat="1" ht="12.45" customHeight="1">
      <c r="B548" s="1750" t="s">
        <v>1565</v>
      </c>
      <c r="C548" s="1750"/>
      <c r="D548" s="1750"/>
      <c r="E548" s="1750"/>
      <c r="F548" s="1750"/>
      <c r="G548" s="1750"/>
      <c r="H548" s="1750"/>
      <c r="I548" s="1750"/>
      <c r="J548" s="1750"/>
      <c r="K548" s="1750"/>
      <c r="L548" s="1750"/>
      <c r="M548" s="1750"/>
      <c r="N548" s="1750"/>
      <c r="O548" s="1750"/>
      <c r="P548" s="1750"/>
      <c r="Q548" s="1750"/>
      <c r="R548" s="1750"/>
      <c r="S548" s="1750"/>
      <c r="T548" s="1750"/>
      <c r="U548" s="1750"/>
      <c r="V548" s="1750"/>
      <c r="W548" s="1750"/>
      <c r="X548" s="1750"/>
      <c r="Y548" s="1750"/>
      <c r="Z548" s="1750"/>
      <c r="AA548" s="1750"/>
      <c r="AB548" s="1750"/>
      <c r="AC548" s="1750"/>
      <c r="AD548" s="1750"/>
      <c r="AE548" s="1750"/>
      <c r="AF548" s="1750"/>
      <c r="AG548" s="1750"/>
      <c r="AH548" s="162"/>
      <c r="AI548" s="162"/>
      <c r="AJ548" s="162"/>
      <c r="AK548" s="163"/>
      <c r="AL548" s="163"/>
      <c r="AM548" s="163"/>
      <c r="AN548" s="281"/>
    </row>
    <row r="549" spans="2:89" s="4" customFormat="1" ht="21" customHeight="1">
      <c r="B549" s="1750"/>
      <c r="C549" s="1750"/>
      <c r="D549" s="1750"/>
      <c r="E549" s="1750"/>
      <c r="F549" s="1750"/>
      <c r="G549" s="1750"/>
      <c r="H549" s="1750"/>
      <c r="I549" s="1750"/>
      <c r="J549" s="1750"/>
      <c r="K549" s="1750"/>
      <c r="L549" s="1750"/>
      <c r="M549" s="1750"/>
      <c r="N549" s="1750"/>
      <c r="O549" s="1750"/>
      <c r="P549" s="1750"/>
      <c r="Q549" s="1750"/>
      <c r="R549" s="1750"/>
      <c r="S549" s="1750"/>
      <c r="T549" s="1750"/>
      <c r="U549" s="1750"/>
      <c r="V549" s="1750"/>
      <c r="W549" s="1750"/>
      <c r="X549" s="1750"/>
      <c r="Y549" s="1750"/>
      <c r="Z549" s="1750"/>
      <c r="AA549" s="1750"/>
      <c r="AB549" s="1750"/>
      <c r="AC549" s="1750"/>
      <c r="AD549" s="1750"/>
      <c r="AE549" s="1750"/>
      <c r="AF549" s="1750"/>
      <c r="AG549" s="1750"/>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750" t="s">
        <v>1834</v>
      </c>
      <c r="C550" s="1750"/>
      <c r="D550" s="1750"/>
      <c r="E550" s="1750"/>
      <c r="F550" s="1750"/>
      <c r="G550" s="1750"/>
      <c r="H550" s="1750"/>
      <c r="I550" s="1750"/>
      <c r="J550" s="1750"/>
      <c r="K550" s="1750"/>
      <c r="L550" s="1750"/>
      <c r="M550" s="1750"/>
      <c r="N550" s="1750"/>
      <c r="O550" s="1750"/>
      <c r="P550" s="1750"/>
      <c r="Q550" s="1750"/>
      <c r="R550" s="1750"/>
      <c r="S550" s="1750"/>
      <c r="T550" s="1750"/>
      <c r="U550" s="1750"/>
      <c r="V550" s="1750"/>
      <c r="W550" s="1750"/>
      <c r="X550" s="1750"/>
      <c r="Y550" s="1750"/>
      <c r="Z550" s="1750"/>
      <c r="AA550" s="1750"/>
      <c r="AB550" s="1750"/>
      <c r="AC550" s="1750"/>
      <c r="AD550" s="1750"/>
      <c r="AE550" s="1750"/>
      <c r="AF550" s="1750"/>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750"/>
      <c r="C551" s="1750"/>
      <c r="D551" s="1750"/>
      <c r="E551" s="1750"/>
      <c r="F551" s="1750"/>
      <c r="G551" s="1750"/>
      <c r="H551" s="1750"/>
      <c r="I551" s="1750"/>
      <c r="J551" s="1750"/>
      <c r="K551" s="1750"/>
      <c r="L551" s="1750"/>
      <c r="M551" s="1750"/>
      <c r="N551" s="1750"/>
      <c r="O551" s="1750"/>
      <c r="P551" s="1750"/>
      <c r="Q551" s="1750"/>
      <c r="R551" s="1750"/>
      <c r="S551" s="1750"/>
      <c r="T551" s="1750"/>
      <c r="U551" s="1750"/>
      <c r="V551" s="1750"/>
      <c r="W551" s="1750"/>
      <c r="X551" s="1750"/>
      <c r="Y551" s="1750"/>
      <c r="Z551" s="1750"/>
      <c r="AA551" s="1750"/>
      <c r="AB551" s="1750"/>
      <c r="AC551" s="1750"/>
      <c r="AD551" s="1750"/>
      <c r="AE551" s="1750"/>
      <c r="AF551" s="1750"/>
      <c r="AG551" s="162"/>
      <c r="AH551" s="162"/>
      <c r="AI551" s="162"/>
      <c r="AJ551" s="162"/>
      <c r="AK551" s="163"/>
      <c r="AL551" s="163"/>
      <c r="AM551" s="163"/>
      <c r="AN551" s="281"/>
      <c r="AP551" s="150"/>
      <c r="AQ551" s="151"/>
      <c r="AR551" s="151"/>
      <c r="AS551" s="151"/>
      <c r="AT551" s="157" t="s">
        <v>640</v>
      </c>
      <c r="AU551" s="151"/>
      <c r="AV551" s="1737" t="str">
        <f>IF(BJ587&gt;0,"failed","passed")</f>
        <v>passed</v>
      </c>
      <c r="AW551" s="1739"/>
      <c r="AX551" s="1739"/>
      <c r="AY551" s="1738"/>
    </row>
    <row r="552" spans="2:89" s="4" customFormat="1" ht="12.45"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4" t="s">
        <v>1566</v>
      </c>
      <c r="R554" s="1684"/>
      <c r="S554" s="1684"/>
      <c r="T554" s="1684"/>
      <c r="U554" s="1684"/>
      <c r="V554" s="1684"/>
      <c r="W554" s="1684"/>
      <c r="X554" s="1684"/>
      <c r="Y554" s="1684"/>
      <c r="Z554" s="1684"/>
      <c r="AA554" s="1684"/>
      <c r="AB554" s="1684"/>
      <c r="AC554" s="1684"/>
      <c r="AD554" s="1684"/>
      <c r="AE554" s="1684"/>
      <c r="AF554" s="1684"/>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4"/>
      <c r="R555" s="1684"/>
      <c r="S555" s="1684"/>
      <c r="T555" s="1684"/>
      <c r="U555" s="1684"/>
      <c r="V555" s="1684"/>
      <c r="W555" s="1684"/>
      <c r="X555" s="1684"/>
      <c r="Y555" s="1684"/>
      <c r="Z555" s="1684"/>
      <c r="AA555" s="1684"/>
      <c r="AB555" s="1684"/>
      <c r="AC555" s="1684"/>
      <c r="AD555" s="1684"/>
      <c r="AE555" s="1684"/>
      <c r="AF555" s="1684"/>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0" t="s">
        <v>1833</v>
      </c>
      <c r="R556" s="1671"/>
      <c r="S556" s="1835" t="s">
        <v>217</v>
      </c>
      <c r="T556" s="1835"/>
      <c r="U556" s="1670">
        <v>0.5</v>
      </c>
      <c r="V556" s="1671"/>
      <c r="W556" s="1670">
        <v>0.45</v>
      </c>
      <c r="X556" s="1671"/>
      <c r="Y556" s="1670">
        <v>0.4</v>
      </c>
      <c r="Z556" s="1671"/>
      <c r="AA556" s="1670">
        <v>0.35</v>
      </c>
      <c r="AB556" s="1671"/>
      <c r="AC556" s="1767">
        <v>0.3</v>
      </c>
      <c r="AD556" s="1768"/>
      <c r="AE556" s="1670">
        <v>0.2</v>
      </c>
      <c r="AF556" s="1671"/>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39"/>
      <c r="P557" s="1640"/>
      <c r="Q557" s="1668"/>
      <c r="R557" s="1669"/>
      <c r="S557" s="1751"/>
      <c r="T557" s="1751"/>
      <c r="U557" s="1669"/>
      <c r="V557" s="1669"/>
      <c r="W557" s="1669"/>
      <c r="X557" s="1669"/>
      <c r="Y557" s="1669"/>
      <c r="Z557" s="1669"/>
      <c r="AA557" s="1740"/>
      <c r="AB557" s="1740"/>
      <c r="AC557" s="1669"/>
      <c r="AD557" s="1669"/>
      <c r="AE557" s="1765"/>
      <c r="AF557" s="1766"/>
      <c r="AN557" s="281"/>
      <c r="AP557" s="144" t="s">
        <v>747</v>
      </c>
      <c r="AQ557" s="9"/>
      <c r="AR557" s="9"/>
      <c r="AS557" s="9"/>
      <c r="AT557" s="1747" t="str">
        <f>IF(OR(AV551="passed",BD555="passed"),"passed","failed")</f>
        <v>passed</v>
      </c>
      <c r="AU557" s="1748"/>
      <c r="AV557" s="1748"/>
      <c r="AW557" s="1748"/>
      <c r="AX557" s="1749"/>
    </row>
    <row r="558" spans="2:89" s="4" customFormat="1" ht="12.75" customHeight="1">
      <c r="B558" s="63"/>
      <c r="I558" s="220"/>
      <c r="J558" s="162"/>
      <c r="N558" s="5"/>
      <c r="O558" s="1639"/>
      <c r="P558" s="1640"/>
      <c r="Q558" s="1641"/>
      <c r="R558" s="1642"/>
      <c r="S558" s="1642"/>
      <c r="T558" s="1642"/>
      <c r="U558" s="1642"/>
      <c r="V558" s="1642"/>
      <c r="W558" s="1642"/>
      <c r="X558" s="1642"/>
      <c r="Y558" s="1656"/>
      <c r="Z558" s="1656"/>
      <c r="AA558" s="1642"/>
      <c r="AB558" s="1642"/>
      <c r="AC558" s="1656"/>
      <c r="AD558" s="1656"/>
      <c r="AE558" s="1661"/>
      <c r="AF558" s="1662"/>
      <c r="AN558" s="281"/>
      <c r="AP558"/>
      <c r="AQ558"/>
      <c r="AR558"/>
      <c r="AS558"/>
      <c r="AT558"/>
      <c r="AU558"/>
      <c r="AV558"/>
      <c r="AW558"/>
      <c r="AX558"/>
      <c r="AY558"/>
    </row>
    <row r="559" spans="2:89" s="4" customFormat="1" ht="12.75" customHeight="1">
      <c r="B559" s="63"/>
      <c r="I559" s="220"/>
      <c r="J559" s="162"/>
      <c r="N559" s="5"/>
      <c r="O559" s="1639"/>
      <c r="P559" s="1640"/>
      <c r="Q559" s="1641"/>
      <c r="R559" s="1642"/>
      <c r="S559" s="1642"/>
      <c r="T559" s="1642"/>
      <c r="U559" s="1642"/>
      <c r="V559" s="1642"/>
      <c r="W559" s="1642"/>
      <c r="X559" s="1642"/>
      <c r="Y559" s="1642"/>
      <c r="Z559" s="1642"/>
      <c r="AA559" s="1656"/>
      <c r="AB559" s="1656"/>
      <c r="AC559" s="1642"/>
      <c r="AD559" s="1642"/>
      <c r="AE559" s="1775"/>
      <c r="AF559" s="1776"/>
      <c r="AN559" s="281"/>
      <c r="AP559" s="153" t="s">
        <v>641</v>
      </c>
      <c r="AQ559" s="154"/>
      <c r="AR559" s="154"/>
      <c r="AS559" s="154"/>
      <c r="AT559" s="154"/>
      <c r="AU559" s="154"/>
      <c r="AV559" s="155"/>
      <c r="AW559" s="1772" t="str">
        <f>IF(AND(AND(AND(AND(AS539="passed",AU546="passed",BD555="passed",SUM(T605:X609)&gt;1)))),"YES","NO")</f>
        <v>YES</v>
      </c>
      <c r="AX559" s="1773"/>
      <c r="AY559" s="1774"/>
      <c r="AZ559" s="40"/>
      <c r="BA559" s="40"/>
      <c r="BB559" s="40"/>
      <c r="BC559" s="40"/>
      <c r="BD559" s="40"/>
      <c r="BE559" s="21"/>
      <c r="BF559" s="21"/>
      <c r="BG559" s="21"/>
    </row>
    <row r="560" spans="2:89" s="4" customFormat="1" ht="12.75" customHeight="1">
      <c r="B560" s="63"/>
      <c r="I560" s="220"/>
      <c r="J560" s="162"/>
      <c r="N560" s="5"/>
      <c r="O560" s="1639"/>
      <c r="P560" s="1640"/>
      <c r="Q560" s="1641"/>
      <c r="R560" s="1642"/>
      <c r="S560" s="1642"/>
      <c r="T560" s="1642"/>
      <c r="U560" s="1642"/>
      <c r="V560" s="1642"/>
      <c r="W560" s="1642"/>
      <c r="X560" s="1642"/>
      <c r="Y560" s="1656"/>
      <c r="Z560" s="1656"/>
      <c r="AA560" s="1642"/>
      <c r="AB560" s="1642"/>
      <c r="AC560" s="1656"/>
      <c r="AD560" s="1656"/>
      <c r="AE560" s="1661"/>
      <c r="AF560" s="1662"/>
      <c r="AN560" s="281"/>
    </row>
    <row r="561" spans="1:96" s="4" customFormat="1" ht="12.75" customHeight="1">
      <c r="B561" s="63"/>
      <c r="I561" s="220"/>
      <c r="J561" s="162"/>
      <c r="N561" s="5"/>
      <c r="O561" s="1639"/>
      <c r="P561" s="1640"/>
      <c r="Q561" s="1641"/>
      <c r="R561" s="1642"/>
      <c r="S561" s="1642"/>
      <c r="T561" s="1642"/>
      <c r="U561" s="1642"/>
      <c r="V561" s="1642"/>
      <c r="W561" s="1656"/>
      <c r="X561" s="1656"/>
      <c r="Y561" s="1642"/>
      <c r="Z561" s="1642"/>
      <c r="AA561" s="1656"/>
      <c r="AB561" s="1656"/>
      <c r="AC561" s="1642"/>
      <c r="AD561" s="1642"/>
      <c r="AE561" s="1775"/>
      <c r="AF561" s="1776"/>
      <c r="AN561" s="281"/>
    </row>
    <row r="562" spans="1:96" s="4" customFormat="1" ht="12.75" customHeight="1">
      <c r="B562" s="63"/>
      <c r="I562" s="220"/>
      <c r="J562" s="162"/>
      <c r="N562" s="5"/>
      <c r="O562" s="1639"/>
      <c r="P562" s="1640"/>
      <c r="Q562" s="1641"/>
      <c r="R562" s="1642"/>
      <c r="S562" s="1642"/>
      <c r="T562" s="1642"/>
      <c r="U562" s="1642"/>
      <c r="V562" s="1642"/>
      <c r="W562" s="1642"/>
      <c r="X562" s="1642"/>
      <c r="Y562" s="1656"/>
      <c r="Z562" s="1656"/>
      <c r="AA562" s="1642"/>
      <c r="AB562" s="1642"/>
      <c r="AC562" s="1656"/>
      <c r="AD562" s="1656"/>
      <c r="AE562" s="1661"/>
      <c r="AF562" s="1662"/>
      <c r="AN562" s="281"/>
      <c r="AU562" s="21"/>
      <c r="AV562" s="21"/>
      <c r="AW562" s="8"/>
      <c r="AX562" s="9"/>
      <c r="AY562" s="9"/>
      <c r="AZ562" s="60" t="s">
        <v>1171</v>
      </c>
      <c r="BA562" s="1780" t="s">
        <v>748</v>
      </c>
      <c r="BB562" s="1781"/>
      <c r="BC562" s="1781"/>
      <c r="BD562" s="1781"/>
      <c r="BE562" s="1782"/>
      <c r="BF562" s="1744">
        <f>SUM(O605:S609)</f>
        <v>28</v>
      </c>
      <c r="BG562" s="1745"/>
      <c r="BH562" s="1745"/>
      <c r="BI562" s="1745"/>
      <c r="BJ562" s="1746"/>
      <c r="BK562" s="1643">
        <f>SUM(T605:X609)</f>
        <v>3</v>
      </c>
      <c r="BL562" s="1644"/>
      <c r="BM562" s="1644"/>
      <c r="BN562" s="1644"/>
      <c r="BO562" s="1645"/>
    </row>
    <row r="563" spans="1:96" s="4" customFormat="1" ht="12.75" customHeight="1">
      <c r="B563" s="35"/>
      <c r="I563" s="1123" t="s">
        <v>1564</v>
      </c>
      <c r="J563" s="1124"/>
      <c r="K563" s="1124"/>
      <c r="L563" s="1124"/>
      <c r="M563" s="1124"/>
      <c r="N563" s="1125"/>
      <c r="O563" s="1639">
        <v>0.5</v>
      </c>
      <c r="P563" s="1640"/>
      <c r="Q563" s="1652"/>
      <c r="R563" s="1653"/>
      <c r="S563" s="1642"/>
      <c r="T563" s="1642"/>
      <c r="U563" s="1683" t="s">
        <v>1568</v>
      </c>
      <c r="V563" s="1683"/>
      <c r="W563" s="1655">
        <v>37.5</v>
      </c>
      <c r="X563" s="1655"/>
      <c r="Y563" s="1653"/>
      <c r="Z563" s="1653"/>
      <c r="AA563" s="1655"/>
      <c r="AB563" s="1655"/>
      <c r="AC563" s="1653"/>
      <c r="AD563" s="1653"/>
      <c r="AE563" s="1777"/>
      <c r="AF563" s="1778"/>
      <c r="AN563" s="281"/>
      <c r="CL563"/>
      <c r="CM563"/>
    </row>
    <row r="564" spans="1:96" s="4" customFormat="1" ht="12.75" customHeight="1">
      <c r="B564" s="120"/>
      <c r="C564" s="61"/>
      <c r="I564" s="1123"/>
      <c r="J564" s="1124"/>
      <c r="K564" s="1124"/>
      <c r="L564" s="1124"/>
      <c r="M564" s="1124"/>
      <c r="N564" s="1125"/>
      <c r="O564" s="1639">
        <v>0.45</v>
      </c>
      <c r="P564" s="1640"/>
      <c r="Q564" s="1641"/>
      <c r="R564" s="1642"/>
      <c r="S564" s="1642"/>
      <c r="T564" s="1642"/>
      <c r="U564" s="1654" t="s">
        <v>139</v>
      </c>
      <c r="V564" s="1654"/>
      <c r="W564" s="1656">
        <v>33.799999999999997</v>
      </c>
      <c r="X564" s="1656"/>
      <c r="Y564" s="1656"/>
      <c r="Z564" s="1656"/>
      <c r="AA564" s="1642"/>
      <c r="AB564" s="1642"/>
      <c r="AC564" s="1656"/>
      <c r="AD564" s="1656"/>
      <c r="AE564" s="1661"/>
      <c r="AF564" s="1662"/>
      <c r="AN564" s="281"/>
      <c r="CL564"/>
      <c r="CM564"/>
    </row>
    <row r="565" spans="1:96" s="4" customFormat="1" ht="12.75" customHeight="1">
      <c r="B565" s="5"/>
      <c r="C565" s="5"/>
      <c r="D565" s="5"/>
      <c r="E565" s="5"/>
      <c r="I565" s="1123"/>
      <c r="J565" s="1124"/>
      <c r="K565" s="1124"/>
      <c r="L565" s="1124"/>
      <c r="M565" s="1124"/>
      <c r="N565" s="1125"/>
      <c r="O565" s="1639">
        <v>0.4</v>
      </c>
      <c r="P565" s="1640"/>
      <c r="Q565" s="1641"/>
      <c r="R565" s="1642"/>
      <c r="S565" s="1654" t="s">
        <v>1567</v>
      </c>
      <c r="T565" s="1654"/>
      <c r="U565" s="1656">
        <v>20</v>
      </c>
      <c r="V565" s="1656"/>
      <c r="W565" s="1656">
        <v>30</v>
      </c>
      <c r="X565" s="1656"/>
      <c r="Y565" s="1656"/>
      <c r="Z565" s="1656"/>
      <c r="AA565" s="1656"/>
      <c r="AB565" s="1656"/>
      <c r="AC565" s="1656"/>
      <c r="AD565" s="1656"/>
      <c r="AE565" s="1661"/>
      <c r="AF565" s="1662"/>
      <c r="AN565" s="281"/>
      <c r="AP565" s="1836" t="s">
        <v>218</v>
      </c>
      <c r="AQ565" s="1837"/>
      <c r="AR565" s="1837"/>
      <c r="AS565" s="1837"/>
      <c r="AT565" s="1837"/>
      <c r="AU565" s="1837"/>
      <c r="AV565" s="1837"/>
      <c r="AW565" s="1837"/>
      <c r="AX565" s="1837"/>
      <c r="AY565" s="1837"/>
      <c r="AZ565" s="1837"/>
      <c r="BA565" s="1837"/>
      <c r="BB565" s="1837"/>
      <c r="BC565" s="1837"/>
      <c r="BD565" s="1837"/>
      <c r="BE565" s="1837"/>
      <c r="BF565" s="1837"/>
      <c r="BG565" s="1837"/>
      <c r="BH565" s="1837"/>
      <c r="BI565" s="1837"/>
      <c r="BJ565" s="1838"/>
      <c r="BK565" s="1759">
        <f>BF562</f>
        <v>28</v>
      </c>
      <c r="BL565" s="1760"/>
      <c r="BM565" s="1760"/>
      <c r="BN565" s="1760"/>
      <c r="BO565" s="1761"/>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3"/>
      <c r="J566" s="1124"/>
      <c r="K566" s="1124"/>
      <c r="L566" s="1124"/>
      <c r="M566" s="1124"/>
      <c r="N566" s="1125"/>
      <c r="O566" s="1639">
        <v>0.35</v>
      </c>
      <c r="P566" s="1640"/>
      <c r="Q566" s="1641"/>
      <c r="R566" s="1642"/>
      <c r="S566" s="1654" t="s">
        <v>1835</v>
      </c>
      <c r="T566" s="1654"/>
      <c r="U566" s="1656">
        <v>17.5</v>
      </c>
      <c r="V566" s="1656"/>
      <c r="W566" s="1656">
        <v>26.3</v>
      </c>
      <c r="X566" s="1656"/>
      <c r="Y566" s="1656">
        <v>35</v>
      </c>
      <c r="Z566" s="1656"/>
      <c r="AA566" s="1656"/>
      <c r="AB566" s="1656"/>
      <c r="AC566" s="1656">
        <v>50</v>
      </c>
      <c r="AD566" s="1656"/>
      <c r="AE566" s="1661"/>
      <c r="AF566" s="1662"/>
      <c r="AN566" s="281"/>
      <c r="AP566" s="1839"/>
      <c r="AQ566" s="1840"/>
      <c r="AR566" s="1840"/>
      <c r="AS566" s="1840"/>
      <c r="AT566" s="1840"/>
      <c r="AU566" s="1840"/>
      <c r="AV566" s="1840"/>
      <c r="AW566" s="1840"/>
      <c r="AX566" s="1840"/>
      <c r="AY566" s="1840"/>
      <c r="AZ566" s="1840"/>
      <c r="BA566" s="1840"/>
      <c r="BB566" s="1840"/>
      <c r="BC566" s="1840"/>
      <c r="BD566" s="1840"/>
      <c r="BE566" s="1840"/>
      <c r="BF566" s="1840"/>
      <c r="BG566" s="1840"/>
      <c r="BH566" s="1840"/>
      <c r="BI566" s="1840"/>
      <c r="BJ566" s="1841"/>
      <c r="BK566" s="1762"/>
      <c r="BL566" s="1763"/>
      <c r="BM566" s="1763"/>
      <c r="BN566" s="1763"/>
      <c r="BO566" s="1764"/>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3"/>
      <c r="J567" s="1124"/>
      <c r="K567" s="1124"/>
      <c r="L567" s="1124"/>
      <c r="M567" s="1124"/>
      <c r="N567" s="1125"/>
      <c r="O567" s="1639">
        <v>0.3</v>
      </c>
      <c r="P567" s="1640"/>
      <c r="Q567" s="1641"/>
      <c r="R567" s="1642"/>
      <c r="S567" s="1654" t="s">
        <v>1836</v>
      </c>
      <c r="T567" s="1654"/>
      <c r="U567" s="1656">
        <v>15</v>
      </c>
      <c r="V567" s="1656"/>
      <c r="W567" s="1656">
        <v>22.5</v>
      </c>
      <c r="X567" s="1656"/>
      <c r="Y567" s="1656">
        <v>30</v>
      </c>
      <c r="Z567" s="1656"/>
      <c r="AA567" s="1656">
        <v>37.5</v>
      </c>
      <c r="AB567" s="1656"/>
      <c r="AC567" s="1656">
        <v>45</v>
      </c>
      <c r="AD567" s="1656"/>
      <c r="AE567" s="1661"/>
      <c r="AF567" s="1662"/>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5">
        <v>5</v>
      </c>
      <c r="BK567" s="1186"/>
      <c r="BL567" s="1186"/>
      <c r="BM567" s="1186"/>
      <c r="BN567" s="1187"/>
      <c r="BO567" s="1185">
        <v>4</v>
      </c>
      <c r="BP567" s="1186"/>
      <c r="BQ567" s="1186"/>
      <c r="BR567" s="1186"/>
      <c r="BS567" s="1187"/>
      <c r="BT567" s="1185">
        <v>3</v>
      </c>
      <c r="BU567" s="1186"/>
      <c r="BV567" s="1186"/>
      <c r="BW567" s="1186"/>
      <c r="BX567" s="1187"/>
      <c r="BY567" s="1185">
        <v>2</v>
      </c>
      <c r="BZ567" s="1186"/>
      <c r="CA567" s="1186"/>
      <c r="CB567" s="1186"/>
      <c r="CC567" s="1187"/>
      <c r="CD567" s="1185">
        <v>1</v>
      </c>
      <c r="CE567" s="1186"/>
      <c r="CF567" s="1186"/>
      <c r="CG567" s="1186"/>
      <c r="CH567" s="1187"/>
      <c r="CI567" s="1185">
        <v>0</v>
      </c>
      <c r="CJ567" s="1186"/>
      <c r="CK567" s="1186"/>
      <c r="CL567" s="1186"/>
      <c r="CM567" s="1187"/>
      <c r="CN567" s="21"/>
      <c r="CO567" s="21"/>
      <c r="CP567" s="21"/>
      <c r="CQ567" s="21"/>
      <c r="CR567" s="21"/>
    </row>
    <row r="568" spans="1:96" s="4" customFormat="1" ht="12.75" customHeight="1">
      <c r="B568" s="5"/>
      <c r="C568" s="5"/>
      <c r="D568" s="5"/>
      <c r="E568" s="5"/>
      <c r="I568" s="1123"/>
      <c r="J568" s="1124"/>
      <c r="K568" s="1124"/>
      <c r="L568" s="1124"/>
      <c r="M568" s="1124"/>
      <c r="N568" s="1125"/>
      <c r="O568" s="1639">
        <v>0.25</v>
      </c>
      <c r="P568" s="1640"/>
      <c r="Q568" s="1641"/>
      <c r="R568" s="1642"/>
      <c r="S568" s="1654" t="s">
        <v>1837</v>
      </c>
      <c r="T568" s="1654"/>
      <c r="U568" s="1656">
        <v>12.5</v>
      </c>
      <c r="V568" s="1656"/>
      <c r="W568" s="1656">
        <v>18.8</v>
      </c>
      <c r="X568" s="1656"/>
      <c r="Y568" s="1656">
        <v>25</v>
      </c>
      <c r="Z568" s="1656"/>
      <c r="AA568" s="1656">
        <v>31.3</v>
      </c>
      <c r="AB568" s="1656"/>
      <c r="AC568" s="1656">
        <v>37.5</v>
      </c>
      <c r="AD568" s="1656"/>
      <c r="AE568" s="1661">
        <v>50</v>
      </c>
      <c r="AF568" s="1662"/>
      <c r="AN568" s="281"/>
      <c r="AP568" s="1741" t="str">
        <f t="shared" ref="AP568:AP574" si="0">J604</f>
        <v>5 BR</v>
      </c>
      <c r="AQ568" s="1742"/>
      <c r="AR568" s="1742"/>
      <c r="AS568" s="1742"/>
      <c r="AT568" s="1743"/>
      <c r="AU568" s="1312">
        <f t="shared" ref="AU568:AU573" si="1">O604</f>
        <v>0</v>
      </c>
      <c r="AV568" s="1313"/>
      <c r="AW568" s="1313"/>
      <c r="AX568" s="1313"/>
      <c r="AY568" s="1314"/>
      <c r="AZ568" s="1312">
        <f t="shared" ref="AZ568:AZ573" si="2">T604</f>
        <v>0</v>
      </c>
      <c r="BA568" s="1313"/>
      <c r="BB568" s="1313"/>
      <c r="BC568" s="1313"/>
      <c r="BD568" s="1314"/>
      <c r="BE568" s="1369">
        <f t="shared" ref="BE568:BE573" si="3">Y604</f>
        <v>0</v>
      </c>
      <c r="BF568" s="1370"/>
      <c r="BG568" s="1370"/>
      <c r="BH568" s="1370"/>
      <c r="BI568" s="1371"/>
      <c r="BJ568" s="1185">
        <f>IF(OR(AP578=0,BE568&gt;=0.1),0,1)</f>
        <v>0</v>
      </c>
      <c r="BK568" s="1186"/>
      <c r="BL568" s="1186"/>
      <c r="BM568" s="1186"/>
      <c r="BN568" s="1187"/>
      <c r="BO568" s="1185"/>
      <c r="BP568" s="1186"/>
      <c r="BQ568" s="1186"/>
      <c r="BR568" s="1186"/>
      <c r="BS568" s="1187"/>
      <c r="BT568" s="1185"/>
      <c r="BU568" s="1186"/>
      <c r="BV568" s="1186"/>
      <c r="BW568" s="1186"/>
      <c r="BX568" s="1187"/>
      <c r="BY568" s="1185"/>
      <c r="BZ568" s="1186"/>
      <c r="CA568" s="1186"/>
      <c r="CB568" s="1186"/>
      <c r="CC568" s="1187"/>
      <c r="CD568" s="1185"/>
      <c r="CE568" s="1186"/>
      <c r="CF568" s="1186"/>
      <c r="CG568" s="1186"/>
      <c r="CH568" s="1187"/>
      <c r="CI568" s="1185"/>
      <c r="CJ568" s="1186"/>
      <c r="CK568" s="1186"/>
      <c r="CL568" s="1186"/>
      <c r="CM568" s="1187"/>
      <c r="CN568" s="21"/>
      <c r="CO568" s="21"/>
      <c r="CP568" s="21"/>
      <c r="CQ568" s="21"/>
      <c r="CR568" s="21"/>
    </row>
    <row r="569" spans="1:96" s="4" customFormat="1" ht="12.75" customHeight="1">
      <c r="A569" s="120"/>
      <c r="B569" s="5"/>
      <c r="C569" s="5"/>
      <c r="D569" s="5"/>
      <c r="E569" s="5"/>
      <c r="I569" s="1123"/>
      <c r="J569" s="1124"/>
      <c r="K569" s="1124"/>
      <c r="L569" s="1124"/>
      <c r="M569" s="1124"/>
      <c r="N569" s="1125"/>
      <c r="O569" s="1639">
        <v>0.2</v>
      </c>
      <c r="P569" s="1640"/>
      <c r="Q569" s="1641"/>
      <c r="R569" s="1642"/>
      <c r="S569" s="1667" t="s">
        <v>1840</v>
      </c>
      <c r="T569" s="1667"/>
      <c r="U569" s="1656">
        <v>10</v>
      </c>
      <c r="V569" s="1656"/>
      <c r="W569" s="1656">
        <v>15</v>
      </c>
      <c r="X569" s="1656"/>
      <c r="Y569" s="1656">
        <v>20</v>
      </c>
      <c r="Z569" s="1656"/>
      <c r="AA569" s="1656">
        <v>25</v>
      </c>
      <c r="AB569" s="1656"/>
      <c r="AC569" s="1656">
        <v>30</v>
      </c>
      <c r="AD569" s="1656"/>
      <c r="AE569" s="1661">
        <v>40</v>
      </c>
      <c r="AF569" s="1662"/>
      <c r="AN569" s="281"/>
      <c r="AP569" s="1741" t="str">
        <f t="shared" si="0"/>
        <v>4 BR</v>
      </c>
      <c r="AQ569" s="1742"/>
      <c r="AR569" s="1742"/>
      <c r="AS569" s="1742"/>
      <c r="AT569" s="1743"/>
      <c r="AU569" s="1312">
        <f t="shared" si="1"/>
        <v>0</v>
      </c>
      <c r="AV569" s="1313"/>
      <c r="AW569" s="1313"/>
      <c r="AX569" s="1313"/>
      <c r="AY569" s="1314"/>
      <c r="AZ569" s="1312">
        <f t="shared" si="2"/>
        <v>0</v>
      </c>
      <c r="BA569" s="1313"/>
      <c r="BB569" s="1313"/>
      <c r="BC569" s="1313"/>
      <c r="BD569" s="1314"/>
      <c r="BE569" s="1369">
        <f t="shared" si="3"/>
        <v>0</v>
      </c>
      <c r="BF569" s="1370"/>
      <c r="BG569" s="1370"/>
      <c r="BH569" s="1370"/>
      <c r="BI569" s="1371"/>
      <c r="BJ569" s="1185"/>
      <c r="BK569" s="1186"/>
      <c r="BL569" s="1186"/>
      <c r="BM569" s="1186"/>
      <c r="BN569" s="1187"/>
      <c r="BO569" s="1185">
        <f>IF(AND(AND(AZ568=0,BJ568=0,AP579=1)),1,0)</f>
        <v>0</v>
      </c>
      <c r="BP569" s="1186"/>
      <c r="BQ569" s="1186"/>
      <c r="BR569" s="1186"/>
      <c r="BS569" s="1187"/>
      <c r="BT569" s="1185"/>
      <c r="BU569" s="1186"/>
      <c r="BV569" s="1186"/>
      <c r="BW569" s="1186"/>
      <c r="BX569" s="1187"/>
      <c r="BY569" s="1185"/>
      <c r="BZ569" s="1186"/>
      <c r="CA569" s="1186"/>
      <c r="CB569" s="1186"/>
      <c r="CC569" s="1187"/>
      <c r="CD569" s="1185"/>
      <c r="CE569" s="1186"/>
      <c r="CF569" s="1186"/>
      <c r="CG569" s="1186"/>
      <c r="CH569" s="1187"/>
      <c r="CI569" s="1185"/>
      <c r="CJ569" s="1186"/>
      <c r="CK569" s="1186"/>
      <c r="CL569" s="1186"/>
      <c r="CM569" s="1187"/>
      <c r="CN569" s="21"/>
      <c r="CO569" s="21"/>
      <c r="CP569" s="21"/>
      <c r="CQ569" s="21"/>
      <c r="CR569" s="21"/>
    </row>
    <row r="570" spans="1:96" s="4" customFormat="1" ht="12.75" customHeight="1">
      <c r="A570" s="120"/>
      <c r="B570" s="5"/>
      <c r="C570" s="5"/>
      <c r="D570" s="5"/>
      <c r="E570" s="5"/>
      <c r="I570" s="1123"/>
      <c r="J570" s="1124"/>
      <c r="K570" s="1124"/>
      <c r="L570" s="1124"/>
      <c r="M570" s="1124"/>
      <c r="N570" s="1125"/>
      <c r="O570" s="1639">
        <v>0.15</v>
      </c>
      <c r="P570" s="1640"/>
      <c r="Q570" s="1641"/>
      <c r="R570" s="1642"/>
      <c r="S570" s="1654" t="s">
        <v>1838</v>
      </c>
      <c r="T570" s="1654"/>
      <c r="U570" s="1656">
        <v>7.5</v>
      </c>
      <c r="V570" s="1656"/>
      <c r="W570" s="1656">
        <v>11.3</v>
      </c>
      <c r="X570" s="1656"/>
      <c r="Y570" s="1656">
        <v>15</v>
      </c>
      <c r="Z570" s="1656"/>
      <c r="AA570" s="1656">
        <v>18.8</v>
      </c>
      <c r="AB570" s="1656"/>
      <c r="AC570" s="1656">
        <v>22.5</v>
      </c>
      <c r="AD570" s="1656"/>
      <c r="AE570" s="1661">
        <v>30</v>
      </c>
      <c r="AF570" s="1662"/>
      <c r="AN570" s="281"/>
      <c r="AP570" s="1741" t="str">
        <f t="shared" si="0"/>
        <v>3 BR</v>
      </c>
      <c r="AQ570" s="1742"/>
      <c r="AR570" s="1742"/>
      <c r="AS570" s="1742"/>
      <c r="AT570" s="1743"/>
      <c r="AU570" s="1312">
        <f t="shared" si="1"/>
        <v>9</v>
      </c>
      <c r="AV570" s="1313"/>
      <c r="AW570" s="1313"/>
      <c r="AX570" s="1313"/>
      <c r="AY570" s="1314"/>
      <c r="AZ570" s="1312">
        <f t="shared" si="2"/>
        <v>1</v>
      </c>
      <c r="BA570" s="1313"/>
      <c r="BB570" s="1313"/>
      <c r="BC570" s="1313"/>
      <c r="BD570" s="1314"/>
      <c r="BE570" s="1369">
        <f t="shared" si="3"/>
        <v>0.1111111111111111</v>
      </c>
      <c r="BF570" s="1370"/>
      <c r="BG570" s="1370"/>
      <c r="BH570" s="1370"/>
      <c r="BI570" s="1371"/>
      <c r="BJ570" s="1185"/>
      <c r="BK570" s="1186"/>
      <c r="BL570" s="1186"/>
      <c r="BM570" s="1186"/>
      <c r="BN570" s="1187"/>
      <c r="BO570" s="1185"/>
      <c r="BP570" s="1186"/>
      <c r="BQ570" s="1186"/>
      <c r="BR570" s="1186"/>
      <c r="BS570" s="1187"/>
      <c r="BT570" s="1185">
        <f>IF(AND(AND(AZ568+AZ569=0,BJ568+BO569=0,AP580=1)),1,0)</f>
        <v>0</v>
      </c>
      <c r="BU570" s="1186"/>
      <c r="BV570" s="1186"/>
      <c r="BW570" s="1186"/>
      <c r="BX570" s="1187"/>
      <c r="BY570" s="1185"/>
      <c r="BZ570" s="1186"/>
      <c r="CA570" s="1186"/>
      <c r="CB570" s="1186"/>
      <c r="CC570" s="1187"/>
      <c r="CD570" s="1185"/>
      <c r="CE570" s="1186"/>
      <c r="CF570" s="1186"/>
      <c r="CG570" s="1186"/>
      <c r="CH570" s="1187"/>
      <c r="CI570" s="1185"/>
      <c r="CJ570" s="1186"/>
      <c r="CK570" s="1186"/>
      <c r="CL570" s="1186"/>
      <c r="CM570" s="1187"/>
      <c r="CN570" s="21"/>
      <c r="CO570" s="21"/>
      <c r="CP570" s="21"/>
      <c r="CQ570" s="21"/>
      <c r="CR570" s="21"/>
    </row>
    <row r="571" spans="1:96" s="4" customFormat="1" ht="12.75" customHeight="1" thickBot="1">
      <c r="B571" s="5"/>
      <c r="C571" s="5"/>
      <c r="D571" s="5"/>
      <c r="E571" s="5"/>
      <c r="I571" s="1126"/>
      <c r="J571" s="1127"/>
      <c r="K571" s="1127"/>
      <c r="L571" s="1127"/>
      <c r="M571" s="1127"/>
      <c r="N571" s="1128"/>
      <c r="O571" s="1639">
        <v>0.1</v>
      </c>
      <c r="P571" s="1640"/>
      <c r="Q571" s="1665"/>
      <c r="R571" s="1666"/>
      <c r="S571" s="1654" t="s">
        <v>1839</v>
      </c>
      <c r="T571" s="1654"/>
      <c r="U571" s="1674">
        <v>5</v>
      </c>
      <c r="V571" s="1674"/>
      <c r="W571" s="1674">
        <v>7.5</v>
      </c>
      <c r="X571" s="1674"/>
      <c r="Y571" s="1674">
        <v>10</v>
      </c>
      <c r="Z571" s="1674"/>
      <c r="AA571" s="1674">
        <v>12.5</v>
      </c>
      <c r="AB571" s="1674"/>
      <c r="AC571" s="1674">
        <v>15</v>
      </c>
      <c r="AD571" s="1674"/>
      <c r="AE571" s="1867">
        <v>20</v>
      </c>
      <c r="AF571" s="1868"/>
      <c r="AK571" s="167"/>
      <c r="AL571" s="167"/>
      <c r="AM571" s="5"/>
      <c r="AN571" s="281"/>
      <c r="AP571" s="1741" t="str">
        <f t="shared" si="0"/>
        <v>2 BR</v>
      </c>
      <c r="AQ571" s="1742"/>
      <c r="AR571" s="1742"/>
      <c r="AS571" s="1742"/>
      <c r="AT571" s="1743"/>
      <c r="AU571" s="1312">
        <f t="shared" si="1"/>
        <v>7</v>
      </c>
      <c r="AV571" s="1313"/>
      <c r="AW571" s="1313"/>
      <c r="AX571" s="1313"/>
      <c r="AY571" s="1314"/>
      <c r="AZ571" s="1312">
        <f t="shared" si="2"/>
        <v>1</v>
      </c>
      <c r="BA571" s="1313"/>
      <c r="BB571" s="1313"/>
      <c r="BC571" s="1313"/>
      <c r="BD571" s="1314"/>
      <c r="BE571" s="1369">
        <f t="shared" si="3"/>
        <v>0.14285714285714285</v>
      </c>
      <c r="BF571" s="1370"/>
      <c r="BG571" s="1370"/>
      <c r="BH571" s="1370"/>
      <c r="BI571" s="1371"/>
      <c r="BJ571" s="1185"/>
      <c r="BK571" s="1186"/>
      <c r="BL571" s="1186"/>
      <c r="BM571" s="1186"/>
      <c r="BN571" s="1187"/>
      <c r="BO571" s="1185"/>
      <c r="BP571" s="1186"/>
      <c r="BQ571" s="1186"/>
      <c r="BR571" s="1186"/>
      <c r="BS571" s="1187"/>
      <c r="BT571" s="1185"/>
      <c r="BU571" s="1186"/>
      <c r="BV571" s="1186"/>
      <c r="BW571" s="1186"/>
      <c r="BX571" s="1187"/>
      <c r="BY571" s="1185">
        <f>IF(AND(AND(AZ568+AZ569+AZ570=0,BO569+BT570+BJ568=0,AP581=1)),1,0)</f>
        <v>0</v>
      </c>
      <c r="BZ571" s="1186"/>
      <c r="CA571" s="1186"/>
      <c r="CB571" s="1186"/>
      <c r="CC571" s="1187"/>
      <c r="CD571" s="1185"/>
      <c r="CE571" s="1186"/>
      <c r="CF571" s="1186"/>
      <c r="CG571" s="1186"/>
      <c r="CH571" s="1187"/>
      <c r="CI571" s="1185"/>
      <c r="CJ571" s="1186"/>
      <c r="CK571" s="1186"/>
      <c r="CL571" s="1186"/>
      <c r="CM571" s="1187"/>
      <c r="CN571" s="21"/>
      <c r="CO571" s="21"/>
      <c r="CP571" s="21"/>
      <c r="CQ571" s="21"/>
      <c r="CR571" s="21"/>
    </row>
    <row r="572" spans="1:96" s="4" customFormat="1" ht="12.75" customHeight="1">
      <c r="B572" s="5"/>
      <c r="C572" s="5"/>
      <c r="D572" s="5"/>
      <c r="E572" s="1168" t="s">
        <v>981</v>
      </c>
      <c r="F572" s="1524"/>
      <c r="G572" s="1524"/>
      <c r="H572" s="1524"/>
      <c r="I572" s="1524"/>
      <c r="J572" s="1524"/>
      <c r="K572" s="1524"/>
      <c r="L572" s="1524"/>
      <c r="M572" s="1524"/>
      <c r="N572" s="1524"/>
      <c r="O572" s="1524"/>
      <c r="P572" s="1524"/>
      <c r="Q572" s="1524"/>
      <c r="R572" s="1524"/>
      <c r="S572" s="1524"/>
      <c r="T572" s="1524"/>
      <c r="U572" s="1524"/>
      <c r="V572" s="1524"/>
      <c r="W572" s="1524"/>
      <c r="X572" s="1524"/>
      <c r="Y572" s="1524"/>
      <c r="Z572" s="1524"/>
      <c r="AA572" s="1524"/>
      <c r="AB572" s="1524"/>
      <c r="AC572" s="1524"/>
      <c r="AD572" s="1524"/>
      <c r="AE572" s="1524"/>
      <c r="AF572" s="1524"/>
      <c r="AG572" s="1524"/>
      <c r="AH572" s="1525"/>
      <c r="AK572" s="167"/>
      <c r="AL572" s="167"/>
      <c r="AM572" s="5"/>
      <c r="AN572" s="281"/>
      <c r="AP572" s="1741" t="str">
        <f t="shared" si="0"/>
        <v>1 BR</v>
      </c>
      <c r="AQ572" s="1742"/>
      <c r="AR572" s="1742"/>
      <c r="AS572" s="1742"/>
      <c r="AT572" s="1743"/>
      <c r="AU572" s="1312">
        <f t="shared" si="1"/>
        <v>12</v>
      </c>
      <c r="AV572" s="1313"/>
      <c r="AW572" s="1313"/>
      <c r="AX572" s="1313"/>
      <c r="AY572" s="1314"/>
      <c r="AZ572" s="1312">
        <f t="shared" si="2"/>
        <v>1</v>
      </c>
      <c r="BA572" s="1313"/>
      <c r="BB572" s="1313"/>
      <c r="BC572" s="1313"/>
      <c r="BD572" s="1314"/>
      <c r="BE572" s="1369">
        <f t="shared" si="3"/>
        <v>8.3333333333333329E-2</v>
      </c>
      <c r="BF572" s="1370"/>
      <c r="BG572" s="1370"/>
      <c r="BH572" s="1370"/>
      <c r="BI572" s="1371"/>
      <c r="BJ572" s="1185"/>
      <c r="BK572" s="1186"/>
      <c r="BL572" s="1186"/>
      <c r="BM572" s="1186"/>
      <c r="BN572" s="1187"/>
      <c r="BO572" s="1185"/>
      <c r="BP572" s="1186"/>
      <c r="BQ572" s="1186"/>
      <c r="BR572" s="1186"/>
      <c r="BS572" s="1187"/>
      <c r="BT572" s="1185"/>
      <c r="BU572" s="1186"/>
      <c r="BV572" s="1186"/>
      <c r="BW572" s="1186"/>
      <c r="BX572" s="1187"/>
      <c r="BY572" s="1185"/>
      <c r="BZ572" s="1186"/>
      <c r="CA572" s="1186"/>
      <c r="CB572" s="1186"/>
      <c r="CC572" s="1187"/>
      <c r="CD572" s="1185">
        <f>IF(AND(AND(BE569+BE570+BE571+BE568=0,BT570+BY571+BO569+BJ568=0,AP582=1)),1,0)</f>
        <v>0</v>
      </c>
      <c r="CE572" s="1186"/>
      <c r="CF572" s="1186"/>
      <c r="CG572" s="1186"/>
      <c r="CH572" s="1187"/>
      <c r="CI572" s="1185"/>
      <c r="CJ572" s="1186"/>
      <c r="CK572" s="1186"/>
      <c r="CL572" s="1186"/>
      <c r="CM572" s="1187"/>
      <c r="CN572" s="21"/>
      <c r="CO572" s="21"/>
      <c r="CP572" s="21"/>
      <c r="CQ572" s="21"/>
      <c r="CR572" s="21"/>
    </row>
    <row r="573" spans="1:96" s="4" customFormat="1" ht="12.75" customHeight="1">
      <c r="E573" s="1830"/>
      <c r="F573" s="1529"/>
      <c r="G573" s="1529"/>
      <c r="H573" s="1529"/>
      <c r="I573" s="1529"/>
      <c r="J573" s="1529"/>
      <c r="K573" s="1529"/>
      <c r="L573" s="1529"/>
      <c r="M573" s="1529"/>
      <c r="N573" s="1529"/>
      <c r="O573" s="1529"/>
      <c r="P573" s="1529"/>
      <c r="Q573" s="1529"/>
      <c r="R573" s="1529"/>
      <c r="S573" s="1529"/>
      <c r="T573" s="1529"/>
      <c r="U573" s="1529"/>
      <c r="V573" s="1529"/>
      <c r="W573" s="1529"/>
      <c r="X573" s="1529"/>
      <c r="Y573" s="1529"/>
      <c r="Z573" s="1529"/>
      <c r="AA573" s="1529"/>
      <c r="AB573" s="1529"/>
      <c r="AC573" s="1529"/>
      <c r="AD573" s="1529"/>
      <c r="AE573" s="1529"/>
      <c r="AF573" s="1529"/>
      <c r="AG573" s="1529"/>
      <c r="AH573" s="1831"/>
      <c r="AN573" s="281"/>
      <c r="AP573" s="1741" t="str">
        <f t="shared" si="0"/>
        <v>SRO</v>
      </c>
      <c r="AQ573" s="1742"/>
      <c r="AR573" s="1742"/>
      <c r="AS573" s="1742"/>
      <c r="AT573" s="1743"/>
      <c r="AU573" s="1312">
        <f t="shared" si="1"/>
        <v>0</v>
      </c>
      <c r="AV573" s="1313"/>
      <c r="AW573" s="1313"/>
      <c r="AX573" s="1313"/>
      <c r="AY573" s="1314"/>
      <c r="AZ573" s="1312">
        <f t="shared" si="2"/>
        <v>0</v>
      </c>
      <c r="BA573" s="1313"/>
      <c r="BB573" s="1313"/>
      <c r="BC573" s="1313"/>
      <c r="BD573" s="1314"/>
      <c r="BE573" s="1369">
        <f t="shared" si="3"/>
        <v>0</v>
      </c>
      <c r="BF573" s="1370"/>
      <c r="BG573" s="1370"/>
      <c r="BH573" s="1370"/>
      <c r="BI573" s="1371"/>
      <c r="BJ573" s="1185"/>
      <c r="BK573" s="1186"/>
      <c r="BL573" s="1186"/>
      <c r="BM573" s="1186"/>
      <c r="BN573" s="1187"/>
      <c r="BO573" s="1185"/>
      <c r="BP573" s="1186"/>
      <c r="BQ573" s="1186"/>
      <c r="BR573" s="1186"/>
      <c r="BS573" s="1187"/>
      <c r="BT573" s="1185"/>
      <c r="BU573" s="1186"/>
      <c r="BV573" s="1186"/>
      <c r="BW573" s="1186"/>
      <c r="BX573" s="1187"/>
      <c r="BY573" s="1185"/>
      <c r="BZ573" s="1186"/>
      <c r="CA573" s="1186"/>
      <c r="CB573" s="1186"/>
      <c r="CC573" s="1187"/>
      <c r="CD573" s="1185"/>
      <c r="CE573" s="1186"/>
      <c r="CF573" s="1186"/>
      <c r="CG573" s="1186"/>
      <c r="CH573" s="1187"/>
      <c r="CI573" s="1185">
        <f>IF(AND(AND(AZ570+AZ571+AZ572+AZ569+AZ568=0,BY571+CD572+BT570+BO569+BJ568=0,AP583=1)),1,0)</f>
        <v>0</v>
      </c>
      <c r="CJ573" s="1186"/>
      <c r="CK573" s="1186"/>
      <c r="CL573" s="1186"/>
      <c r="CM573" s="1187"/>
      <c r="CN573" s="21"/>
      <c r="CO573" s="21"/>
      <c r="CP573" s="21"/>
      <c r="CQ573" s="21"/>
      <c r="CR573" s="21"/>
    </row>
    <row r="574" spans="1:96" s="4" customFormat="1" ht="12.75" customHeight="1">
      <c r="E574" s="1861" t="s">
        <v>1574</v>
      </c>
      <c r="F574" s="1862"/>
      <c r="G574" s="1862"/>
      <c r="H574" s="1862"/>
      <c r="I574" s="1862"/>
      <c r="J574" s="1863"/>
      <c r="K574" s="1861" t="s">
        <v>1831</v>
      </c>
      <c r="L574" s="1862"/>
      <c r="M574" s="1862"/>
      <c r="N574" s="1862"/>
      <c r="O574" s="1862"/>
      <c r="P574" s="1863"/>
      <c r="Q574" s="1120" t="s">
        <v>1570</v>
      </c>
      <c r="R574" s="1121"/>
      <c r="S574" s="1121"/>
      <c r="T574" s="1121"/>
      <c r="U574" s="1121"/>
      <c r="V574" s="1122"/>
      <c r="W574" s="1120" t="str">
        <f>I563</f>
        <v>Percent of Low-Income Units (exclusive of manager’s units)</v>
      </c>
      <c r="X574" s="1121"/>
      <c r="Y574" s="1121"/>
      <c r="Z574" s="1121"/>
      <c r="AA574" s="1121"/>
      <c r="AB574" s="1122"/>
      <c r="AC574" s="1120" t="s">
        <v>1573</v>
      </c>
      <c r="AD574" s="1121"/>
      <c r="AE574" s="1121"/>
      <c r="AF574" s="1121"/>
      <c r="AG574" s="1121"/>
      <c r="AH574" s="1122"/>
      <c r="AN574" s="281"/>
      <c r="AP574" s="1741" t="str">
        <f t="shared" si="0"/>
        <v>Total:</v>
      </c>
      <c r="AQ574" s="1742"/>
      <c r="AR574" s="1742"/>
      <c r="AS574" s="1742"/>
      <c r="AT574" s="1743"/>
      <c r="AU574" s="1741"/>
      <c r="AV574" s="1742"/>
      <c r="AW574" s="1742"/>
      <c r="AX574" s="1742"/>
      <c r="AY574" s="1743"/>
      <c r="AZ574" s="1741"/>
      <c r="BA574" s="1742"/>
      <c r="BB574" s="1742"/>
      <c r="BC574" s="1742"/>
      <c r="BD574" s="1743"/>
      <c r="BE574" s="1741"/>
      <c r="BF574" s="1742"/>
      <c r="BG574" s="1742"/>
      <c r="BH574" s="1742"/>
      <c r="BI574" s="1743"/>
      <c r="BJ574" s="1185">
        <f>SUM(BJ568:BN573)</f>
        <v>0</v>
      </c>
      <c r="BK574" s="1186"/>
      <c r="BL574" s="1186"/>
      <c r="BM574" s="1186"/>
      <c r="BN574" s="1187"/>
      <c r="BO574" s="1185">
        <f>SUM(BO568:BS573)</f>
        <v>0</v>
      </c>
      <c r="BP574" s="1186"/>
      <c r="BQ574" s="1186"/>
      <c r="BR574" s="1186"/>
      <c r="BS574" s="1187"/>
      <c r="BT574" s="1185">
        <f>SUM(BT568:BX573)</f>
        <v>0</v>
      </c>
      <c r="BU574" s="1186"/>
      <c r="BV574" s="1186"/>
      <c r="BW574" s="1186"/>
      <c r="BX574" s="1187"/>
      <c r="BY574" s="1185">
        <f>SUM(BY568:CC573)</f>
        <v>0</v>
      </c>
      <c r="BZ574" s="1186"/>
      <c r="CA574" s="1186"/>
      <c r="CB574" s="1186"/>
      <c r="CC574" s="1187"/>
      <c r="CD574" s="1185">
        <f>SUM(CD568:CH573)</f>
        <v>0</v>
      </c>
      <c r="CE574" s="1186"/>
      <c r="CF574" s="1186"/>
      <c r="CG574" s="1186"/>
      <c r="CH574" s="1187"/>
      <c r="CI574" s="1185">
        <f>SUM(CI568:CM573)</f>
        <v>0</v>
      </c>
      <c r="CJ574" s="1186"/>
      <c r="CK574" s="1186"/>
      <c r="CL574" s="1186"/>
      <c r="CM574" s="1187"/>
      <c r="CN574" s="1185">
        <f>SUM(BJ574:CM574)</f>
        <v>0</v>
      </c>
      <c r="CO574" s="1186"/>
      <c r="CP574" s="1186"/>
      <c r="CQ574" s="1186"/>
      <c r="CR574" s="1187"/>
    </row>
    <row r="575" spans="1:96" s="4" customFormat="1" ht="12.75" customHeight="1">
      <c r="E575" s="1864"/>
      <c r="F575" s="1865"/>
      <c r="G575" s="1865"/>
      <c r="H575" s="1865"/>
      <c r="I575" s="1865"/>
      <c r="J575" s="1866"/>
      <c r="K575" s="1864"/>
      <c r="L575" s="1865"/>
      <c r="M575" s="1865"/>
      <c r="N575" s="1865"/>
      <c r="O575" s="1865"/>
      <c r="P575" s="1866"/>
      <c r="Q575" s="1123"/>
      <c r="R575" s="1124"/>
      <c r="S575" s="1124"/>
      <c r="T575" s="1124"/>
      <c r="U575" s="1124"/>
      <c r="V575" s="1125"/>
      <c r="W575" s="1123"/>
      <c r="X575" s="1124"/>
      <c r="Y575" s="1124"/>
      <c r="Z575" s="1124"/>
      <c r="AA575" s="1124"/>
      <c r="AB575" s="1125"/>
      <c r="AC575" s="1123"/>
      <c r="AD575" s="1124"/>
      <c r="AE575" s="1124"/>
      <c r="AF575" s="1124"/>
      <c r="AG575" s="1124"/>
      <c r="AH575" s="1125"/>
      <c r="AN575" s="281"/>
    </row>
    <row r="576" spans="1:96" s="4" customFormat="1" ht="12.75" customHeight="1">
      <c r="E576" s="1864"/>
      <c r="F576" s="1865"/>
      <c r="G576" s="1865"/>
      <c r="H576" s="1865"/>
      <c r="I576" s="1865"/>
      <c r="J576" s="1866"/>
      <c r="K576" s="1864"/>
      <c r="L576" s="1865"/>
      <c r="M576" s="1865"/>
      <c r="N576" s="1865"/>
      <c r="O576" s="1865"/>
      <c r="P576" s="1866"/>
      <c r="Q576" s="1123"/>
      <c r="R576" s="1124"/>
      <c r="S576" s="1124"/>
      <c r="T576" s="1124"/>
      <c r="U576" s="1124"/>
      <c r="V576" s="1125"/>
      <c r="W576" s="1123"/>
      <c r="X576" s="1124"/>
      <c r="Y576" s="1124"/>
      <c r="Z576" s="1124"/>
      <c r="AA576" s="1124"/>
      <c r="AB576" s="1125"/>
      <c r="AC576" s="1123"/>
      <c r="AD576" s="1124"/>
      <c r="AE576" s="1124"/>
      <c r="AF576" s="1124"/>
      <c r="AG576" s="1124"/>
      <c r="AH576" s="1125"/>
      <c r="AN576" s="281"/>
    </row>
    <row r="577" spans="2:69" s="4" customFormat="1" ht="12.75" customHeight="1">
      <c r="E577" s="1864"/>
      <c r="F577" s="1865"/>
      <c r="G577" s="1865"/>
      <c r="H577" s="1865"/>
      <c r="I577" s="1865"/>
      <c r="J577" s="1866"/>
      <c r="K577" s="1864"/>
      <c r="L577" s="1865"/>
      <c r="M577" s="1865"/>
      <c r="N577" s="1865"/>
      <c r="O577" s="1865"/>
      <c r="P577" s="1866"/>
      <c r="Q577" s="1123"/>
      <c r="R577" s="1124"/>
      <c r="S577" s="1124"/>
      <c r="T577" s="1124"/>
      <c r="U577" s="1124"/>
      <c r="V577" s="1125"/>
      <c r="W577" s="1123"/>
      <c r="X577" s="1124"/>
      <c r="Y577" s="1124"/>
      <c r="Z577" s="1124"/>
      <c r="AA577" s="1124"/>
      <c r="AB577" s="1125"/>
      <c r="AC577" s="1123"/>
      <c r="AD577" s="1124"/>
      <c r="AE577" s="1124"/>
      <c r="AF577" s="1124"/>
      <c r="AG577" s="1124"/>
      <c r="AH577" s="1125"/>
      <c r="AN577" s="281"/>
      <c r="AP577" s="3" t="s">
        <v>1172</v>
      </c>
      <c r="BH577" s="3" t="s">
        <v>1173</v>
      </c>
    </row>
    <row r="578" spans="2:69" s="4" customFormat="1" ht="12.75" customHeight="1">
      <c r="E578" s="1657"/>
      <c r="F578" s="1658"/>
      <c r="G578" s="1658"/>
      <c r="H578" s="1658"/>
      <c r="I578" s="1658"/>
      <c r="J578" s="1659"/>
      <c r="K578" s="1643">
        <v>20</v>
      </c>
      <c r="L578" s="1644"/>
      <c r="M578" s="1644"/>
      <c r="N578" s="1644"/>
      <c r="O578" s="1644"/>
      <c r="P578" s="1645"/>
      <c r="Q578" s="1646">
        <f>IF(ISERROR(IF((((E578/$BJ$525)*100)&gt;100),"EXCESSIVE VALUE",(E578/$BJ$525)*100)),0,IF((((E578/$BJ$525)*100)&gt;100),"EXCESSIVE VALUE",(E578/$BJ$525)*100))</f>
        <v>0</v>
      </c>
      <c r="R578" s="1647"/>
      <c r="S578" s="1647"/>
      <c r="T578" s="1647"/>
      <c r="U578" s="1647"/>
      <c r="V578" s="1648"/>
      <c r="W578" s="1649">
        <f>IF(FLOOR(Q578,5)&gt;80,80,FLOOR(Q578,5))</f>
        <v>0</v>
      </c>
      <c r="X578" s="1650"/>
      <c r="Y578" s="1650"/>
      <c r="Z578" s="1650"/>
      <c r="AA578" s="1650"/>
      <c r="AB578" s="1651"/>
      <c r="AC578" s="1649">
        <f t="shared" ref="AC578:AC583" si="4">IFERROR(IF(W578&gt;0,INDEX($BI$504:$BP$518,MATCH(W578,$BH$504:$BH$518,0),MATCH(K578,$BI$503:$BP$503,0)),0),0)</f>
        <v>0</v>
      </c>
      <c r="AD578" s="1650"/>
      <c r="AE578" s="1650"/>
      <c r="AF578" s="1650"/>
      <c r="AG578" s="1650"/>
      <c r="AH578" s="1651"/>
      <c r="AN578" s="281"/>
      <c r="AO578" s="4">
        <v>5</v>
      </c>
      <c r="AP578" s="1643">
        <f t="shared" ref="AP578:AP583" si="5">IF(OR(BE568&gt;=0.1,BE568=0),0,1)</f>
        <v>0</v>
      </c>
      <c r="AQ578" s="1644"/>
      <c r="AR578" s="1644"/>
      <c r="AS578" s="1644"/>
      <c r="AT578" s="1645"/>
      <c r="AX578" s="1737" t="s">
        <v>830</v>
      </c>
      <c r="AY578" s="1739"/>
      <c r="AZ578" s="1739"/>
      <c r="BA578" s="1739"/>
      <c r="BB578" s="1739"/>
      <c r="BC578" s="1739"/>
      <c r="BD578" s="1739"/>
      <c r="BE578" s="1739"/>
      <c r="BF578" s="1739"/>
      <c r="BG578" s="1739"/>
      <c r="BH578" s="1739"/>
      <c r="BI578" s="1739"/>
      <c r="BJ578" s="1739"/>
      <c r="BK578" s="1739"/>
      <c r="BL578" s="1739"/>
      <c r="BM578" s="1739"/>
      <c r="BN578" s="1739"/>
      <c r="BO578" s="1739"/>
      <c r="BP578" s="1739"/>
      <c r="BQ578" s="1738"/>
    </row>
    <row r="579" spans="2:69" s="4" customFormat="1" ht="12.75" customHeight="1">
      <c r="E579" s="1657">
        <v>3</v>
      </c>
      <c r="F579" s="1658"/>
      <c r="G579" s="1658"/>
      <c r="H579" s="1658"/>
      <c r="I579" s="1658"/>
      <c r="J579" s="1659"/>
      <c r="K579" s="1643">
        <v>30</v>
      </c>
      <c r="L579" s="1644"/>
      <c r="M579" s="1644"/>
      <c r="N579" s="1644"/>
      <c r="O579" s="1644"/>
      <c r="P579" s="1645"/>
      <c r="Q579" s="1646">
        <f t="shared" ref="Q579:Q586" si="6">IF(ISERROR(IF((((E579/$BJ$525)*100)&gt;100),"EXCESSIVE VALUE",(E579/$BJ$525)*100)),0,IF((((E579/$BJ$525)*100)&gt;100),"EXCESSIVE VALUE",(E579/$BJ$525)*100))</f>
        <v>10.714285714285714</v>
      </c>
      <c r="R579" s="1647"/>
      <c r="S579" s="1647"/>
      <c r="T579" s="1647"/>
      <c r="U579" s="1647"/>
      <c r="V579" s="1648"/>
      <c r="W579" s="1649">
        <f>IF(FLOOR(Q579,5)&gt;80,80,FLOOR(Q579,5))</f>
        <v>10</v>
      </c>
      <c r="X579" s="1650"/>
      <c r="Y579" s="1650"/>
      <c r="Z579" s="1650"/>
      <c r="AA579" s="1650"/>
      <c r="AB579" s="1651"/>
      <c r="AC579" s="1649">
        <f t="shared" si="4"/>
        <v>15</v>
      </c>
      <c r="AD579" s="1650"/>
      <c r="AE579" s="1650"/>
      <c r="AF579" s="1650"/>
      <c r="AG579" s="1650"/>
      <c r="AH579" s="1651"/>
      <c r="AN579" s="281"/>
      <c r="AO579" s="4">
        <v>4</v>
      </c>
      <c r="AP579" s="1643">
        <f t="shared" si="5"/>
        <v>0</v>
      </c>
      <c r="AQ579" s="1644"/>
      <c r="AR579" s="1644"/>
      <c r="AS579" s="1644"/>
      <c r="AT579" s="1645"/>
      <c r="AX579" s="1757" t="s">
        <v>650</v>
      </c>
      <c r="AY579" s="1758"/>
      <c r="AZ579" s="1241" t="s">
        <v>650</v>
      </c>
      <c r="BA579" s="1242"/>
      <c r="BB579" s="1757" t="s">
        <v>278</v>
      </c>
      <c r="BC579" s="1758"/>
      <c r="BD579" s="1747" t="s">
        <v>278</v>
      </c>
      <c r="BE579" s="1749"/>
      <c r="BF579" s="1757" t="s">
        <v>277</v>
      </c>
      <c r="BG579" s="1758"/>
      <c r="BH579" s="1747" t="s">
        <v>277</v>
      </c>
      <c r="BI579" s="1749"/>
      <c r="BJ579" s="1757" t="s">
        <v>276</v>
      </c>
      <c r="BK579" s="1758"/>
      <c r="BL579" s="1747" t="s">
        <v>276</v>
      </c>
      <c r="BM579" s="1749"/>
      <c r="BN579" s="1757" t="s">
        <v>649</v>
      </c>
      <c r="BO579" s="1758"/>
      <c r="BP579" s="1747" t="s">
        <v>649</v>
      </c>
      <c r="BQ579" s="1749"/>
    </row>
    <row r="580" spans="2:69" s="4" customFormat="1" ht="12.75" customHeight="1">
      <c r="E580" s="1657"/>
      <c r="F580" s="1658"/>
      <c r="G580" s="1658"/>
      <c r="H580" s="1658"/>
      <c r="I580" s="1658"/>
      <c r="J580" s="1659"/>
      <c r="K580" s="1643">
        <v>35</v>
      </c>
      <c r="L580" s="1644"/>
      <c r="M580" s="1644"/>
      <c r="N580" s="1644"/>
      <c r="O580" s="1644"/>
      <c r="P580" s="1645"/>
      <c r="Q580" s="1646">
        <f t="shared" si="6"/>
        <v>0</v>
      </c>
      <c r="R580" s="1647"/>
      <c r="S580" s="1647"/>
      <c r="T580" s="1647"/>
      <c r="U580" s="1647"/>
      <c r="V580" s="1648"/>
      <c r="W580" s="1649">
        <f t="shared" ref="W580:W586" si="7">IF(FLOOR(Q580,5)&gt;80,80,FLOOR(Q580,5))</f>
        <v>0</v>
      </c>
      <c r="X580" s="1650"/>
      <c r="Y580" s="1650"/>
      <c r="Z580" s="1650"/>
      <c r="AA580" s="1650"/>
      <c r="AB580" s="1651"/>
      <c r="AC580" s="1649">
        <f t="shared" si="4"/>
        <v>0</v>
      </c>
      <c r="AD580" s="1650"/>
      <c r="AE580" s="1650"/>
      <c r="AF580" s="1650"/>
      <c r="AG580" s="1650"/>
      <c r="AH580" s="1651"/>
      <c r="AN580" s="281"/>
      <c r="AO580" s="4">
        <v>3</v>
      </c>
      <c r="AP580" s="1643">
        <f t="shared" si="5"/>
        <v>0</v>
      </c>
      <c r="AQ580" s="1644"/>
      <c r="AR580" s="1644"/>
      <c r="AS580" s="1644"/>
      <c r="AT580" s="1645"/>
      <c r="AX580" s="1757">
        <f>IF(AP530=1,1,0)</f>
        <v>0</v>
      </c>
      <c r="AY580" s="1758"/>
      <c r="AZ580" s="1737"/>
      <c r="BA580" s="1738"/>
      <c r="BB580" s="1755"/>
      <c r="BC580" s="1756"/>
      <c r="BD580" s="1747">
        <f>IF(AND(T605&gt;0,AP530&gt;0),1,0)</f>
        <v>0</v>
      </c>
      <c r="BE580" s="1749"/>
      <c r="BF580" s="1755"/>
      <c r="BG580" s="1756"/>
      <c r="BH580" s="1747">
        <f>IF(AND(T605&gt;0,AP530&gt;0),1,0)</f>
        <v>0</v>
      </c>
      <c r="BI580" s="1749"/>
      <c r="BJ580" s="1755"/>
      <c r="BK580" s="1756"/>
      <c r="BL580" s="1747">
        <f>IF(AND(T605&gt;0,AP530&gt;0),1,0)</f>
        <v>0</v>
      </c>
      <c r="BM580" s="1749"/>
      <c r="BN580" s="1755"/>
      <c r="BO580" s="1756"/>
      <c r="BP580" s="1747">
        <f>IF(AND(T605&gt;0,AP530&gt;0),1,0)</f>
        <v>0</v>
      </c>
      <c r="BQ580" s="1749"/>
    </row>
    <row r="581" spans="2:69" s="4" customFormat="1" ht="12.75" customHeight="1">
      <c r="E581" s="1657">
        <v>5</v>
      </c>
      <c r="F581" s="1658"/>
      <c r="G581" s="1658"/>
      <c r="H581" s="1658"/>
      <c r="I581" s="1658"/>
      <c r="J581" s="1659"/>
      <c r="K581" s="1643">
        <v>40</v>
      </c>
      <c r="L581" s="1644"/>
      <c r="M581" s="1644"/>
      <c r="N581" s="1644"/>
      <c r="O581" s="1644"/>
      <c r="P581" s="1645"/>
      <c r="Q581" s="1646">
        <f t="shared" si="6"/>
        <v>17.857142857142858</v>
      </c>
      <c r="R581" s="1647"/>
      <c r="S581" s="1647"/>
      <c r="T581" s="1647"/>
      <c r="U581" s="1647"/>
      <c r="V581" s="1648"/>
      <c r="W581" s="1649">
        <f t="shared" si="7"/>
        <v>15</v>
      </c>
      <c r="X581" s="1650"/>
      <c r="Y581" s="1650"/>
      <c r="Z581" s="1650"/>
      <c r="AA581" s="1650"/>
      <c r="AB581" s="1651"/>
      <c r="AC581" s="1649">
        <f t="shared" si="4"/>
        <v>15</v>
      </c>
      <c r="AD581" s="1650"/>
      <c r="AE581" s="1650"/>
      <c r="AF581" s="1650"/>
      <c r="AG581" s="1650"/>
      <c r="AH581" s="1651"/>
      <c r="AN581" s="281"/>
      <c r="AO581" s="4">
        <v>2</v>
      </c>
      <c r="AP581" s="1643">
        <f t="shared" si="5"/>
        <v>0</v>
      </c>
      <c r="AQ581" s="1644"/>
      <c r="AR581" s="1644"/>
      <c r="AS581" s="1644"/>
      <c r="AT581" s="1645"/>
      <c r="AX581" s="1755"/>
      <c r="AY581" s="1756"/>
      <c r="AZ581" s="1737"/>
      <c r="BA581" s="1738"/>
      <c r="BB581" s="1757">
        <f>IF(AP531=1,1,0)</f>
        <v>0</v>
      </c>
      <c r="BC581" s="1758"/>
      <c r="BD581" s="1737"/>
      <c r="BE581" s="1738"/>
      <c r="BF581" s="1755"/>
      <c r="BG581" s="1756"/>
      <c r="BH581" s="1747">
        <f>IF(AND(T606&gt;0,AP531&gt;0),1,0)</f>
        <v>1</v>
      </c>
      <c r="BI581" s="1749"/>
      <c r="BJ581" s="1755"/>
      <c r="BK581" s="1756"/>
      <c r="BL581" s="1747">
        <f>IF(AND(T606&gt;0,AP531&gt;0),1,0)</f>
        <v>1</v>
      </c>
      <c r="BM581" s="1749"/>
      <c r="BN581" s="1755"/>
      <c r="BO581" s="1756"/>
      <c r="BP581" s="1747">
        <f>IF(AND(T606&gt;0,AP531&gt;0),1,0)</f>
        <v>1</v>
      </c>
      <c r="BQ581" s="1749"/>
    </row>
    <row r="582" spans="2:69" s="4" customFormat="1" ht="12.75" customHeight="1">
      <c r="E582" s="1657"/>
      <c r="F582" s="1658"/>
      <c r="G582" s="1658"/>
      <c r="H582" s="1658"/>
      <c r="I582" s="1658"/>
      <c r="J582" s="1659"/>
      <c r="K582" s="1643">
        <v>45</v>
      </c>
      <c r="L582" s="1644"/>
      <c r="M582" s="1644"/>
      <c r="N582" s="1644"/>
      <c r="O582" s="1644"/>
      <c r="P582" s="1645"/>
      <c r="Q582" s="1646">
        <f t="shared" si="6"/>
        <v>0</v>
      </c>
      <c r="R582" s="1647"/>
      <c r="S582" s="1647"/>
      <c r="T582" s="1647"/>
      <c r="U582" s="1647"/>
      <c r="V582" s="1648"/>
      <c r="W582" s="1649">
        <f>IF(FLOOR(Q582,5)&gt;65,65,FLOOR(Q582,5))</f>
        <v>0</v>
      </c>
      <c r="X582" s="1650"/>
      <c r="Y582" s="1650"/>
      <c r="Z582" s="1650"/>
      <c r="AA582" s="1650"/>
      <c r="AB582" s="1651"/>
      <c r="AC582" s="1649">
        <f t="shared" si="4"/>
        <v>0</v>
      </c>
      <c r="AD582" s="1650"/>
      <c r="AE582" s="1650"/>
      <c r="AF582" s="1650"/>
      <c r="AG582" s="1650"/>
      <c r="AH582" s="1651"/>
      <c r="AN582" s="281"/>
      <c r="AO582" s="4">
        <v>1</v>
      </c>
      <c r="AP582" s="1643">
        <f t="shared" si="5"/>
        <v>1</v>
      </c>
      <c r="AQ582" s="1644"/>
      <c r="AR582" s="1644"/>
      <c r="AS582" s="1644"/>
      <c r="AT582" s="1645"/>
      <c r="AX582" s="1755"/>
      <c r="AY582" s="1756"/>
      <c r="AZ582" s="1737"/>
      <c r="BA582" s="1738"/>
      <c r="BB582" s="1755"/>
      <c r="BC582" s="1756"/>
      <c r="BD582" s="1737"/>
      <c r="BE582" s="1738"/>
      <c r="BF582" s="1757">
        <f>IF(AP532=1,1,0)</f>
        <v>0</v>
      </c>
      <c r="BG582" s="1758"/>
      <c r="BH582" s="1737"/>
      <c r="BI582" s="1738"/>
      <c r="BJ582" s="1755"/>
      <c r="BK582" s="1756"/>
      <c r="BL582" s="1747">
        <f>IF(AND(T607&gt;0,AP532&gt;0),1,0)</f>
        <v>1</v>
      </c>
      <c r="BM582" s="1749"/>
      <c r="BN582" s="1755"/>
      <c r="BO582" s="1756"/>
      <c r="BP582" s="1747">
        <f>IF(AND(T607&gt;0,AP532&gt;0),1,0)</f>
        <v>1</v>
      </c>
      <c r="BQ582" s="1749"/>
    </row>
    <row r="583" spans="2:69" s="4" customFormat="1" ht="12.75" customHeight="1">
      <c r="E583" s="1657">
        <v>12</v>
      </c>
      <c r="F583" s="1658"/>
      <c r="G583" s="1658"/>
      <c r="H583" s="1658"/>
      <c r="I583" s="1658"/>
      <c r="J583" s="1659"/>
      <c r="K583" s="1643">
        <v>50</v>
      </c>
      <c r="L583" s="1644"/>
      <c r="M583" s="1644"/>
      <c r="N583" s="1644"/>
      <c r="O583" s="1644"/>
      <c r="P583" s="1645"/>
      <c r="Q583" s="1646">
        <f t="shared" si="6"/>
        <v>42.857142857142854</v>
      </c>
      <c r="R583" s="1647"/>
      <c r="S583" s="1647"/>
      <c r="T583" s="1647"/>
      <c r="U583" s="1647"/>
      <c r="V583" s="1648"/>
      <c r="W583" s="1649">
        <f>IF(FLOOR(Q583,5)&gt;40,40,FLOOR(Q583,5))</f>
        <v>40</v>
      </c>
      <c r="X583" s="1650"/>
      <c r="Y583" s="1650"/>
      <c r="Z583" s="1650"/>
      <c r="AA583" s="1650"/>
      <c r="AB583" s="1651"/>
      <c r="AC583" s="1649">
        <f t="shared" si="4"/>
        <v>20</v>
      </c>
      <c r="AD583" s="1650"/>
      <c r="AE583" s="1650"/>
      <c r="AF583" s="1650"/>
      <c r="AG583" s="1650"/>
      <c r="AH583" s="1651"/>
      <c r="AN583" s="281"/>
      <c r="AO583" s="4">
        <v>0</v>
      </c>
      <c r="AP583" s="1643">
        <f t="shared" si="5"/>
        <v>0</v>
      </c>
      <c r="AQ583" s="1644"/>
      <c r="AR583" s="1644"/>
      <c r="AS583" s="1644"/>
      <c r="AT583" s="1645"/>
      <c r="AX583" s="1755"/>
      <c r="AY583" s="1756"/>
      <c r="AZ583" s="1737"/>
      <c r="BA583" s="1738"/>
      <c r="BB583" s="1755"/>
      <c r="BC583" s="1756"/>
      <c r="BD583" s="1737"/>
      <c r="BE583" s="1738"/>
      <c r="BF583" s="1755"/>
      <c r="BG583" s="1756"/>
      <c r="BH583" s="1737"/>
      <c r="BI583" s="1738"/>
      <c r="BJ583" s="1757">
        <f>IF(AP533=1,1,0)</f>
        <v>0</v>
      </c>
      <c r="BK583" s="1758"/>
      <c r="BL583" s="1755"/>
      <c r="BM583" s="1756"/>
      <c r="BN583" s="1755"/>
      <c r="BO583" s="1756"/>
      <c r="BP583" s="1747">
        <f>IF(AND(T608&gt;0,AP533&gt;0),1,0)</f>
        <v>1</v>
      </c>
      <c r="BQ583" s="1749"/>
    </row>
    <row r="584" spans="2:69" s="4" customFormat="1" ht="12.75" customHeight="1">
      <c r="E584" s="1729"/>
      <c r="F584" s="1730"/>
      <c r="G584" s="1730"/>
      <c r="H584" s="1730"/>
      <c r="I584" s="1730"/>
      <c r="J584" s="1731"/>
      <c r="K584" s="1725">
        <f>IF(OR(Application!D211="Rural",Application!D211="Rural apportionment (Section 514)",Application!D211="Rural apportionment (Section 515)",Application!D211="Rural apportionment (HOME)",Application!D211="Rural (Native American apportionment)"),50,0)</f>
        <v>0</v>
      </c>
      <c r="L584" s="1726"/>
      <c r="M584" s="1727" t="s">
        <v>1925</v>
      </c>
      <c r="N584" s="1727"/>
      <c r="O584" s="1727"/>
      <c r="P584" s="1728"/>
      <c r="Q584" s="1646">
        <f t="shared" si="6"/>
        <v>0</v>
      </c>
      <c r="R584" s="1647"/>
      <c r="S584" s="1647"/>
      <c r="T584" s="1647"/>
      <c r="U584" s="1647"/>
      <c r="V584" s="1648"/>
      <c r="W584" s="1649">
        <f>IF(FLOOR(Q584,5)&gt;50,50,FLOOR(Q584,5))</f>
        <v>0</v>
      </c>
      <c r="X584" s="1650"/>
      <c r="Y584" s="1650"/>
      <c r="Z584" s="1650"/>
      <c r="AA584" s="1650"/>
      <c r="AB584" s="1651"/>
      <c r="AC584" s="1649">
        <f>IFERROR(IF(W584&gt;0,INDEX($AT$504:$BA$518,MATCH(W584,$AS$504:$AS$518,0),MATCH(K584,$AT$503:$BA$503,0)),0),0)</f>
        <v>0</v>
      </c>
      <c r="AD584" s="1650"/>
      <c r="AE584" s="1650"/>
      <c r="AF584" s="1650"/>
      <c r="AG584" s="1650"/>
      <c r="AH584" s="1651"/>
      <c r="AN584" s="281"/>
      <c r="AP584" s="1643"/>
      <c r="AQ584" s="1644"/>
      <c r="AR584" s="1644"/>
      <c r="AS584" s="1644"/>
      <c r="AT584" s="1645"/>
      <c r="AX584" s="1755"/>
      <c r="AY584" s="1756"/>
      <c r="AZ584" s="1737"/>
      <c r="BA584" s="1738"/>
      <c r="BB584" s="1755"/>
      <c r="BC584" s="1756"/>
      <c r="BD584" s="1737"/>
      <c r="BE584" s="1738"/>
      <c r="BF584" s="1755"/>
      <c r="BG584" s="1756"/>
      <c r="BH584" s="1737"/>
      <c r="BI584" s="1738"/>
      <c r="BJ584" s="1755"/>
      <c r="BK584" s="1756"/>
      <c r="BL584" s="1755"/>
      <c r="BM584" s="1756"/>
      <c r="BN584" s="1757">
        <f>IF(AP534=1,1,0)</f>
        <v>0</v>
      </c>
      <c r="BO584" s="1758"/>
      <c r="BP584" s="1737"/>
      <c r="BQ584" s="1738"/>
    </row>
    <row r="585" spans="2:69" s="4" customFormat="1" ht="12.75" customHeight="1">
      <c r="E585" s="1729"/>
      <c r="F585" s="1730"/>
      <c r="G585" s="1730"/>
      <c r="H585" s="1730"/>
      <c r="I585" s="1730"/>
      <c r="J585" s="1731"/>
      <c r="K585" s="1725">
        <f>IF(OR(Application!D211="Rural",Application!D211="Rural apportionment (Section 514)",Application!D211="Rural apportionment (Section 515)",Application!D211="Rural apportionment (HOME)",Application!D211="Rural (Native American apportionment)"),55,0)</f>
        <v>0</v>
      </c>
      <c r="L585" s="1726"/>
      <c r="M585" s="1727" t="s">
        <v>1925</v>
      </c>
      <c r="N585" s="1727"/>
      <c r="O585" s="1727"/>
      <c r="P585" s="1728"/>
      <c r="Q585" s="1646">
        <f t="shared" si="6"/>
        <v>0</v>
      </c>
      <c r="R585" s="1647"/>
      <c r="S585" s="1647"/>
      <c r="T585" s="1647"/>
      <c r="U585" s="1647"/>
      <c r="V585" s="1648"/>
      <c r="W585" s="1649">
        <f>IF(FLOOR(Q585,5)&gt;40,40,FLOOR(Q585,5))</f>
        <v>0</v>
      </c>
      <c r="X585" s="1650"/>
      <c r="Y585" s="1650"/>
      <c r="Z585" s="1650"/>
      <c r="AA585" s="1650"/>
      <c r="AB585" s="1651"/>
      <c r="AC585" s="1649">
        <f>IFERROR(IF(W585&gt;0,INDEX($AT$504:$BA$518,MATCH(W585,$AS$504:$AS$518,0),MATCH(K585,$AT$503:$BA$503,0)),0),0)</f>
        <v>0</v>
      </c>
      <c r="AD585" s="1650"/>
      <c r="AE585" s="1650"/>
      <c r="AF585" s="1650"/>
      <c r="AG585" s="1650"/>
      <c r="AH585" s="1651"/>
      <c r="AN585" s="281"/>
      <c r="AX585" s="1757">
        <f>SUM(AX580:AY584)</f>
        <v>0</v>
      </c>
      <c r="AY585" s="1758"/>
      <c r="AZ585" s="1747">
        <f>SUM(AZ581:BA584)</f>
        <v>0</v>
      </c>
      <c r="BA585" s="1749"/>
      <c r="BB585" s="1757">
        <f>SUM(BB581:BC584)</f>
        <v>0</v>
      </c>
      <c r="BC585" s="1758"/>
      <c r="BD585" s="1747">
        <f>SUM(BD580:BE584)</f>
        <v>0</v>
      </c>
      <c r="BE585" s="1749"/>
      <c r="BF585" s="1757">
        <f>SUM(BF582:BG584)</f>
        <v>0</v>
      </c>
      <c r="BG585" s="1758"/>
      <c r="BH585" s="1747">
        <f>SUM(BH580:BI584)</f>
        <v>1</v>
      </c>
      <c r="BI585" s="1749"/>
      <c r="BJ585" s="1757">
        <f>SUM(BJ580:BK584)</f>
        <v>0</v>
      </c>
      <c r="BK585" s="1758"/>
      <c r="BL585" s="1747">
        <f>SUM(BL580:BM584)</f>
        <v>2</v>
      </c>
      <c r="BM585" s="1749"/>
      <c r="BN585" s="1757">
        <f>SUM(BN580:BO584)</f>
        <v>0</v>
      </c>
      <c r="BO585" s="1758"/>
      <c r="BP585" s="1747">
        <f>SUM(BP580:BQ584)</f>
        <v>3</v>
      </c>
      <c r="BQ585" s="1749"/>
    </row>
    <row r="586" spans="2:69" s="4" customFormat="1" ht="12.75" customHeight="1">
      <c r="E586" s="1657">
        <v>8</v>
      </c>
      <c r="F586" s="1658"/>
      <c r="G586" s="1658"/>
      <c r="H586" s="1658"/>
      <c r="I586" s="1658"/>
      <c r="J586" s="1659"/>
      <c r="K586" s="1643" t="s">
        <v>2245</v>
      </c>
      <c r="L586" s="1644"/>
      <c r="M586" s="1644"/>
      <c r="N586" s="1644"/>
      <c r="O586" s="1644"/>
      <c r="P586" s="1645"/>
      <c r="Q586" s="1646">
        <f t="shared" si="6"/>
        <v>28.571428571428569</v>
      </c>
      <c r="R586" s="1647"/>
      <c r="S586" s="1647"/>
      <c r="T586" s="1647"/>
      <c r="U586" s="1647"/>
      <c r="V586" s="1648"/>
      <c r="W586" s="1649">
        <f t="shared" si="7"/>
        <v>25</v>
      </c>
      <c r="X586" s="1650"/>
      <c r="Y586" s="1650"/>
      <c r="Z586" s="1650"/>
      <c r="AA586" s="1650"/>
      <c r="AB586" s="1651"/>
      <c r="AC586" s="1649">
        <v>0</v>
      </c>
      <c r="AD586" s="1650"/>
      <c r="AE586" s="1650"/>
      <c r="AF586" s="1650"/>
      <c r="AG586" s="1650"/>
      <c r="AH586" s="1651"/>
      <c r="AN586" s="281"/>
      <c r="AX586" s="1752">
        <f>IF(AND(AX585=1,AZ585&gt;1),1,0)</f>
        <v>0</v>
      </c>
      <c r="AY586" s="1753"/>
      <c r="AZ586" s="1753"/>
      <c r="BA586" s="1754"/>
      <c r="BB586" s="1752">
        <f>IF(AND(BB585=1,BD585&gt;=1),1,0)</f>
        <v>0</v>
      </c>
      <c r="BC586" s="1753"/>
      <c r="BD586" s="1753"/>
      <c r="BE586" s="1754"/>
      <c r="BF586" s="1752">
        <f>IF(AND(BF585=1,BH585&gt;=1),1,0)</f>
        <v>0</v>
      </c>
      <c r="BG586" s="1753"/>
      <c r="BH586" s="1753"/>
      <c r="BI586" s="1754"/>
      <c r="BJ586" s="1752">
        <f>IF(AND(BJ585=1,BL585&gt;=1),1,0)</f>
        <v>0</v>
      </c>
      <c r="BK586" s="1753"/>
      <c r="BL586" s="1753"/>
      <c r="BM586" s="1754"/>
      <c r="BN586" s="1752">
        <f>IF(AND(BN585=1,BP585&gt;=1),1,0)</f>
        <v>0</v>
      </c>
      <c r="BO586" s="1753"/>
      <c r="BP586" s="1753"/>
      <c r="BQ586" s="1754"/>
    </row>
    <row r="587" spans="2:69" s="4" customFormat="1" ht="12.75" customHeight="1">
      <c r="E587" s="954"/>
      <c r="F587" s="955"/>
      <c r="G587" s="955"/>
      <c r="H587" s="955"/>
      <c r="I587" s="955"/>
      <c r="J587" s="956"/>
      <c r="K587" s="1643" t="s">
        <v>2246</v>
      </c>
      <c r="L587" s="1644"/>
      <c r="M587" s="1644"/>
      <c r="N587" s="1644"/>
      <c r="O587" s="1644"/>
      <c r="P587" s="1645"/>
      <c r="Q587" s="1646">
        <f>IF(ISERROR(IF((((E587/$BJ$525)*100)&gt;100),"EXCESSIVE VALUE",(E587/$BJ$525)*100)),0,IF((((E587/$BJ$525)*100)&gt;100),"EXCESSIVE VALUE",(E587/$BJ$525)*100))</f>
        <v>0</v>
      </c>
      <c r="R587" s="1647"/>
      <c r="S587" s="1647"/>
      <c r="T587" s="1647"/>
      <c r="U587" s="1647"/>
      <c r="V587" s="1648"/>
      <c r="W587" s="1649">
        <f>IF(FLOOR(Q587,5)&gt;80,80,FLOOR(Q587,5))</f>
        <v>0</v>
      </c>
      <c r="X587" s="1650"/>
      <c r="Y587" s="1650"/>
      <c r="Z587" s="1650"/>
      <c r="AA587" s="1650"/>
      <c r="AB587" s="1651"/>
      <c r="AC587" s="1649">
        <v>0</v>
      </c>
      <c r="AD587" s="1650"/>
      <c r="AE587" s="1650"/>
      <c r="AF587" s="1650"/>
      <c r="AG587" s="1650"/>
      <c r="AH587" s="1651"/>
      <c r="AN587" s="281"/>
      <c r="AX587"/>
      <c r="AY587"/>
      <c r="AZ587"/>
      <c r="BA587"/>
      <c r="BB587"/>
      <c r="BC587"/>
      <c r="BD587"/>
      <c r="BE587"/>
      <c r="BF587"/>
      <c r="BG587"/>
      <c r="BH587"/>
      <c r="BI587" s="34" t="s">
        <v>644</v>
      </c>
      <c r="BJ587" s="1752">
        <f>AX586+BB586+BF586+BJ586+BN586</f>
        <v>0</v>
      </c>
      <c r="BK587" s="1753"/>
      <c r="BL587" s="1753"/>
      <c r="BM587" s="1754"/>
      <c r="BN587"/>
      <c r="BO587"/>
      <c r="BP587"/>
      <c r="BQ587"/>
    </row>
    <row r="588" spans="2:69" s="4" customFormat="1" ht="12.75" customHeight="1">
      <c r="E588" s="954"/>
      <c r="F588" s="955"/>
      <c r="G588" s="955"/>
      <c r="H588" s="955"/>
      <c r="I588" s="955"/>
      <c r="J588" s="956"/>
      <c r="K588" s="1643" t="s">
        <v>2247</v>
      </c>
      <c r="L588" s="1644"/>
      <c r="M588" s="1644"/>
      <c r="N588" s="1644"/>
      <c r="O588" s="1644"/>
      <c r="P588" s="1645"/>
      <c r="Q588" s="1646">
        <f>IF(ISERROR(IF((((E588/$BJ$525)*100)&gt;100),"EXCESSIVE VALUE",(E588/$BJ$525)*100)),0,IF((((E588/$BJ$525)*100)&gt;100),"EXCESSIVE VALUE",(E588/$BJ$525)*100))</f>
        <v>0</v>
      </c>
      <c r="R588" s="1647"/>
      <c r="S588" s="1647"/>
      <c r="T588" s="1647"/>
      <c r="U588" s="1647"/>
      <c r="V588" s="1648"/>
      <c r="W588" s="1649">
        <f>IF(FLOOR(Q588,5)&gt;80,80,FLOOR(Q588,5))</f>
        <v>0</v>
      </c>
      <c r="X588" s="1650"/>
      <c r="Y588" s="1650"/>
      <c r="Z588" s="1650"/>
      <c r="AA588" s="1650"/>
      <c r="AB588" s="1651"/>
      <c r="AC588" s="1649">
        <v>0</v>
      </c>
      <c r="AD588" s="1650"/>
      <c r="AE588" s="1650"/>
      <c r="AF588" s="1650"/>
      <c r="AG588" s="1650"/>
      <c r="AH588" s="1651"/>
      <c r="AN588" s="281"/>
      <c r="AX588"/>
      <c r="AY588"/>
      <c r="AZ588"/>
      <c r="BA588"/>
      <c r="BB588"/>
      <c r="BC588"/>
      <c r="BD588"/>
      <c r="BE588"/>
      <c r="BF588"/>
      <c r="BG588"/>
      <c r="BI588"/>
      <c r="BJ588" t="s">
        <v>643</v>
      </c>
      <c r="BK588"/>
      <c r="BL588"/>
      <c r="BM588"/>
      <c r="BN588"/>
      <c r="BO588"/>
      <c r="BP588"/>
      <c r="BQ588"/>
    </row>
    <row r="589" spans="2:69" s="4" customFormat="1" ht="12.75" customHeight="1">
      <c r="E589" s="1702">
        <f>SUM(E578:J588)</f>
        <v>28</v>
      </c>
      <c r="F589" s="1703"/>
      <c r="G589" s="1703"/>
      <c r="H589" s="1703"/>
      <c r="I589" s="1703"/>
      <c r="J589" s="1704"/>
      <c r="K589" s="89"/>
      <c r="L589" s="89"/>
      <c r="M589" s="89"/>
      <c r="N589" s="89"/>
      <c r="O589" s="89"/>
      <c r="P589" s="89"/>
      <c r="Q589" s="89"/>
      <c r="R589" s="89"/>
      <c r="S589" s="89"/>
      <c r="T589" s="89"/>
      <c r="U589" s="93"/>
      <c r="V589" s="93"/>
      <c r="W589" s="93"/>
      <c r="X589" s="93"/>
      <c r="Y589" s="93"/>
      <c r="Z589" s="89"/>
      <c r="AA589" s="93"/>
      <c r="AB589" s="60" t="s">
        <v>639</v>
      </c>
      <c r="AC589" s="1832">
        <f>IF(SUM(AC578:AH588)&gt;0,SUM(AC578:AH588),0)</f>
        <v>50</v>
      </c>
      <c r="AD589" s="1833"/>
      <c r="AE589" s="1833"/>
      <c r="AF589" s="1833"/>
      <c r="AG589" s="1833"/>
      <c r="AH589" s="1834"/>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675" t="s">
        <v>110</v>
      </c>
      <c r="AH592" s="1675"/>
      <c r="AI592" s="1675"/>
      <c r="AJ592" s="1675"/>
      <c r="AK592" s="5"/>
      <c r="AL592" s="5"/>
      <c r="AM592" s="5"/>
      <c r="AN592" s="281"/>
    </row>
    <row r="593" spans="1:60" s="4" customFormat="1" ht="12.75" customHeight="1">
      <c r="B593" s="1855" t="s">
        <v>2235</v>
      </c>
      <c r="C593" s="1855"/>
      <c r="D593" s="1855"/>
      <c r="E593" s="1855"/>
      <c r="F593" s="1855"/>
      <c r="G593" s="1855"/>
      <c r="H593" s="1855"/>
      <c r="I593" s="1855"/>
      <c r="J593" s="1855"/>
      <c r="K593" s="1855"/>
      <c r="L593" s="1855"/>
      <c r="M593" s="1855"/>
      <c r="N593" s="1855"/>
      <c r="O593" s="1855"/>
      <c r="P593" s="1855"/>
      <c r="Q593" s="1855"/>
      <c r="R593" s="1855"/>
      <c r="S593" s="1855"/>
      <c r="T593" s="1855"/>
      <c r="U593" s="1855"/>
      <c r="V593" s="1855"/>
      <c r="W593" s="1855"/>
      <c r="X593" s="1855"/>
      <c r="Y593" s="1855"/>
      <c r="Z593" s="1855"/>
      <c r="AA593" s="1855"/>
      <c r="AB593" s="1855"/>
      <c r="AC593" s="1855"/>
      <c r="AD593" s="1855"/>
      <c r="AE593" s="1855"/>
      <c r="AF593" s="1855"/>
      <c r="AG593" s="1855"/>
      <c r="AH593" s="1855"/>
      <c r="AI593" s="21"/>
      <c r="AJ593" s="21"/>
      <c r="AK593"/>
      <c r="AL593"/>
      <c r="AM593"/>
      <c r="AN593" s="281"/>
    </row>
    <row r="594" spans="1:60" s="4" customFormat="1" ht="12.75" customHeight="1">
      <c r="A594" s="21"/>
      <c r="B594" s="1855"/>
      <c r="C594" s="1855"/>
      <c r="D594" s="1855"/>
      <c r="E594" s="1855"/>
      <c r="F594" s="1855"/>
      <c r="G594" s="1855"/>
      <c r="H594" s="1855"/>
      <c r="I594" s="1855"/>
      <c r="J594" s="1855"/>
      <c r="K594" s="1855"/>
      <c r="L594" s="1855"/>
      <c r="M594" s="1855"/>
      <c r="N594" s="1855"/>
      <c r="O594" s="1855"/>
      <c r="P594" s="1855"/>
      <c r="Q594" s="1855"/>
      <c r="R594" s="1855"/>
      <c r="S594" s="1855"/>
      <c r="T594" s="1855"/>
      <c r="U594" s="1855"/>
      <c r="V594" s="1855"/>
      <c r="W594" s="1855"/>
      <c r="X594" s="1855"/>
      <c r="Y594" s="1855"/>
      <c r="Z594" s="1855"/>
      <c r="AA594" s="1855"/>
      <c r="AB594" s="1855"/>
      <c r="AC594" s="1855"/>
      <c r="AD594" s="1855"/>
      <c r="AE594" s="1855"/>
      <c r="AF594" s="1855"/>
      <c r="AG594" s="1855"/>
      <c r="AH594" s="1855"/>
      <c r="AI594" s="21"/>
      <c r="AJ594" s="21"/>
      <c r="AK594"/>
      <c r="AL594"/>
      <c r="AM594"/>
      <c r="AN594" s="281"/>
    </row>
    <row r="595" spans="1:60" s="4" customFormat="1" ht="12.75" customHeight="1">
      <c r="A595" s="21"/>
      <c r="B595" s="1855"/>
      <c r="C595" s="1855"/>
      <c r="D595" s="1855"/>
      <c r="E595" s="1855"/>
      <c r="F595" s="1855"/>
      <c r="G595" s="1855"/>
      <c r="H595" s="1855"/>
      <c r="I595" s="1855"/>
      <c r="J595" s="1855"/>
      <c r="K595" s="1855"/>
      <c r="L595" s="1855"/>
      <c r="M595" s="1855"/>
      <c r="N595" s="1855"/>
      <c r="O595" s="1855"/>
      <c r="P595" s="1855"/>
      <c r="Q595" s="1855"/>
      <c r="R595" s="1855"/>
      <c r="S595" s="1855"/>
      <c r="T595" s="1855"/>
      <c r="U595" s="1855"/>
      <c r="V595" s="1855"/>
      <c r="W595" s="1855"/>
      <c r="X595" s="1855"/>
      <c r="Y595" s="1855"/>
      <c r="Z595" s="1855"/>
      <c r="AA595" s="1855"/>
      <c r="AB595" s="1855"/>
      <c r="AC595" s="1855"/>
      <c r="AD595" s="1855"/>
      <c r="AE595" s="1855"/>
      <c r="AF595" s="1855"/>
      <c r="AG595" s="1855"/>
      <c r="AH595" s="1855"/>
      <c r="AI595" s="21"/>
      <c r="AJ595" s="21"/>
      <c r="AK595"/>
      <c r="AL595"/>
      <c r="AM595"/>
      <c r="AN595" s="281"/>
    </row>
    <row r="596" spans="1:60" s="4" customFormat="1" ht="12.75" customHeight="1">
      <c r="A596" s="21"/>
      <c r="B596" s="1855"/>
      <c r="C596" s="1855"/>
      <c r="D596" s="1855"/>
      <c r="E596" s="1855"/>
      <c r="F596" s="1855"/>
      <c r="G596" s="1855"/>
      <c r="H596" s="1855"/>
      <c r="I596" s="1855"/>
      <c r="J596" s="1855"/>
      <c r="K596" s="1855"/>
      <c r="L596" s="1855"/>
      <c r="M596" s="1855"/>
      <c r="N596" s="1855"/>
      <c r="O596" s="1855"/>
      <c r="P596" s="1855"/>
      <c r="Q596" s="1855"/>
      <c r="R596" s="1855"/>
      <c r="S596" s="1855"/>
      <c r="T596" s="1855"/>
      <c r="U596" s="1855"/>
      <c r="V596" s="1855"/>
      <c r="W596" s="1855"/>
      <c r="X596" s="1855"/>
      <c r="Y596" s="1855"/>
      <c r="Z596" s="1855"/>
      <c r="AA596" s="1855"/>
      <c r="AB596" s="1855"/>
      <c r="AC596" s="1855"/>
      <c r="AD596" s="1855"/>
      <c r="AE596" s="1855"/>
      <c r="AF596" s="1855"/>
      <c r="AG596" s="1855"/>
      <c r="AH596" s="1855"/>
      <c r="AI596" s="21"/>
      <c r="AJ596" s="21"/>
      <c r="AK596"/>
      <c r="AL596"/>
      <c r="AM596"/>
      <c r="AN596" s="676"/>
    </row>
    <row r="597" spans="1:60">
      <c r="B597" s="1855"/>
      <c r="C597" s="1855"/>
      <c r="D597" s="1855"/>
      <c r="E597" s="1855"/>
      <c r="F597" s="1855"/>
      <c r="G597" s="1855"/>
      <c r="H597" s="1855"/>
      <c r="I597" s="1855"/>
      <c r="J597" s="1855"/>
      <c r="K597" s="1855"/>
      <c r="L597" s="1855"/>
      <c r="M597" s="1855"/>
      <c r="N597" s="1855"/>
      <c r="O597" s="1855"/>
      <c r="P597" s="1855"/>
      <c r="Q597" s="1855"/>
      <c r="R597" s="1855"/>
      <c r="S597" s="1855"/>
      <c r="T597" s="1855"/>
      <c r="U597" s="1855"/>
      <c r="V597" s="1855"/>
      <c r="W597" s="1855"/>
      <c r="X597" s="1855"/>
      <c r="Y597" s="1855"/>
      <c r="Z597" s="1855"/>
      <c r="AA597" s="1855"/>
      <c r="AB597" s="1855"/>
      <c r="AC597" s="1855"/>
      <c r="AD597" s="1855"/>
      <c r="AE597" s="1855"/>
      <c r="AF597" s="1855"/>
      <c r="AG597" s="1855"/>
      <c r="AH597" s="1855"/>
      <c r="AK597"/>
      <c r="AL597"/>
      <c r="AM597"/>
      <c r="BD597" s="21"/>
      <c r="BE597" s="21"/>
      <c r="BF597" s="21"/>
      <c r="BG597" s="21"/>
      <c r="BH597" s="21"/>
    </row>
    <row r="598" spans="1:60" ht="12.75" customHeight="1">
      <c r="B598" s="1855"/>
      <c r="C598" s="1855"/>
      <c r="D598" s="1855"/>
      <c r="E598" s="1855"/>
      <c r="F598" s="1855"/>
      <c r="G598" s="1855"/>
      <c r="H598" s="1855"/>
      <c r="I598" s="1855"/>
      <c r="J598" s="1855"/>
      <c r="K598" s="1855"/>
      <c r="L598" s="1855"/>
      <c r="M598" s="1855"/>
      <c r="N598" s="1855"/>
      <c r="O598" s="1855"/>
      <c r="P598" s="1855"/>
      <c r="Q598" s="1855"/>
      <c r="R598" s="1855"/>
      <c r="S598" s="1855"/>
      <c r="T598" s="1855"/>
      <c r="U598" s="1855"/>
      <c r="V598" s="1855"/>
      <c r="W598" s="1855"/>
      <c r="X598" s="1855"/>
      <c r="Y598" s="1855"/>
      <c r="Z598" s="1855"/>
      <c r="AA598" s="1855"/>
      <c r="AB598" s="1855"/>
      <c r="AC598" s="1855"/>
      <c r="AD598" s="1855"/>
      <c r="AE598" s="1855"/>
      <c r="AF598" s="1855"/>
      <c r="AG598" s="1855"/>
      <c r="AH598" s="1855"/>
    </row>
    <row r="599" spans="1:60" ht="12.75" customHeight="1">
      <c r="E599" s="162"/>
    </row>
    <row r="600" spans="1:60">
      <c r="J600" s="1793" t="s">
        <v>831</v>
      </c>
      <c r="K600" s="1794"/>
      <c r="L600" s="1794"/>
      <c r="M600" s="1794"/>
      <c r="N600" s="1795"/>
      <c r="O600" s="1120" t="s">
        <v>1571</v>
      </c>
      <c r="P600" s="1121"/>
      <c r="Q600" s="1121"/>
      <c r="R600" s="1121"/>
      <c r="S600" s="1122"/>
      <c r="T600" s="1120" t="s">
        <v>1841</v>
      </c>
      <c r="U600" s="1121"/>
      <c r="V600" s="1121"/>
      <c r="W600" s="1121"/>
      <c r="X600" s="1122"/>
      <c r="Y600" s="1120" t="s">
        <v>1572</v>
      </c>
      <c r="Z600" s="1121"/>
      <c r="AA600" s="1121"/>
      <c r="AB600" s="1121"/>
      <c r="AC600" s="1122"/>
      <c r="AF600"/>
      <c r="AG600"/>
      <c r="AH600"/>
      <c r="AI600"/>
      <c r="AJ600"/>
    </row>
    <row r="601" spans="1:60">
      <c r="D601"/>
      <c r="E601"/>
      <c r="F601"/>
      <c r="G601"/>
      <c r="H601"/>
      <c r="I601"/>
      <c r="J601" s="1796"/>
      <c r="K601" s="1797"/>
      <c r="L601" s="1797"/>
      <c r="M601" s="1797"/>
      <c r="N601" s="1798"/>
      <c r="O601" s="1123"/>
      <c r="P601" s="1124"/>
      <c r="Q601" s="1124"/>
      <c r="R601" s="1124"/>
      <c r="S601" s="1125"/>
      <c r="T601" s="1123"/>
      <c r="U601" s="1124"/>
      <c r="V601" s="1124"/>
      <c r="W601" s="1124"/>
      <c r="X601" s="1125"/>
      <c r="Y601" s="1123"/>
      <c r="Z601" s="1124"/>
      <c r="AA601" s="1124"/>
      <c r="AB601" s="1124"/>
      <c r="AC601" s="1125"/>
      <c r="AF601"/>
      <c r="AG601"/>
      <c r="AH601"/>
      <c r="AI601"/>
      <c r="AJ601"/>
    </row>
    <row r="602" spans="1:60">
      <c r="I602"/>
      <c r="J602" s="1796"/>
      <c r="K602" s="1797"/>
      <c r="L602" s="1797"/>
      <c r="M602" s="1797"/>
      <c r="N602" s="1798"/>
      <c r="O602" s="1123"/>
      <c r="P602" s="1124"/>
      <c r="Q602" s="1124"/>
      <c r="R602" s="1124"/>
      <c r="S602" s="1125"/>
      <c r="T602" s="1123"/>
      <c r="U602" s="1124"/>
      <c r="V602" s="1124"/>
      <c r="W602" s="1124"/>
      <c r="X602" s="1125"/>
      <c r="Y602" s="1123"/>
      <c r="Z602" s="1124"/>
      <c r="AA602" s="1124"/>
      <c r="AB602" s="1124"/>
      <c r="AC602" s="1125"/>
      <c r="AD602"/>
      <c r="AF602"/>
      <c r="AG602"/>
      <c r="AH602"/>
      <c r="AI602"/>
      <c r="AJ602"/>
    </row>
    <row r="603" spans="1:60">
      <c r="D603"/>
      <c r="E603"/>
      <c r="F603"/>
      <c r="G603"/>
      <c r="H603"/>
      <c r="I603"/>
      <c r="J603" s="1796"/>
      <c r="K603" s="1797"/>
      <c r="L603" s="1797"/>
      <c r="M603" s="1797"/>
      <c r="N603" s="1798"/>
      <c r="O603" s="1123"/>
      <c r="P603" s="1124"/>
      <c r="Q603" s="1124"/>
      <c r="R603" s="1124"/>
      <c r="S603" s="1125"/>
      <c r="T603" s="1123"/>
      <c r="U603" s="1124"/>
      <c r="V603" s="1124"/>
      <c r="W603" s="1124"/>
      <c r="X603" s="1125"/>
      <c r="Y603" s="1123"/>
      <c r="Z603" s="1124"/>
      <c r="AA603" s="1124"/>
      <c r="AB603" s="1124"/>
      <c r="AC603" s="1125"/>
      <c r="AD603"/>
      <c r="AF603"/>
      <c r="AG603"/>
      <c r="AH603"/>
      <c r="AI603"/>
      <c r="AJ603"/>
    </row>
    <row r="604" spans="1:60">
      <c r="D604"/>
      <c r="E604"/>
      <c r="F604"/>
      <c r="G604"/>
      <c r="H604"/>
      <c r="I604"/>
      <c r="J604" s="1713" t="s">
        <v>238</v>
      </c>
      <c r="K604" s="1714"/>
      <c r="L604" s="1714"/>
      <c r="M604" s="1714"/>
      <c r="N604" s="1715"/>
      <c r="O604" s="1643">
        <f>Application!CM613</f>
        <v>0</v>
      </c>
      <c r="P604" s="1644"/>
      <c r="Q604" s="1644"/>
      <c r="R604" s="1644"/>
      <c r="S604" s="1645"/>
      <c r="T604" s="1643">
        <f>Application!DR614</f>
        <v>0</v>
      </c>
      <c r="U604" s="1644"/>
      <c r="V604" s="1644"/>
      <c r="W604" s="1644"/>
      <c r="X604" s="1645"/>
      <c r="Y604" s="1716">
        <f t="shared" ref="Y604:Y609" si="8">IF(T604&gt;0,T604/O604,0)</f>
        <v>0</v>
      </c>
      <c r="Z604" s="1717"/>
      <c r="AA604" s="1717"/>
      <c r="AB604" s="1717"/>
      <c r="AC604" s="1718"/>
      <c r="AD604"/>
      <c r="AF604"/>
      <c r="AG604"/>
      <c r="AH604"/>
      <c r="AI604"/>
      <c r="AJ604"/>
    </row>
    <row r="605" spans="1:60">
      <c r="D605"/>
      <c r="E605"/>
      <c r="F605"/>
      <c r="G605"/>
      <c r="H605"/>
      <c r="I605"/>
      <c r="J605" s="1713" t="s">
        <v>35</v>
      </c>
      <c r="K605" s="1714"/>
      <c r="L605" s="1714"/>
      <c r="M605" s="1714"/>
      <c r="N605" s="1715"/>
      <c r="O605" s="1643">
        <f>Application!CH613</f>
        <v>0</v>
      </c>
      <c r="P605" s="1644"/>
      <c r="Q605" s="1644"/>
      <c r="R605" s="1644"/>
      <c r="S605" s="1645"/>
      <c r="T605" s="1643">
        <f>Application!DM614</f>
        <v>0</v>
      </c>
      <c r="U605" s="1644"/>
      <c r="V605" s="1644"/>
      <c r="W605" s="1644"/>
      <c r="X605" s="1645"/>
      <c r="Y605" s="1716">
        <f t="shared" si="8"/>
        <v>0</v>
      </c>
      <c r="Z605" s="1717"/>
      <c r="AA605" s="1717"/>
      <c r="AB605" s="1717"/>
      <c r="AC605" s="1718"/>
      <c r="AD605"/>
      <c r="AF605"/>
      <c r="AG605"/>
      <c r="AH605"/>
      <c r="AI605"/>
      <c r="AJ605"/>
      <c r="AO605" s="4"/>
    </row>
    <row r="606" spans="1:60">
      <c r="D606"/>
      <c r="E606"/>
      <c r="F606"/>
      <c r="G606"/>
      <c r="H606"/>
      <c r="I606"/>
      <c r="J606" s="1713" t="s">
        <v>278</v>
      </c>
      <c r="K606" s="1714"/>
      <c r="L606" s="1714"/>
      <c r="M606" s="1714"/>
      <c r="N606" s="1715"/>
      <c r="O606" s="1643">
        <f>Application!CC613</f>
        <v>9</v>
      </c>
      <c r="P606" s="1644"/>
      <c r="Q606" s="1644"/>
      <c r="R606" s="1644"/>
      <c r="S606" s="1645"/>
      <c r="T606" s="1643">
        <f>Application!DH614</f>
        <v>1</v>
      </c>
      <c r="U606" s="1644"/>
      <c r="V606" s="1644"/>
      <c r="W606" s="1644"/>
      <c r="X606" s="1645"/>
      <c r="Y606" s="1716">
        <f t="shared" si="8"/>
        <v>0.1111111111111111</v>
      </c>
      <c r="Z606" s="1717"/>
      <c r="AA606" s="1717"/>
      <c r="AB606" s="1717"/>
      <c r="AC606" s="1718"/>
      <c r="AD606"/>
      <c r="AF606"/>
      <c r="AG606"/>
      <c r="AH606"/>
      <c r="AI606"/>
      <c r="AJ606"/>
    </row>
    <row r="607" spans="1:60">
      <c r="D607"/>
      <c r="E607"/>
      <c r="F607"/>
      <c r="G607"/>
      <c r="H607"/>
      <c r="I607"/>
      <c r="J607" s="1713" t="s">
        <v>277</v>
      </c>
      <c r="K607" s="1714"/>
      <c r="L607" s="1714"/>
      <c r="M607" s="1714"/>
      <c r="N607" s="1715"/>
      <c r="O607" s="1643">
        <f>Application!BX613</f>
        <v>7</v>
      </c>
      <c r="P607" s="1644"/>
      <c r="Q607" s="1644"/>
      <c r="R607" s="1644"/>
      <c r="S607" s="1645"/>
      <c r="T607" s="1643">
        <f>Application!DC614</f>
        <v>1</v>
      </c>
      <c r="U607" s="1644"/>
      <c r="V607" s="1644"/>
      <c r="W607" s="1644"/>
      <c r="X607" s="1645"/>
      <c r="Y607" s="1716">
        <f t="shared" si="8"/>
        <v>0.14285714285714285</v>
      </c>
      <c r="Z607" s="1717"/>
      <c r="AA607" s="1717"/>
      <c r="AB607" s="1717"/>
      <c r="AC607" s="1718"/>
      <c r="AD607"/>
      <c r="AF607"/>
      <c r="AG607"/>
      <c r="AH607"/>
      <c r="AI607"/>
      <c r="AJ607"/>
    </row>
    <row r="608" spans="1:60">
      <c r="D608"/>
      <c r="E608"/>
      <c r="F608"/>
      <c r="G608"/>
      <c r="H608"/>
      <c r="I608"/>
      <c r="J608" s="1713" t="s">
        <v>276</v>
      </c>
      <c r="K608" s="1714"/>
      <c r="L608" s="1714"/>
      <c r="M608" s="1714"/>
      <c r="N608" s="1715"/>
      <c r="O608" s="1643">
        <f>Application!BS613</f>
        <v>12</v>
      </c>
      <c r="P608" s="1644"/>
      <c r="Q608" s="1644"/>
      <c r="R608" s="1644"/>
      <c r="S608" s="1645"/>
      <c r="T608" s="1643">
        <f>Application!CX614</f>
        <v>1</v>
      </c>
      <c r="U608" s="1644"/>
      <c r="V608" s="1644"/>
      <c r="W608" s="1644"/>
      <c r="X608" s="1645"/>
      <c r="Y608" s="1716">
        <f t="shared" si="8"/>
        <v>8.3333333333333329E-2</v>
      </c>
      <c r="Z608" s="1717"/>
      <c r="AA608" s="1717"/>
      <c r="AB608" s="1717"/>
      <c r="AC608" s="1718"/>
      <c r="AD608"/>
      <c r="AF608"/>
      <c r="AG608"/>
      <c r="AH608"/>
      <c r="AI608"/>
      <c r="AJ608"/>
    </row>
    <row r="609" spans="1:60">
      <c r="D609"/>
      <c r="E609"/>
      <c r="F609"/>
      <c r="G609"/>
      <c r="H609"/>
      <c r="I609"/>
      <c r="J609" s="1713" t="s">
        <v>649</v>
      </c>
      <c r="K609" s="1714"/>
      <c r="L609" s="1714"/>
      <c r="M609" s="1714"/>
      <c r="N609" s="1715"/>
      <c r="O609" s="1643">
        <f>Application!BN613</f>
        <v>0</v>
      </c>
      <c r="P609" s="1644"/>
      <c r="Q609" s="1644"/>
      <c r="R609" s="1644"/>
      <c r="S609" s="1645"/>
      <c r="T609" s="1643">
        <f>Application!CS614</f>
        <v>0</v>
      </c>
      <c r="U609" s="1644"/>
      <c r="V609" s="1644"/>
      <c r="W609" s="1644"/>
      <c r="X609" s="1645"/>
      <c r="Y609" s="1716">
        <f t="shared" si="8"/>
        <v>0</v>
      </c>
      <c r="Z609" s="1717"/>
      <c r="AA609" s="1717"/>
      <c r="AB609" s="1717"/>
      <c r="AC609" s="1718"/>
      <c r="AD609"/>
      <c r="AF609"/>
      <c r="AG609"/>
      <c r="AH609"/>
      <c r="AI609"/>
      <c r="AJ609"/>
    </row>
    <row r="610" spans="1:60">
      <c r="D610"/>
      <c r="E610"/>
      <c r="F610"/>
      <c r="G610"/>
      <c r="H610"/>
      <c r="I610"/>
      <c r="J610" s="1550" t="s">
        <v>915</v>
      </c>
      <c r="K610" s="1551"/>
      <c r="L610" s="1551"/>
      <c r="M610" s="1551"/>
      <c r="N610" s="1552"/>
      <c r="O610" s="1800">
        <f>SUM(O604:S609)</f>
        <v>28</v>
      </c>
      <c r="P610" s="1801"/>
      <c r="Q610" s="1801"/>
      <c r="R610" s="1801"/>
      <c r="S610" s="1802"/>
      <c r="T610" s="1800">
        <f>SUM(T604:X609)</f>
        <v>3</v>
      </c>
      <c r="U610" s="1801"/>
      <c r="V610" s="1801"/>
      <c r="W610" s="1801"/>
      <c r="X610" s="1802"/>
      <c r="Y610" s="1790" t="s">
        <v>245</v>
      </c>
      <c r="Z610" s="1791"/>
      <c r="AA610" s="1791"/>
      <c r="AB610" s="1791"/>
      <c r="AC610" s="1792"/>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89" t="s">
        <v>1575</v>
      </c>
      <c r="B613" s="1090"/>
      <c r="C613" s="1090"/>
      <c r="D613" s="1090"/>
      <c r="E613" s="1090"/>
      <c r="F613" s="1090"/>
      <c r="G613" s="1090"/>
      <c r="H613" s="1090"/>
      <c r="I613" s="1090"/>
      <c r="J613" s="1090"/>
      <c r="K613" s="1090"/>
      <c r="L613" s="1090"/>
      <c r="M613" s="1090"/>
      <c r="N613" s="1090"/>
      <c r="O613" s="1090"/>
      <c r="P613" s="1090"/>
      <c r="Q613" s="1090"/>
      <c r="R613" s="1090"/>
      <c r="S613" s="1090"/>
      <c r="T613" s="1090"/>
      <c r="U613" s="1090"/>
      <c r="V613" s="1090"/>
      <c r="W613" s="1090"/>
      <c r="X613" s="1090"/>
      <c r="Y613" s="1090"/>
      <c r="Z613" s="1090"/>
      <c r="AA613" s="1090"/>
      <c r="AB613" s="1090"/>
      <c r="AC613" s="1090"/>
      <c r="AD613" s="1090"/>
      <c r="AE613" s="1090"/>
      <c r="AF613" s="1090"/>
      <c r="AG613" s="1090"/>
      <c r="AH613" s="1090"/>
      <c r="AI613" s="1092"/>
      <c r="AJ613" s="1820">
        <v>2</v>
      </c>
      <c r="AK613" s="1821"/>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99" t="s">
        <v>190</v>
      </c>
      <c r="B615" s="1799"/>
      <c r="C615" s="1799"/>
      <c r="D615" s="1799"/>
      <c r="E615" s="1799"/>
      <c r="F615" s="1799"/>
      <c r="G615" s="1799"/>
      <c r="H615" s="1799"/>
      <c r="I615" s="1799"/>
      <c r="J615" s="1799"/>
      <c r="K615" s="1799"/>
      <c r="L615" s="1799"/>
      <c r="M615" s="1799"/>
      <c r="N615" s="1799"/>
      <c r="O615" s="1799"/>
      <c r="P615" s="1799"/>
      <c r="Q615" s="1799"/>
      <c r="R615" s="1799"/>
      <c r="S615" s="1799"/>
      <c r="T615" s="1799"/>
      <c r="U615" s="1799"/>
      <c r="V615" s="1799"/>
      <c r="W615" s="1799"/>
      <c r="X615" s="1799"/>
      <c r="Y615" s="1799"/>
      <c r="Z615" s="1799"/>
      <c r="AA615" s="1799"/>
      <c r="AB615" s="1799"/>
      <c r="AC615" s="1799"/>
      <c r="AD615" s="1799"/>
      <c r="AE615" s="1799"/>
      <c r="AF615" s="1799"/>
      <c r="AG615" s="1799"/>
      <c r="AH615" s="1799"/>
      <c r="AI615" s="1799"/>
      <c r="AJ615" s="1799"/>
      <c r="AK615" s="1237">
        <f>IF($AC$589=0,0,$AC$589+$AJ$613)</f>
        <v>52</v>
      </c>
      <c r="AL615" s="1238"/>
      <c r="AM615" s="1240"/>
      <c r="AO615" s="4"/>
    </row>
    <row r="616" spans="1:60" ht="13.6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65"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65" customHeight="1">
      <c r="A618" s="18"/>
      <c r="AI618" s="19"/>
      <c r="AJ618" s="4"/>
      <c r="AK618" s="4"/>
      <c r="AL618" s="4"/>
      <c r="AM618" s="4"/>
    </row>
    <row r="619" spans="1:60">
      <c r="A619" s="20"/>
      <c r="B619" s="1664" t="s">
        <v>1576</v>
      </c>
      <c r="C619" s="1664"/>
      <c r="D619" s="1664"/>
      <c r="E619" s="1664"/>
      <c r="F619" s="1664"/>
      <c r="G619" s="1664"/>
      <c r="H619" s="1664"/>
      <c r="I619" s="1664"/>
      <c r="J619" s="1664"/>
      <c r="K619" s="1664"/>
      <c r="L619" s="1664"/>
      <c r="M619" s="1664"/>
      <c r="N619" s="1664"/>
      <c r="O619" s="1664"/>
      <c r="P619" s="1664"/>
      <c r="Q619" s="1664"/>
      <c r="R619" s="1664"/>
      <c r="S619" s="1664"/>
      <c r="T619" s="1664"/>
      <c r="U619" s="1664"/>
      <c r="V619" s="1664"/>
      <c r="W619" s="1664"/>
      <c r="X619" s="1664"/>
      <c r="Y619" s="1664"/>
      <c r="Z619" s="1664"/>
      <c r="AA619" s="1664"/>
      <c r="AB619" s="1664"/>
      <c r="AC619" s="1664"/>
      <c r="AD619" s="1664"/>
      <c r="AE619" s="1664"/>
      <c r="AF619" s="1664"/>
      <c r="AG619" s="1664"/>
      <c r="AH619" s="1664"/>
      <c r="AI619" s="19"/>
      <c r="AJ619" s="4"/>
      <c r="AK619" s="4"/>
      <c r="AL619" s="4"/>
      <c r="AM619" s="4"/>
    </row>
    <row r="620" spans="1:60">
      <c r="A620" s="4"/>
      <c r="B620" s="1664"/>
      <c r="C620" s="1664"/>
      <c r="D620" s="1664"/>
      <c r="E620" s="1664"/>
      <c r="F620" s="1664"/>
      <c r="G620" s="1664"/>
      <c r="H620" s="1664"/>
      <c r="I620" s="1664"/>
      <c r="J620" s="1664"/>
      <c r="K620" s="1664"/>
      <c r="L620" s="1664"/>
      <c r="M620" s="1664"/>
      <c r="N620" s="1664"/>
      <c r="O620" s="1664"/>
      <c r="P620" s="1664"/>
      <c r="Q620" s="1664"/>
      <c r="R620" s="1664"/>
      <c r="S620" s="1664"/>
      <c r="T620" s="1664"/>
      <c r="U620" s="1664"/>
      <c r="V620" s="1664"/>
      <c r="W620" s="1664"/>
      <c r="X620" s="1664"/>
      <c r="Y620" s="1664"/>
      <c r="Z620" s="1664"/>
      <c r="AA620" s="1664"/>
      <c r="AB620" s="1664"/>
      <c r="AC620" s="1664"/>
      <c r="AD620" s="1664"/>
      <c r="AE620" s="1664"/>
      <c r="AF620" s="1664"/>
      <c r="AG620" s="1664"/>
      <c r="AH620" s="1664"/>
      <c r="AI620" s="4"/>
      <c r="AJ620" s="4"/>
      <c r="AK620" s="4"/>
      <c r="AL620" s="4"/>
      <c r="AM620" s="4"/>
    </row>
    <row r="621" spans="1:60" ht="13.65"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6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09" t="s">
        <v>115</v>
      </c>
      <c r="D623" s="1109"/>
      <c r="E623" s="185"/>
      <c r="F623" s="1630" t="s">
        <v>2352</v>
      </c>
      <c r="G623" s="1631"/>
      <c r="H623" s="1631"/>
      <c r="I623" s="1631"/>
      <c r="J623" s="1631"/>
      <c r="K623" s="1631"/>
      <c r="L623" s="1631"/>
      <c r="M623" s="1631"/>
      <c r="N623" s="1631"/>
      <c r="O623" s="1631"/>
      <c r="P623" s="1631"/>
      <c r="Q623" s="1631"/>
      <c r="R623" s="1631"/>
      <c r="S623" s="1631"/>
      <c r="T623" s="1631"/>
      <c r="U623" s="1631"/>
      <c r="V623" s="1631"/>
      <c r="W623" s="1631"/>
      <c r="X623" s="1631"/>
      <c r="Y623" s="1631"/>
      <c r="Z623" s="1631"/>
      <c r="AA623" s="1631"/>
      <c r="AB623" s="1631"/>
      <c r="AC623" s="1631"/>
      <c r="AD623" s="1631"/>
      <c r="AE623" s="1632"/>
      <c r="AF623" s="175"/>
      <c r="AG623" s="1007" t="s">
        <v>980</v>
      </c>
      <c r="AH623" s="1007"/>
      <c r="AI623" s="1007"/>
      <c r="AJ623" s="1007"/>
      <c r="AK623" s="4"/>
      <c r="AL623" s="4"/>
      <c r="AM623" s="4"/>
      <c r="AO623" s="4"/>
      <c r="AP623" s="35"/>
    </row>
    <row r="624" spans="1:60">
      <c r="A624" s="4"/>
      <c r="B624" s="20"/>
      <c r="C624" s="45"/>
      <c r="D624" s="4"/>
      <c r="E624" s="185"/>
      <c r="F624" s="1633"/>
      <c r="G624" s="1634"/>
      <c r="H624" s="1634"/>
      <c r="I624" s="1634"/>
      <c r="J624" s="1634"/>
      <c r="K624" s="1634"/>
      <c r="L624" s="1634"/>
      <c r="M624" s="1634"/>
      <c r="N624" s="1634"/>
      <c r="O624" s="1634"/>
      <c r="P624" s="1634"/>
      <c r="Q624" s="1634"/>
      <c r="R624" s="1634"/>
      <c r="S624" s="1634"/>
      <c r="T624" s="1634"/>
      <c r="U624" s="1634"/>
      <c r="V624" s="1634"/>
      <c r="W624" s="1634"/>
      <c r="X624" s="1634"/>
      <c r="Y624" s="1634"/>
      <c r="Z624" s="1634"/>
      <c r="AA624" s="1634"/>
      <c r="AB624" s="1634"/>
      <c r="AC624" s="1634"/>
      <c r="AD624" s="1634"/>
      <c r="AE624" s="1635"/>
      <c r="AF624" s="175"/>
      <c r="AG624" s="175"/>
      <c r="AH624" s="175"/>
      <c r="AI624" s="175"/>
      <c r="AJ624" s="4"/>
      <c r="AK624" s="4"/>
      <c r="AL624" s="4"/>
      <c r="AM624" s="4"/>
    </row>
    <row r="625" spans="1:60" ht="13.65" customHeight="1">
      <c r="A625" s="4"/>
      <c r="B625" s="20"/>
      <c r="C625" s="45"/>
      <c r="D625" s="4"/>
      <c r="E625" s="185"/>
      <c r="F625" s="1636"/>
      <c r="G625" s="1637"/>
      <c r="H625" s="1637"/>
      <c r="I625" s="1637"/>
      <c r="J625" s="1637"/>
      <c r="K625" s="1637"/>
      <c r="L625" s="1637"/>
      <c r="M625" s="1637"/>
      <c r="N625" s="1637"/>
      <c r="O625" s="1637"/>
      <c r="P625" s="1637"/>
      <c r="Q625" s="1637"/>
      <c r="R625" s="1637"/>
      <c r="S625" s="1637"/>
      <c r="T625" s="1637"/>
      <c r="U625" s="1637"/>
      <c r="V625" s="1637"/>
      <c r="W625" s="1637"/>
      <c r="X625" s="1637"/>
      <c r="Y625" s="1637"/>
      <c r="Z625" s="1637"/>
      <c r="AA625" s="1637"/>
      <c r="AB625" s="1637"/>
      <c r="AC625" s="1637"/>
      <c r="AD625" s="1637"/>
      <c r="AE625" s="1638"/>
      <c r="AF625" s="175"/>
      <c r="AG625" s="175"/>
      <c r="AH625" s="175"/>
      <c r="AI625" s="175"/>
      <c r="AJ625" s="4"/>
      <c r="AK625" s="4"/>
      <c r="AL625" s="4"/>
      <c r="AM625" s="4"/>
    </row>
    <row r="626" spans="1:60" ht="13.6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65" customHeight="1">
      <c r="A627" s="4"/>
      <c r="B627" s="1664" t="s">
        <v>2357</v>
      </c>
      <c r="C627" s="1664"/>
      <c r="D627" s="1664"/>
      <c r="E627" s="1664"/>
      <c r="F627" s="1664"/>
      <c r="G627" s="1664"/>
      <c r="H627" s="1664"/>
      <c r="I627" s="1664"/>
      <c r="J627" s="1664"/>
      <c r="K627" s="1664"/>
      <c r="L627" s="1664"/>
      <c r="M627" s="1664"/>
      <c r="N627" s="1664"/>
      <c r="O627" s="1664"/>
      <c r="P627" s="1664"/>
      <c r="Q627" s="1664"/>
      <c r="R627" s="1664"/>
      <c r="S627" s="1664"/>
      <c r="T627" s="1664"/>
      <c r="U627" s="1664"/>
      <c r="V627" s="1664"/>
      <c r="W627" s="1664"/>
      <c r="X627" s="1664"/>
      <c r="Y627" s="1664"/>
      <c r="Z627" s="1664"/>
      <c r="AA627" s="1664"/>
      <c r="AB627" s="1664"/>
      <c r="AC627" s="1664"/>
      <c r="AD627" s="1664"/>
      <c r="AE627" s="1664"/>
      <c r="AF627" s="1664"/>
      <c r="AG627" s="1664"/>
      <c r="AH627" s="1664"/>
      <c r="AI627" s="175"/>
      <c r="AJ627" s="4"/>
      <c r="AK627" s="4"/>
      <c r="AL627" s="4"/>
      <c r="AM627" s="4"/>
      <c r="AN627" s="79"/>
    </row>
    <row r="628" spans="1:60" ht="13.65" customHeight="1">
      <c r="B628" s="1664"/>
      <c r="C628" s="1664"/>
      <c r="D628" s="1664"/>
      <c r="E628" s="1664"/>
      <c r="F628" s="1664"/>
      <c r="G628" s="1664"/>
      <c r="H628" s="1664"/>
      <c r="I628" s="1664"/>
      <c r="J628" s="1664"/>
      <c r="K628" s="1664"/>
      <c r="L628" s="1664"/>
      <c r="M628" s="1664"/>
      <c r="N628" s="1664"/>
      <c r="O628" s="1664"/>
      <c r="P628" s="1664"/>
      <c r="Q628" s="1664"/>
      <c r="R628" s="1664"/>
      <c r="S628" s="1664"/>
      <c r="T628" s="1664"/>
      <c r="U628" s="1664"/>
      <c r="V628" s="1664"/>
      <c r="W628" s="1664"/>
      <c r="X628" s="1664"/>
      <c r="Y628" s="1664"/>
      <c r="Z628" s="1664"/>
      <c r="AA628" s="1664"/>
      <c r="AB628" s="1664"/>
      <c r="AC628" s="1664"/>
      <c r="AD628" s="1664"/>
      <c r="AE628" s="1664"/>
      <c r="AF628" s="1664"/>
      <c r="AG628" s="1664"/>
      <c r="AH628" s="1664"/>
      <c r="AI628" s="162"/>
      <c r="AJ628" s="4"/>
      <c r="AK628" s="4"/>
      <c r="AL628" s="4"/>
      <c r="AM628" s="4"/>
      <c r="AN628" s="79"/>
      <c r="AR628" s="41"/>
    </row>
    <row r="629" spans="1:60" ht="13.65" customHeight="1">
      <c r="A629" s="4"/>
      <c r="B629" s="1664"/>
      <c r="C629" s="1664"/>
      <c r="D629" s="1664"/>
      <c r="E629" s="1664"/>
      <c r="F629" s="1664"/>
      <c r="G629" s="1664"/>
      <c r="H629" s="1664"/>
      <c r="I629" s="1664"/>
      <c r="J629" s="1664"/>
      <c r="K629" s="1664"/>
      <c r="L629" s="1664"/>
      <c r="M629" s="1664"/>
      <c r="N629" s="1664"/>
      <c r="O629" s="1664"/>
      <c r="P629" s="1664"/>
      <c r="Q629" s="1664"/>
      <c r="R629" s="1664"/>
      <c r="S629" s="1664"/>
      <c r="T629" s="1664"/>
      <c r="U629" s="1664"/>
      <c r="V629" s="1664"/>
      <c r="W629" s="1664"/>
      <c r="X629" s="1664"/>
      <c r="Y629" s="1664"/>
      <c r="Z629" s="1664"/>
      <c r="AA629" s="1664"/>
      <c r="AB629" s="1664"/>
      <c r="AC629" s="1664"/>
      <c r="AD629" s="1664"/>
      <c r="AE629" s="1664"/>
      <c r="AF629" s="1664"/>
      <c r="AG629" s="1664"/>
      <c r="AH629" s="1664"/>
      <c r="AI629" s="162"/>
      <c r="AJ629" s="4"/>
      <c r="AK629" s="4"/>
      <c r="AL629" s="4"/>
      <c r="AM629" s="4"/>
      <c r="AN629" s="79"/>
    </row>
    <row r="630" spans="1:60" ht="13.65" customHeight="1">
      <c r="A630" s="4"/>
      <c r="B630" s="1664"/>
      <c r="C630" s="1664"/>
      <c r="D630" s="1664"/>
      <c r="E630" s="1664"/>
      <c r="F630" s="1664"/>
      <c r="G630" s="1664"/>
      <c r="H630" s="1664"/>
      <c r="I630" s="1664"/>
      <c r="J630" s="1664"/>
      <c r="K630" s="1664"/>
      <c r="L630" s="1664"/>
      <c r="M630" s="1664"/>
      <c r="N630" s="1664"/>
      <c r="O630" s="1664"/>
      <c r="P630" s="1664"/>
      <c r="Q630" s="1664"/>
      <c r="R630" s="1664"/>
      <c r="S630" s="1664"/>
      <c r="T630" s="1664"/>
      <c r="U630" s="1664"/>
      <c r="V630" s="1664"/>
      <c r="W630" s="1664"/>
      <c r="X630" s="1664"/>
      <c r="Y630" s="1664"/>
      <c r="Z630" s="1664"/>
      <c r="AA630" s="1664"/>
      <c r="AB630" s="1664"/>
      <c r="AC630" s="1664"/>
      <c r="AD630" s="1664"/>
      <c r="AE630" s="1664"/>
      <c r="AF630" s="1664"/>
      <c r="AG630" s="1664"/>
      <c r="AH630" s="1664"/>
      <c r="AI630" s="162"/>
      <c r="AJ630" s="4"/>
      <c r="AK630" s="4"/>
      <c r="AL630" s="4"/>
      <c r="AM630" s="4"/>
      <c r="AN630" s="79"/>
    </row>
    <row r="631" spans="1:60" ht="13.65" customHeight="1">
      <c r="A631" s="4"/>
      <c r="B631" s="1664"/>
      <c r="C631" s="1664"/>
      <c r="D631" s="1664"/>
      <c r="E631" s="1664"/>
      <c r="F631" s="1664"/>
      <c r="G631" s="1664"/>
      <c r="H631" s="1664"/>
      <c r="I631" s="1664"/>
      <c r="J631" s="1664"/>
      <c r="K631" s="1664"/>
      <c r="L631" s="1664"/>
      <c r="M631" s="1664"/>
      <c r="N631" s="1664"/>
      <c r="O631" s="1664"/>
      <c r="P631" s="1664"/>
      <c r="Q631" s="1664"/>
      <c r="R631" s="1664"/>
      <c r="S631" s="1664"/>
      <c r="T631" s="1664"/>
      <c r="U631" s="1664"/>
      <c r="V631" s="1664"/>
      <c r="W631" s="1664"/>
      <c r="X631" s="1664"/>
      <c r="Y631" s="1664"/>
      <c r="Z631" s="1664"/>
      <c r="AA631" s="1664"/>
      <c r="AB631" s="1664"/>
      <c r="AC631" s="1664"/>
      <c r="AD631" s="1664"/>
      <c r="AE631" s="1664"/>
      <c r="AF631" s="1664"/>
      <c r="AG631" s="1664"/>
      <c r="AH631" s="1664"/>
      <c r="AI631" s="162"/>
      <c r="AJ631" s="4"/>
      <c r="AK631" s="4"/>
      <c r="AL631" s="4"/>
      <c r="AM631" s="4"/>
      <c r="AN631" s="79"/>
    </row>
    <row r="632" spans="1:60" ht="13.65" customHeight="1">
      <c r="A632" s="4"/>
      <c r="B632" s="1664"/>
      <c r="C632" s="1664"/>
      <c r="D632" s="1664"/>
      <c r="E632" s="1664"/>
      <c r="F632" s="1664"/>
      <c r="G632" s="1664"/>
      <c r="H632" s="1664"/>
      <c r="I632" s="1664"/>
      <c r="J632" s="1664"/>
      <c r="K632" s="1664"/>
      <c r="L632" s="1664"/>
      <c r="M632" s="1664"/>
      <c r="N632" s="1664"/>
      <c r="O632" s="1664"/>
      <c r="P632" s="1664"/>
      <c r="Q632" s="1664"/>
      <c r="R632" s="1664"/>
      <c r="S632" s="1664"/>
      <c r="T632" s="1664"/>
      <c r="U632" s="1664"/>
      <c r="V632" s="1664"/>
      <c r="W632" s="1664"/>
      <c r="X632" s="1664"/>
      <c r="Y632" s="1664"/>
      <c r="Z632" s="1664"/>
      <c r="AA632" s="1664"/>
      <c r="AB632" s="1664"/>
      <c r="AC632" s="1664"/>
      <c r="AD632" s="1664"/>
      <c r="AE632" s="1664"/>
      <c r="AF632" s="1664"/>
      <c r="AG632" s="1664"/>
      <c r="AH632" s="1664"/>
      <c r="AI632" s="162"/>
      <c r="AJ632" s="4"/>
      <c r="AK632" s="4"/>
      <c r="AL632" s="4"/>
      <c r="AM632" s="4"/>
      <c r="AN632" s="79"/>
    </row>
    <row r="633" spans="1:60" ht="13.65" customHeight="1">
      <c r="A633" s="4"/>
      <c r="B633" s="1664"/>
      <c r="C633" s="1664"/>
      <c r="D633" s="1664"/>
      <c r="E633" s="1664"/>
      <c r="F633" s="1664"/>
      <c r="G633" s="1664"/>
      <c r="H633" s="1664"/>
      <c r="I633" s="1664"/>
      <c r="J633" s="1664"/>
      <c r="K633" s="1664"/>
      <c r="L633" s="1664"/>
      <c r="M633" s="1664"/>
      <c r="N633" s="1664"/>
      <c r="O633" s="1664"/>
      <c r="P633" s="1664"/>
      <c r="Q633" s="1664"/>
      <c r="R633" s="1664"/>
      <c r="S633" s="1664"/>
      <c r="T633" s="1664"/>
      <c r="U633" s="1664"/>
      <c r="V633" s="1664"/>
      <c r="W633" s="1664"/>
      <c r="X633" s="1664"/>
      <c r="Y633" s="1664"/>
      <c r="Z633" s="1664"/>
      <c r="AA633" s="1664"/>
      <c r="AB633" s="1664"/>
      <c r="AC633" s="1664"/>
      <c r="AD633" s="1664"/>
      <c r="AE633" s="1664"/>
      <c r="AF633" s="1664"/>
      <c r="AG633" s="1664"/>
      <c r="AH633" s="1664"/>
      <c r="AI633" s="162"/>
      <c r="AJ633" s="4"/>
      <c r="AK633" s="4"/>
      <c r="AL633" s="4"/>
      <c r="AM633" s="4"/>
      <c r="AN633" s="79"/>
    </row>
    <row r="634" spans="1:60">
      <c r="A634" s="4"/>
      <c r="B634" s="1664"/>
      <c r="C634" s="1664"/>
      <c r="D634" s="1664"/>
      <c r="E634" s="1664"/>
      <c r="F634" s="1664"/>
      <c r="G634" s="1664"/>
      <c r="H634" s="1664"/>
      <c r="I634" s="1664"/>
      <c r="J634" s="1664"/>
      <c r="K634" s="1664"/>
      <c r="L634" s="1664"/>
      <c r="M634" s="1664"/>
      <c r="N634" s="1664"/>
      <c r="O634" s="1664"/>
      <c r="P634" s="1664"/>
      <c r="Q634" s="1664"/>
      <c r="R634" s="1664"/>
      <c r="S634" s="1664"/>
      <c r="T634" s="1664"/>
      <c r="U634" s="1664"/>
      <c r="V634" s="1664"/>
      <c r="W634" s="1664"/>
      <c r="X634" s="1664"/>
      <c r="Y634" s="1664"/>
      <c r="Z634" s="1664"/>
      <c r="AA634" s="1664"/>
      <c r="AB634" s="1664"/>
      <c r="AC634" s="1664"/>
      <c r="AD634" s="1664"/>
      <c r="AE634" s="1664"/>
      <c r="AF634" s="1664"/>
      <c r="AG634" s="1664"/>
      <c r="AH634" s="1664"/>
      <c r="AI634" s="162"/>
      <c r="AJ634" s="4"/>
      <c r="AK634" s="4"/>
      <c r="AL634" s="4"/>
      <c r="AM634" s="4"/>
      <c r="AN634" s="79"/>
    </row>
    <row r="635" spans="1:60">
      <c r="A635" s="4"/>
      <c r="B635" s="1664"/>
      <c r="C635" s="1664"/>
      <c r="D635" s="1664"/>
      <c r="E635" s="1664"/>
      <c r="F635" s="1664"/>
      <c r="G635" s="1664"/>
      <c r="H635" s="1664"/>
      <c r="I635" s="1664"/>
      <c r="J635" s="1664"/>
      <c r="K635" s="1664"/>
      <c r="L635" s="1664"/>
      <c r="M635" s="1664"/>
      <c r="N635" s="1664"/>
      <c r="O635" s="1664"/>
      <c r="P635" s="1664"/>
      <c r="Q635" s="1664"/>
      <c r="R635" s="1664"/>
      <c r="S635" s="1664"/>
      <c r="T635" s="1664"/>
      <c r="U635" s="1664"/>
      <c r="V635" s="1664"/>
      <c r="W635" s="1664"/>
      <c r="X635" s="1664"/>
      <c r="Y635" s="1664"/>
      <c r="Z635" s="1664"/>
      <c r="AA635" s="1664"/>
      <c r="AB635" s="1664"/>
      <c r="AC635" s="1664"/>
      <c r="AD635" s="1664"/>
      <c r="AE635" s="1664"/>
      <c r="AF635" s="1664"/>
      <c r="AG635" s="1664"/>
      <c r="AH635" s="1664"/>
      <c r="AI635" s="162"/>
      <c r="AJ635" s="4"/>
      <c r="AK635" s="4"/>
      <c r="AL635" s="4"/>
      <c r="AM635" s="4"/>
      <c r="AN635" s="79"/>
    </row>
    <row r="636" spans="1:60">
      <c r="A636" s="4"/>
      <c r="B636" s="1664"/>
      <c r="C636" s="1664"/>
      <c r="D636" s="1664"/>
      <c r="E636" s="1664"/>
      <c r="F636" s="1664"/>
      <c r="G636" s="1664"/>
      <c r="H636" s="1664"/>
      <c r="I636" s="1664"/>
      <c r="J636" s="1664"/>
      <c r="K636" s="1664"/>
      <c r="L636" s="1664"/>
      <c r="M636" s="1664"/>
      <c r="N636" s="1664"/>
      <c r="O636" s="1664"/>
      <c r="P636" s="1664"/>
      <c r="Q636" s="1664"/>
      <c r="R636" s="1664"/>
      <c r="S636" s="1664"/>
      <c r="T636" s="1664"/>
      <c r="U636" s="1664"/>
      <c r="V636" s="1664"/>
      <c r="W636" s="1664"/>
      <c r="X636" s="1664"/>
      <c r="Y636" s="1664"/>
      <c r="Z636" s="1664"/>
      <c r="AA636" s="1664"/>
      <c r="AB636" s="1664"/>
      <c r="AC636" s="1664"/>
      <c r="AD636" s="1664"/>
      <c r="AE636" s="1664"/>
      <c r="AF636" s="1664"/>
      <c r="AG636" s="1664"/>
      <c r="AH636" s="1664"/>
      <c r="AI636" s="162"/>
      <c r="AJ636" s="4"/>
      <c r="AK636" s="4"/>
      <c r="AL636" s="4"/>
      <c r="AM636" s="4"/>
      <c r="AN636" s="79"/>
    </row>
    <row r="637" spans="1:60">
      <c r="A637" s="4"/>
      <c r="B637" s="1664"/>
      <c r="C637" s="1664"/>
      <c r="D637" s="1664"/>
      <c r="E637" s="1664"/>
      <c r="F637" s="1664"/>
      <c r="G637" s="1664"/>
      <c r="H637" s="1664"/>
      <c r="I637" s="1664"/>
      <c r="J637" s="1664"/>
      <c r="K637" s="1664"/>
      <c r="L637" s="1664"/>
      <c r="M637" s="1664"/>
      <c r="N637" s="1664"/>
      <c r="O637" s="1664"/>
      <c r="P637" s="1664"/>
      <c r="Q637" s="1664"/>
      <c r="R637" s="1664"/>
      <c r="S637" s="1664"/>
      <c r="T637" s="1664"/>
      <c r="U637" s="1664"/>
      <c r="V637" s="1664"/>
      <c r="W637" s="1664"/>
      <c r="X637" s="1664"/>
      <c r="Y637" s="1664"/>
      <c r="Z637" s="1664"/>
      <c r="AA637" s="1664"/>
      <c r="AB637" s="1664"/>
      <c r="AC637" s="1664"/>
      <c r="AD637" s="1664"/>
      <c r="AE637" s="1664"/>
      <c r="AF637" s="1664"/>
      <c r="AG637" s="1664"/>
      <c r="AH637" s="1664"/>
      <c r="AI637" s="162"/>
      <c r="AJ637" s="4"/>
      <c r="AK637" s="4"/>
      <c r="AL637" s="4"/>
      <c r="AM637" s="4"/>
      <c r="AN637" s="79"/>
    </row>
    <row r="638" spans="1:60" s="651" customFormat="1" ht="12.45" customHeight="1">
      <c r="A638" s="4"/>
      <c r="B638" s="1664"/>
      <c r="C638" s="1664"/>
      <c r="D638" s="1664"/>
      <c r="E638" s="1664"/>
      <c r="F638" s="1664"/>
      <c r="G638" s="1664"/>
      <c r="H638" s="1664"/>
      <c r="I638" s="1664"/>
      <c r="J638" s="1664"/>
      <c r="K638" s="1664"/>
      <c r="L638" s="1664"/>
      <c r="M638" s="1664"/>
      <c r="N638" s="1664"/>
      <c r="O638" s="1664"/>
      <c r="P638" s="1664"/>
      <c r="Q638" s="1664"/>
      <c r="R638" s="1664"/>
      <c r="S638" s="1664"/>
      <c r="T638" s="1664"/>
      <c r="U638" s="1664"/>
      <c r="V638" s="1664"/>
      <c r="W638" s="1664"/>
      <c r="X638" s="1664"/>
      <c r="Y638" s="1664"/>
      <c r="Z638" s="1664"/>
      <c r="AA638" s="1664"/>
      <c r="AB638" s="1664"/>
      <c r="AC638" s="1664"/>
      <c r="AD638" s="1664"/>
      <c r="AE638" s="1664"/>
      <c r="AF638" s="1664"/>
      <c r="AG638" s="1664"/>
      <c r="AH638" s="1664"/>
      <c r="AI638" s="162"/>
      <c r="AJ638" s="4"/>
      <c r="AK638" s="4"/>
      <c r="AL638" s="4"/>
      <c r="AM638" s="4"/>
      <c r="AN638" s="685"/>
      <c r="BD638" s="653"/>
      <c r="BE638" s="653"/>
      <c r="BF638" s="653"/>
      <c r="BG638" s="653"/>
      <c r="BH638" s="653"/>
    </row>
    <row r="639" spans="1:60">
      <c r="A639" s="4"/>
      <c r="B639" s="1664"/>
      <c r="C639" s="1664"/>
      <c r="D639" s="1664"/>
      <c r="E639" s="1664"/>
      <c r="F639" s="1664"/>
      <c r="G639" s="1664"/>
      <c r="H639" s="1664"/>
      <c r="I639" s="1664"/>
      <c r="J639" s="1664"/>
      <c r="K639" s="1664"/>
      <c r="L639" s="1664"/>
      <c r="M639" s="1664"/>
      <c r="N639" s="1664"/>
      <c r="O639" s="1664"/>
      <c r="P639" s="1664"/>
      <c r="Q639" s="1664"/>
      <c r="R639" s="1664"/>
      <c r="S639" s="1664"/>
      <c r="T639" s="1664"/>
      <c r="U639" s="1664"/>
      <c r="V639" s="1664"/>
      <c r="W639" s="1664"/>
      <c r="X639" s="1664"/>
      <c r="Y639" s="1664"/>
      <c r="Z639" s="1664"/>
      <c r="AA639" s="1664"/>
      <c r="AB639" s="1664"/>
      <c r="AC639" s="1664"/>
      <c r="AD639" s="1664"/>
      <c r="AE639" s="1664"/>
      <c r="AF639" s="1664"/>
      <c r="AG639" s="1664"/>
      <c r="AH639" s="1664"/>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37">
        <f>IF($C$623="yes",10,0)</f>
        <v>10</v>
      </c>
      <c r="AL641" s="1238"/>
      <c r="AM641" s="1240"/>
      <c r="AN641" s="79"/>
      <c r="AO641" s="4"/>
    </row>
    <row r="642" spans="1:49" ht="13.8"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8" thickTop="1">
      <c r="AN643" s="79"/>
      <c r="AO643" s="21"/>
      <c r="AP643"/>
      <c r="AQ643" s="649"/>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09" t="s">
        <v>115</v>
      </c>
      <c r="D646" s="1109"/>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0</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09" t="s">
        <v>131</v>
      </c>
      <c r="D651" s="1109"/>
      <c r="E651" s="185" t="s">
        <v>207</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09" t="s">
        <v>131</v>
      </c>
      <c r="D655" s="1109"/>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9" t="s">
        <v>131</v>
      </c>
      <c r="D659" s="1109"/>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09" t="s">
        <v>131</v>
      </c>
      <c r="D661" s="1109"/>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09" t="s">
        <v>131</v>
      </c>
      <c r="D666" s="1109"/>
      <c r="E666" s="185" t="s">
        <v>293</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09" t="s">
        <v>131</v>
      </c>
      <c r="D669" s="1109"/>
      <c r="E669" s="185" t="s">
        <v>294</v>
      </c>
      <c r="F669" s="1664" t="s">
        <v>2335</v>
      </c>
      <c r="G669" s="1664"/>
      <c r="H669" s="1664"/>
      <c r="I669" s="1664"/>
      <c r="J669" s="1664"/>
      <c r="K669" s="1664"/>
      <c r="L669" s="1664"/>
      <c r="M669" s="1664"/>
      <c r="N669" s="1664"/>
      <c r="O669" s="1664"/>
      <c r="P669" s="1664"/>
      <c r="Q669" s="1664"/>
      <c r="R669" s="1664"/>
      <c r="S669" s="1664"/>
      <c r="T669" s="1664"/>
      <c r="U669" s="1664"/>
      <c r="V669" s="1664"/>
      <c r="W669" s="1664"/>
      <c r="X669" s="1664"/>
      <c r="Y669" s="1664"/>
      <c r="Z669" s="1664"/>
      <c r="AA669" s="1664"/>
      <c r="AB669" s="1664"/>
      <c r="AC669" s="1664"/>
      <c r="AD669" s="1664"/>
      <c r="AE669" s="19"/>
      <c r="AF669" s="19"/>
      <c r="AG669" s="3" t="s">
        <v>110</v>
      </c>
      <c r="AH669" s="19"/>
      <c r="AI669" s="19"/>
      <c r="AJ669" s="4"/>
      <c r="AK669" s="4"/>
      <c r="AL669" s="4"/>
      <c r="AM669" s="4"/>
      <c r="AN669" s="79"/>
      <c r="AO669" s="21"/>
    </row>
    <row r="670" spans="1:41">
      <c r="A670" s="4"/>
      <c r="B670" s="19"/>
      <c r="C670" s="19"/>
      <c r="D670" s="19"/>
      <c r="E670" s="19"/>
      <c r="F670" s="1664"/>
      <c r="G670" s="1664"/>
      <c r="H670" s="1664"/>
      <c r="I670" s="1664"/>
      <c r="J670" s="1664"/>
      <c r="K670" s="1664"/>
      <c r="L670" s="1664"/>
      <c r="M670" s="1664"/>
      <c r="N670" s="1664"/>
      <c r="O670" s="1664"/>
      <c r="P670" s="1664"/>
      <c r="Q670" s="1664"/>
      <c r="R670" s="1664"/>
      <c r="S670" s="1664"/>
      <c r="T670" s="1664"/>
      <c r="U670" s="1664"/>
      <c r="V670" s="1664"/>
      <c r="W670" s="1664"/>
      <c r="X670" s="1664"/>
      <c r="Y670" s="1664"/>
      <c r="Z670" s="1664"/>
      <c r="AA670" s="1664"/>
      <c r="AB670" s="1664"/>
      <c r="AC670" s="1664"/>
      <c r="AD670" s="1664"/>
      <c r="AE670" s="19"/>
      <c r="AF670" s="19"/>
      <c r="AG670" s="19"/>
      <c r="AH670" s="19"/>
      <c r="AI670" s="19"/>
      <c r="AJ670" s="4"/>
      <c r="AK670" s="4"/>
      <c r="AL670" s="4"/>
      <c r="AM670" s="4"/>
      <c r="AN670" s="79"/>
      <c r="AO670" s="21"/>
    </row>
    <row r="671" spans="1:41" ht="0.75" customHeight="1">
      <c r="A671" s="4"/>
      <c r="B671" s="19"/>
      <c r="C671" s="19"/>
      <c r="D671" s="19"/>
      <c r="E671" s="19"/>
      <c r="F671" s="1664"/>
      <c r="G671" s="1664"/>
      <c r="H671" s="1664"/>
      <c r="I671" s="1664"/>
      <c r="J671" s="1664"/>
      <c r="K671" s="1664"/>
      <c r="L671" s="1664"/>
      <c r="M671" s="1664"/>
      <c r="N671" s="1664"/>
      <c r="O671" s="1664"/>
      <c r="P671" s="1664"/>
      <c r="Q671" s="1664"/>
      <c r="R671" s="1664"/>
      <c r="S671" s="1664"/>
      <c r="T671" s="1664"/>
      <c r="U671" s="1664"/>
      <c r="V671" s="1664"/>
      <c r="W671" s="1664"/>
      <c r="X671" s="1664"/>
      <c r="Y671" s="1664"/>
      <c r="Z671" s="1664"/>
      <c r="AA671" s="1664"/>
      <c r="AB671" s="1664"/>
      <c r="AC671" s="1664"/>
      <c r="AD671" s="1664"/>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37">
        <f>$AO$651</f>
        <v>2</v>
      </c>
      <c r="AL684" s="1238"/>
      <c r="AM684" s="1240"/>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1" t="s">
        <v>756</v>
      </c>
      <c r="B687" s="1811"/>
      <c r="C687" s="1811"/>
      <c r="D687" s="1811"/>
      <c r="E687" s="1811"/>
      <c r="F687" s="1811"/>
      <c r="G687" s="1811"/>
      <c r="H687" s="1811"/>
      <c r="I687" s="1811"/>
      <c r="J687" s="1811"/>
      <c r="K687" s="1811"/>
      <c r="L687" s="1811"/>
      <c r="M687" s="1811"/>
      <c r="N687" s="1811"/>
      <c r="O687" s="1811"/>
      <c r="P687" s="1811"/>
      <c r="Q687" s="1811"/>
      <c r="R687" s="1811"/>
      <c r="S687" s="1811"/>
      <c r="T687" s="1811"/>
      <c r="U687" s="1811"/>
      <c r="V687" s="1811"/>
      <c r="W687" s="1811"/>
      <c r="X687" s="1811"/>
      <c r="Y687" s="1811"/>
      <c r="Z687" s="1811"/>
      <c r="AA687" s="1811"/>
      <c r="AB687" s="1811"/>
      <c r="AC687" s="1811"/>
      <c r="AD687" s="1811"/>
      <c r="AE687" s="1811"/>
      <c r="AF687" s="1811"/>
      <c r="AG687" s="1811"/>
      <c r="AH687" s="1811"/>
      <c r="AI687" s="1811"/>
      <c r="AJ687" s="1811"/>
      <c r="AK687" s="1811"/>
      <c r="AL687" s="1811"/>
      <c r="AM687" s="1811"/>
      <c r="AO687" s="206"/>
      <c r="AP687" s="206"/>
      <c r="AQ687" s="206"/>
    </row>
    <row r="688" spans="1:60">
      <c r="A688" s="1812"/>
      <c r="B688" s="1812"/>
      <c r="C688" s="1812"/>
      <c r="D688" s="1812"/>
      <c r="E688" s="1812"/>
      <c r="F688" s="1812"/>
      <c r="G688" s="1812"/>
      <c r="H688" s="1812"/>
      <c r="I688" s="1812"/>
      <c r="J688" s="1812"/>
      <c r="K688" s="1812"/>
      <c r="L688" s="1812"/>
      <c r="M688" s="1812"/>
      <c r="N688" s="1812"/>
      <c r="O688" s="1812"/>
      <c r="P688" s="1812"/>
      <c r="Q688" s="1812"/>
      <c r="R688" s="1812"/>
      <c r="S688" s="1812"/>
      <c r="T688" s="1812"/>
      <c r="U688" s="1812"/>
      <c r="V688" s="1812"/>
      <c r="W688" s="1812"/>
      <c r="X688" s="1812"/>
      <c r="Y688" s="1812"/>
      <c r="Z688" s="1812"/>
      <c r="AA688" s="1812"/>
      <c r="AB688" s="1812"/>
      <c r="AC688" s="1812"/>
      <c r="AD688" s="1812"/>
      <c r="AE688" s="1812"/>
      <c r="AF688" s="1812"/>
      <c r="AG688" s="1812"/>
      <c r="AH688" s="1812"/>
      <c r="AI688" s="1812"/>
      <c r="AJ688" s="1812"/>
      <c r="AK688" s="1812"/>
      <c r="AL688" s="1812"/>
      <c r="AM688" s="1812"/>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77" t="s">
        <v>2034</v>
      </c>
      <c r="B690" s="1577"/>
      <c r="C690" s="1577"/>
      <c r="D690" s="1577"/>
      <c r="E690" s="1577"/>
      <c r="F690" s="1577"/>
      <c r="G690" s="1577"/>
      <c r="H690" s="1577"/>
      <c r="I690" s="1577"/>
      <c r="J690" s="1577"/>
      <c r="K690" s="1577"/>
      <c r="L690" s="1577"/>
      <c r="M690" s="1577"/>
      <c r="N690" s="1577"/>
      <c r="O690" s="1577"/>
      <c r="P690" s="1577"/>
      <c r="Q690" s="1577"/>
      <c r="R690" s="1577"/>
      <c r="S690" s="1577"/>
      <c r="T690" s="1577"/>
      <c r="U690" s="1577"/>
      <c r="V690" s="1577"/>
      <c r="W690" s="1577"/>
      <c r="X690" s="1577"/>
      <c r="Y690" s="1577"/>
      <c r="Z690" s="1577"/>
      <c r="AA690" s="1577"/>
      <c r="AB690" s="1577"/>
      <c r="AC690" s="1577"/>
      <c r="AD690" s="1577"/>
      <c r="AE690" s="1577"/>
      <c r="AF690" s="1577"/>
      <c r="AG690" s="1577"/>
      <c r="AH690" s="1577"/>
      <c r="AI690" s="1577"/>
      <c r="AJ690" s="1577"/>
      <c r="AK690" s="1577"/>
      <c r="AL690" s="1577"/>
      <c r="AM690" s="1577"/>
      <c r="AO690" s="206">
        <f>IF(T699&gt;15,15,T699)</f>
        <v>15</v>
      </c>
      <c r="AP690" s="206"/>
      <c r="AQ690" s="206"/>
    </row>
    <row r="691" spans="1:43">
      <c r="A691" s="1577" t="s">
        <v>2035</v>
      </c>
      <c r="B691" s="1577"/>
      <c r="C691" s="1577"/>
      <c r="D691" s="1577"/>
      <c r="E691" s="1577"/>
      <c r="F691" s="1577"/>
      <c r="G691" s="1577"/>
      <c r="H691" s="1577"/>
      <c r="I691" s="1577"/>
      <c r="J691" s="1577"/>
      <c r="K691" s="1577"/>
      <c r="L691" s="1577"/>
      <c r="M691" s="1577"/>
      <c r="N691" s="1577"/>
      <c r="O691" s="1577"/>
      <c r="P691" s="1577"/>
      <c r="Q691" s="1577"/>
      <c r="R691" s="1577"/>
      <c r="S691" s="1577"/>
      <c r="T691" s="1577"/>
      <c r="U691" s="1577"/>
      <c r="V691" s="1577"/>
      <c r="W691" s="1577"/>
      <c r="X691" s="1577"/>
      <c r="Y691" s="1577"/>
      <c r="Z691" s="1577"/>
      <c r="AA691" s="1577"/>
      <c r="AB691" s="1577"/>
      <c r="AC691" s="1577"/>
      <c r="AD691" s="1577"/>
      <c r="AE691" s="1577"/>
      <c r="AF691" s="1577"/>
      <c r="AG691" s="1577"/>
      <c r="AH691" s="1577"/>
      <c r="AI691" s="1577"/>
      <c r="AJ691" s="1577"/>
      <c r="AK691" s="1577"/>
      <c r="AL691" s="1577"/>
      <c r="AM691" s="1577"/>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68" t="s">
        <v>247</v>
      </c>
      <c r="U692" s="1169"/>
      <c r="V692" s="1169"/>
      <c r="W692" s="1169"/>
      <c r="X692" s="1169"/>
      <c r="Y692" s="1511"/>
      <c r="Z692" s="1168" t="s">
        <v>246</v>
      </c>
      <c r="AA692" s="1169"/>
      <c r="AB692" s="1169"/>
      <c r="AC692" s="1169"/>
      <c r="AD692" s="1169"/>
      <c r="AE692" s="1511"/>
      <c r="AF692" s="1168" t="s">
        <v>248</v>
      </c>
      <c r="AG692" s="1169"/>
      <c r="AH692" s="1169"/>
      <c r="AI692" s="1169"/>
      <c r="AJ692" s="1169"/>
      <c r="AK692" s="1511"/>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2"/>
      <c r="U693" s="1173"/>
      <c r="V693" s="1173"/>
      <c r="W693" s="1173"/>
      <c r="X693" s="1173"/>
      <c r="Y693" s="1267"/>
      <c r="Z693" s="1172"/>
      <c r="AA693" s="1173"/>
      <c r="AB693" s="1173"/>
      <c r="AC693" s="1173"/>
      <c r="AD693" s="1173"/>
      <c r="AE693" s="1267"/>
      <c r="AF693" s="1172"/>
      <c r="AG693" s="1173"/>
      <c r="AH693" s="1173"/>
      <c r="AI693" s="1173"/>
      <c r="AJ693" s="1173"/>
      <c r="AK693" s="1267"/>
      <c r="AL693" s="785"/>
      <c r="AM693" s="20"/>
    </row>
    <row r="694" spans="1:43">
      <c r="A694" s="601" t="s">
        <v>687</v>
      </c>
      <c r="B694" s="1708" t="s">
        <v>283</v>
      </c>
      <c r="C694" s="1708"/>
      <c r="D694" s="1708"/>
      <c r="E694" s="1708"/>
      <c r="F694" s="1708"/>
      <c r="G694" s="1708"/>
      <c r="H694" s="1708"/>
      <c r="I694" s="1708"/>
      <c r="J694" s="1708"/>
      <c r="K694" s="1708"/>
      <c r="L694" s="1708"/>
      <c r="M694" s="1708"/>
      <c r="N694" s="1708"/>
      <c r="O694" s="1708"/>
      <c r="P694" s="1708"/>
      <c r="Q694" s="1708"/>
      <c r="R694" s="1708"/>
      <c r="S694" s="1709"/>
      <c r="T694" s="1732">
        <f>SUM(T695:Y696)</f>
        <v>10</v>
      </c>
      <c r="U694" s="1732"/>
      <c r="V694" s="1732"/>
      <c r="W694" s="1732"/>
      <c r="X694" s="1732"/>
      <c r="Y694" s="1732"/>
      <c r="Z694" s="1222">
        <v>10</v>
      </c>
      <c r="AA694" s="1222"/>
      <c r="AB694" s="1222"/>
      <c r="AC694" s="1222"/>
      <c r="AD694" s="1222"/>
      <c r="AE694" s="1222"/>
      <c r="AF694" s="1222">
        <f>IF(T694&gt;Z694,Z694,T694)</f>
        <v>10</v>
      </c>
      <c r="AG694" s="1222"/>
      <c r="AH694" s="1222"/>
      <c r="AI694" s="1222"/>
      <c r="AJ694" s="1222"/>
      <c r="AK694" s="1222"/>
      <c r="AL694" s="785"/>
      <c r="AM694" s="20"/>
      <c r="AO694" s="4">
        <f>IF(T703&gt;50,50,T703)</f>
        <v>50</v>
      </c>
    </row>
    <row r="695" spans="1:43">
      <c r="A695" s="621"/>
      <c r="B695" s="622"/>
      <c r="C695" s="627"/>
      <c r="D695" s="307" t="s">
        <v>223</v>
      </c>
      <c r="E695" s="1710" t="s">
        <v>249</v>
      </c>
      <c r="F695" s="1710"/>
      <c r="G695" s="1710"/>
      <c r="H695" s="1710"/>
      <c r="I695" s="1710"/>
      <c r="J695" s="1710"/>
      <c r="K695" s="1710"/>
      <c r="L695" s="1710"/>
      <c r="M695" s="1710"/>
      <c r="N695" s="1710"/>
      <c r="O695" s="1710"/>
      <c r="P695" s="1710"/>
      <c r="Q695" s="1710"/>
      <c r="R695" s="1710"/>
      <c r="S695" s="1711"/>
      <c r="T695" s="1712">
        <f>AJ31</f>
        <v>7</v>
      </c>
      <c r="U695" s="1712"/>
      <c r="V695" s="1712"/>
      <c r="W695" s="1712"/>
      <c r="X695" s="1712"/>
      <c r="Y695" s="1712"/>
      <c r="Z695" s="1736">
        <v>7</v>
      </c>
      <c r="AA695" s="1736"/>
      <c r="AB695" s="1736"/>
      <c r="AC695" s="1736"/>
      <c r="AD695" s="1736"/>
      <c r="AE695" s="1736"/>
      <c r="AF695" s="1813"/>
      <c r="AG695" s="1813"/>
      <c r="AH695" s="1813"/>
      <c r="AI695" s="1813"/>
      <c r="AJ695" s="1813"/>
      <c r="AK695" s="1813"/>
      <c r="AL695" s="785"/>
      <c r="AM695" s="20"/>
    </row>
    <row r="696" spans="1:43">
      <c r="A696" s="623"/>
      <c r="B696" s="622"/>
      <c r="C696" s="622"/>
      <c r="D696" s="307" t="s">
        <v>455</v>
      </c>
      <c r="E696" s="1710" t="s">
        <v>250</v>
      </c>
      <c r="F696" s="1710"/>
      <c r="G696" s="1710"/>
      <c r="H696" s="1710"/>
      <c r="I696" s="1710"/>
      <c r="J696" s="1710"/>
      <c r="K696" s="1710"/>
      <c r="L696" s="1710"/>
      <c r="M696" s="1710"/>
      <c r="N696" s="1710"/>
      <c r="O696" s="1710"/>
      <c r="P696" s="1710"/>
      <c r="Q696" s="1710"/>
      <c r="R696" s="1710"/>
      <c r="S696" s="1711"/>
      <c r="T696" s="1712">
        <f>AJ47</f>
        <v>3</v>
      </c>
      <c r="U696" s="1712"/>
      <c r="V696" s="1712"/>
      <c r="W696" s="1712"/>
      <c r="X696" s="1712"/>
      <c r="Y696" s="1712"/>
      <c r="Z696" s="1736">
        <v>3</v>
      </c>
      <c r="AA696" s="1736"/>
      <c r="AB696" s="1736"/>
      <c r="AC696" s="1736"/>
      <c r="AD696" s="1736"/>
      <c r="AE696" s="1736"/>
      <c r="AF696" s="1813"/>
      <c r="AG696" s="1813"/>
      <c r="AH696" s="1813"/>
      <c r="AI696" s="1813"/>
      <c r="AJ696" s="1813"/>
      <c r="AK696" s="1813"/>
      <c r="AL696" s="785"/>
      <c r="AM696" s="20"/>
    </row>
    <row r="697" spans="1:43">
      <c r="A697" s="601" t="s">
        <v>8</v>
      </c>
      <c r="B697" s="1708" t="s">
        <v>284</v>
      </c>
      <c r="C697" s="1708"/>
      <c r="D697" s="1708"/>
      <c r="E697" s="1708"/>
      <c r="F697" s="1708"/>
      <c r="G697" s="1708"/>
      <c r="H697" s="1708"/>
      <c r="I697" s="1708"/>
      <c r="J697" s="1708"/>
      <c r="K697" s="1708"/>
      <c r="L697" s="1708"/>
      <c r="M697" s="1708"/>
      <c r="N697" s="1708"/>
      <c r="O697" s="1708"/>
      <c r="P697" s="1708"/>
      <c r="Q697" s="1708"/>
      <c r="R697" s="1708"/>
      <c r="S697" s="1709"/>
      <c r="T697" s="1732">
        <f>AK68</f>
        <v>10</v>
      </c>
      <c r="U697" s="1732"/>
      <c r="V697" s="1732"/>
      <c r="W697" s="1732"/>
      <c r="X697" s="1732"/>
      <c r="Y697" s="1732"/>
      <c r="Z697" s="1222">
        <v>10</v>
      </c>
      <c r="AA697" s="1222"/>
      <c r="AB697" s="1222"/>
      <c r="AC697" s="1222"/>
      <c r="AD697" s="1222"/>
      <c r="AE697" s="1222"/>
      <c r="AF697" s="1222">
        <f>IF(T697&gt;Z697,Z697,T697)</f>
        <v>10</v>
      </c>
      <c r="AG697" s="1222"/>
      <c r="AH697" s="1222"/>
      <c r="AI697" s="1222"/>
      <c r="AJ697" s="1222"/>
      <c r="AK697" s="1222"/>
      <c r="AL697" s="785"/>
      <c r="AM697" s="20"/>
    </row>
    <row r="698" spans="1:43">
      <c r="A698" s="601" t="s">
        <v>126</v>
      </c>
      <c r="B698" s="1708" t="s">
        <v>285</v>
      </c>
      <c r="C698" s="1708"/>
      <c r="D698" s="1708"/>
      <c r="E698" s="1708"/>
      <c r="F698" s="1708"/>
      <c r="G698" s="1708"/>
      <c r="H698" s="1708"/>
      <c r="I698" s="1708"/>
      <c r="J698" s="1708"/>
      <c r="K698" s="1708"/>
      <c r="L698" s="1708"/>
      <c r="M698" s="1708"/>
      <c r="N698" s="1708"/>
      <c r="O698" s="1708"/>
      <c r="P698" s="1708"/>
      <c r="Q698" s="1708"/>
      <c r="R698" s="1708"/>
      <c r="S698" s="1709"/>
      <c r="T698" s="1732">
        <f>AO689</f>
        <v>25</v>
      </c>
      <c r="U698" s="1732">
        <f>IF(AND(AND(A699&gt;15,15+A700),A700&gt;10,A699+10),A698,0)</f>
        <v>0</v>
      </c>
      <c r="V698" s="1732">
        <f>IF(AND(AND(B699&gt;15,15+B700),B700&gt;10,B699+10),#REF!,0)</f>
        <v>0</v>
      </c>
      <c r="W698" s="1732">
        <f>IF(AND(AND(C699&gt;15,15+C700),C700&gt;10,C699+10),B698,0)</f>
        <v>0</v>
      </c>
      <c r="X698" s="1732" t="e">
        <f>IF(AND(AND(D699&gt;15,15+D700),D700&gt;10,D699+10),D698,0)</f>
        <v>#VALUE!</v>
      </c>
      <c r="Y698" s="1732" t="e">
        <f>IF(AND(AND(E699&gt;15,15+E700),E700&gt;10,E699+10),E698,0)</f>
        <v>#VALUE!</v>
      </c>
      <c r="Z698" s="1222">
        <v>25</v>
      </c>
      <c r="AA698" s="1222"/>
      <c r="AB698" s="1222"/>
      <c r="AC698" s="1222"/>
      <c r="AD698" s="1222"/>
      <c r="AE698" s="1222"/>
      <c r="AF698" s="1222">
        <f>IF(T698&gt;Z698,Z698,T698)</f>
        <v>25</v>
      </c>
      <c r="AG698" s="1222"/>
      <c r="AH698" s="1222"/>
      <c r="AI698" s="1222"/>
      <c r="AJ698" s="1222"/>
      <c r="AK698" s="1222"/>
      <c r="AL698" s="785"/>
      <c r="AM698" s="20"/>
    </row>
    <row r="699" spans="1:43">
      <c r="A699" s="601"/>
      <c r="B699" s="622"/>
      <c r="C699" s="622"/>
      <c r="D699" s="307" t="s">
        <v>1533</v>
      </c>
      <c r="E699" s="1710" t="s">
        <v>308</v>
      </c>
      <c r="F699" s="1710"/>
      <c r="G699" s="1710"/>
      <c r="H699" s="1710"/>
      <c r="I699" s="1710"/>
      <c r="J699" s="1710"/>
      <c r="K699" s="1710"/>
      <c r="L699" s="1710"/>
      <c r="M699" s="1710"/>
      <c r="N699" s="1710"/>
      <c r="O699" s="1710"/>
      <c r="P699" s="1710"/>
      <c r="Q699" s="1710"/>
      <c r="R699" s="1710"/>
      <c r="S699" s="1711"/>
      <c r="T699" s="1712">
        <f>AK280</f>
        <v>18</v>
      </c>
      <c r="U699" s="1712"/>
      <c r="V699" s="1712"/>
      <c r="W699" s="1712"/>
      <c r="X699" s="1712"/>
      <c r="Y699" s="1712"/>
      <c r="Z699" s="1736">
        <v>15</v>
      </c>
      <c r="AA699" s="1736"/>
      <c r="AB699" s="1736"/>
      <c r="AC699" s="1736"/>
      <c r="AD699" s="1736"/>
      <c r="AE699" s="1736"/>
      <c r="AF699" s="1813"/>
      <c r="AG699" s="1813"/>
      <c r="AH699" s="1813"/>
      <c r="AI699" s="1813"/>
      <c r="AJ699" s="1813"/>
      <c r="AK699" s="1813"/>
      <c r="AL699" s="785"/>
      <c r="AM699" s="20"/>
    </row>
    <row r="700" spans="1:43">
      <c r="A700" s="624"/>
      <c r="B700" s="90"/>
      <c r="C700" s="90"/>
      <c r="D700" s="625" t="s">
        <v>1534</v>
      </c>
      <c r="E700" s="1710" t="s">
        <v>309</v>
      </c>
      <c r="F700" s="1710"/>
      <c r="G700" s="1710"/>
      <c r="H700" s="1710"/>
      <c r="I700" s="1710"/>
      <c r="J700" s="1710"/>
      <c r="K700" s="1710"/>
      <c r="L700" s="1710"/>
      <c r="M700" s="1710"/>
      <c r="N700" s="1710"/>
      <c r="O700" s="1710"/>
      <c r="P700" s="1710"/>
      <c r="Q700" s="1710"/>
      <c r="R700" s="1710"/>
      <c r="S700" s="1711"/>
      <c r="T700" s="1712">
        <f>AK471</f>
        <v>10</v>
      </c>
      <c r="U700" s="1712"/>
      <c r="V700" s="1712"/>
      <c r="W700" s="1712"/>
      <c r="X700" s="1712"/>
      <c r="Y700" s="1712"/>
      <c r="Z700" s="1736">
        <v>10</v>
      </c>
      <c r="AA700" s="1736"/>
      <c r="AB700" s="1736"/>
      <c r="AC700" s="1736"/>
      <c r="AD700" s="1736"/>
      <c r="AE700" s="1736"/>
      <c r="AF700" s="1813"/>
      <c r="AG700" s="1813"/>
      <c r="AH700" s="1813"/>
      <c r="AI700" s="1813"/>
      <c r="AJ700" s="1813"/>
      <c r="AK700" s="1813"/>
      <c r="AL700" s="785"/>
      <c r="AM700" s="20"/>
    </row>
    <row r="701" spans="1:43" hidden="1">
      <c r="A701" s="601" t="s">
        <v>129</v>
      </c>
      <c r="B701" s="1708" t="s">
        <v>569</v>
      </c>
      <c r="C701" s="1708"/>
      <c r="D701" s="1708"/>
      <c r="E701" s="1708"/>
      <c r="F701" s="1708"/>
      <c r="G701" s="1708"/>
      <c r="H701" s="1708"/>
      <c r="I701" s="1708"/>
      <c r="J701" s="1708"/>
      <c r="K701" s="1708"/>
      <c r="L701" s="1708"/>
      <c r="M701" s="1708"/>
      <c r="N701" s="1708"/>
      <c r="O701" s="1708"/>
      <c r="P701" s="1708"/>
      <c r="Q701" s="1708"/>
      <c r="R701" s="1708"/>
      <c r="S701" s="1709"/>
      <c r="T701" s="1732"/>
      <c r="U701" s="1732"/>
      <c r="V701" s="1732"/>
      <c r="W701" s="1732"/>
      <c r="X701" s="1732"/>
      <c r="Y701" s="1732"/>
      <c r="Z701" s="1222"/>
      <c r="AA701" s="1222"/>
      <c r="AB701" s="1222"/>
      <c r="AC701" s="1222"/>
      <c r="AD701" s="1222"/>
      <c r="AE701" s="1222"/>
      <c r="AF701" s="1222"/>
      <c r="AG701" s="1222"/>
      <c r="AH701" s="1222"/>
      <c r="AI701" s="1222"/>
      <c r="AJ701" s="1222"/>
      <c r="AK701" s="1222"/>
      <c r="AL701" s="785"/>
      <c r="AM701" s="20"/>
    </row>
    <row r="702" spans="1:43">
      <c r="A702" s="601" t="s">
        <v>129</v>
      </c>
      <c r="B702" s="1708" t="s">
        <v>570</v>
      </c>
      <c r="C702" s="1708"/>
      <c r="D702" s="1708"/>
      <c r="E702" s="1708"/>
      <c r="F702" s="1708"/>
      <c r="G702" s="1708"/>
      <c r="H702" s="1708"/>
      <c r="I702" s="1708"/>
      <c r="J702" s="1708"/>
      <c r="K702" s="1708"/>
      <c r="L702" s="1708"/>
      <c r="M702" s="1708"/>
      <c r="N702" s="1708"/>
      <c r="O702" s="1708"/>
      <c r="P702" s="1708"/>
      <c r="Q702" s="1708"/>
      <c r="R702" s="1708"/>
      <c r="S702" s="1709"/>
      <c r="T702" s="1803">
        <f>IF(SUM(T703:Y704)&gt;52,52,SUM(T703:Y704))</f>
        <v>52</v>
      </c>
      <c r="U702" s="1804"/>
      <c r="V702" s="1804"/>
      <c r="W702" s="1804"/>
      <c r="X702" s="1804"/>
      <c r="Y702" s="1804"/>
      <c r="Z702" s="1804">
        <v>52</v>
      </c>
      <c r="AA702" s="1804"/>
      <c r="AB702" s="1804"/>
      <c r="AC702" s="1804"/>
      <c r="AD702" s="1804"/>
      <c r="AE702" s="1804"/>
      <c r="AF702" s="1804">
        <f>$AO$694+$T$704</f>
        <v>52</v>
      </c>
      <c r="AG702" s="1804"/>
      <c r="AH702" s="1804"/>
      <c r="AI702" s="1804"/>
      <c r="AJ702" s="1804"/>
      <c r="AK702" s="1804"/>
      <c r="AL702" s="785"/>
      <c r="AM702" s="20"/>
    </row>
    <row r="703" spans="1:43">
      <c r="A703" s="626"/>
      <c r="B703" s="628"/>
      <c r="C703" s="628"/>
      <c r="D703" s="629" t="s">
        <v>2347</v>
      </c>
      <c r="E703" s="1710" t="s">
        <v>193</v>
      </c>
      <c r="F703" s="1710"/>
      <c r="G703" s="1710"/>
      <c r="H703" s="1710"/>
      <c r="I703" s="1710"/>
      <c r="J703" s="1710"/>
      <c r="K703" s="1710"/>
      <c r="L703" s="1710"/>
      <c r="M703" s="1710"/>
      <c r="N703" s="1710"/>
      <c r="O703" s="1710"/>
      <c r="P703" s="1710"/>
      <c r="Q703" s="1710"/>
      <c r="R703" s="1710"/>
      <c r="S703" s="1711"/>
      <c r="T703" s="1733">
        <f>AC589</f>
        <v>50</v>
      </c>
      <c r="U703" s="1734"/>
      <c r="V703" s="1734"/>
      <c r="W703" s="1734"/>
      <c r="X703" s="1734"/>
      <c r="Y703" s="1735"/>
      <c r="Z703" s="1733">
        <v>50</v>
      </c>
      <c r="AA703" s="1734"/>
      <c r="AB703" s="1734"/>
      <c r="AC703" s="1734"/>
      <c r="AD703" s="1734"/>
      <c r="AE703" s="1735"/>
      <c r="AF703" s="1808"/>
      <c r="AG703" s="1809"/>
      <c r="AH703" s="1809"/>
      <c r="AI703" s="1809"/>
      <c r="AJ703" s="1809"/>
      <c r="AK703" s="1810"/>
      <c r="AL703" s="785"/>
      <c r="AM703" s="4"/>
    </row>
    <row r="704" spans="1:43">
      <c r="A704" s="630"/>
      <c r="B704" s="622"/>
      <c r="C704" s="622"/>
      <c r="D704" s="307" t="s">
        <v>2348</v>
      </c>
      <c r="E704" s="1710" t="s">
        <v>282</v>
      </c>
      <c r="F704" s="1710"/>
      <c r="G704" s="1710"/>
      <c r="H704" s="1710"/>
      <c r="I704" s="1710"/>
      <c r="J704" s="1710"/>
      <c r="K704" s="1710"/>
      <c r="L704" s="1710"/>
      <c r="M704" s="1710"/>
      <c r="N704" s="1710"/>
      <c r="O704" s="1710"/>
      <c r="P704" s="1710"/>
      <c r="Q704" s="1710"/>
      <c r="R704" s="1710"/>
      <c r="S704" s="1711"/>
      <c r="T704" s="1702">
        <f>IF(AJ613&gt;0,2,0)</f>
        <v>2</v>
      </c>
      <c r="U704" s="1703"/>
      <c r="V704" s="1703"/>
      <c r="W704" s="1703"/>
      <c r="X704" s="1703"/>
      <c r="Y704" s="1704"/>
      <c r="Z704" s="1237">
        <v>2</v>
      </c>
      <c r="AA704" s="1238"/>
      <c r="AB704" s="1238"/>
      <c r="AC704" s="1238"/>
      <c r="AD704" s="1238"/>
      <c r="AE704" s="1240"/>
      <c r="AF704" s="1824"/>
      <c r="AG704" s="1825"/>
      <c r="AH704" s="1825"/>
      <c r="AI704" s="1825"/>
      <c r="AJ704" s="1825"/>
      <c r="AK704" s="1826"/>
      <c r="AL704" s="785"/>
      <c r="AM704" s="4"/>
    </row>
    <row r="705" spans="1:39">
      <c r="A705" s="626" t="s">
        <v>130</v>
      </c>
      <c r="B705" s="1708" t="s">
        <v>571</v>
      </c>
      <c r="C705" s="1708"/>
      <c r="D705" s="1708"/>
      <c r="E705" s="1708"/>
      <c r="F705" s="1708"/>
      <c r="G705" s="1708"/>
      <c r="H705" s="1708"/>
      <c r="I705" s="1708"/>
      <c r="J705" s="1708"/>
      <c r="K705" s="1708"/>
      <c r="L705" s="1708"/>
      <c r="M705" s="1708"/>
      <c r="N705" s="1708"/>
      <c r="O705" s="1708"/>
      <c r="P705" s="1708"/>
      <c r="Q705" s="1708"/>
      <c r="R705" s="1708"/>
      <c r="S705" s="1709"/>
      <c r="T705" s="1732">
        <f>AK641</f>
        <v>10</v>
      </c>
      <c r="U705" s="1732"/>
      <c r="V705" s="1732"/>
      <c r="W705" s="1732"/>
      <c r="X705" s="1732"/>
      <c r="Y705" s="1732"/>
      <c r="Z705" s="1222">
        <v>10</v>
      </c>
      <c r="AA705" s="1222"/>
      <c r="AB705" s="1222"/>
      <c r="AC705" s="1222"/>
      <c r="AD705" s="1222"/>
      <c r="AE705" s="1222"/>
      <c r="AF705" s="1384">
        <f>IF(T705&gt;Z705,Z705,T705)</f>
        <v>10</v>
      </c>
      <c r="AG705" s="1385"/>
      <c r="AH705" s="1385"/>
      <c r="AI705" s="1385"/>
      <c r="AJ705" s="1385"/>
      <c r="AK705" s="1386"/>
      <c r="AL705" s="785"/>
      <c r="AM705" s="20"/>
    </row>
    <row r="706" spans="1:39">
      <c r="A706" s="626" t="s">
        <v>132</v>
      </c>
      <c r="B706" s="1708" t="s">
        <v>1027</v>
      </c>
      <c r="C706" s="1708"/>
      <c r="D706" s="1708"/>
      <c r="E706" s="1708"/>
      <c r="F706" s="1708"/>
      <c r="G706" s="1708"/>
      <c r="H706" s="1708"/>
      <c r="I706" s="1708"/>
      <c r="J706" s="1708"/>
      <c r="K706" s="1708"/>
      <c r="L706" s="1708"/>
      <c r="M706" s="1708"/>
      <c r="N706" s="1708"/>
      <c r="O706" s="1708"/>
      <c r="P706" s="1708"/>
      <c r="Q706" s="1708"/>
      <c r="R706" s="1708"/>
      <c r="S706" s="1709"/>
      <c r="T706" s="1805">
        <f>IF(AK684&gt;2,2,AK684)</f>
        <v>2</v>
      </c>
      <c r="U706" s="1806"/>
      <c r="V706" s="1806"/>
      <c r="W706" s="1806"/>
      <c r="X706" s="1806"/>
      <c r="Y706" s="1807"/>
      <c r="Z706" s="1384">
        <v>2</v>
      </c>
      <c r="AA706" s="1385"/>
      <c r="AB706" s="1385"/>
      <c r="AC706" s="1385"/>
      <c r="AD706" s="1385"/>
      <c r="AE706" s="1386"/>
      <c r="AF706" s="1384">
        <f>IF(T706&gt;Z706,Z706,T706)</f>
        <v>2</v>
      </c>
      <c r="AG706" s="1822"/>
      <c r="AH706" s="1822"/>
      <c r="AI706" s="1822"/>
      <c r="AJ706" s="1822"/>
      <c r="AK706" s="1823"/>
      <c r="AL706" s="3"/>
      <c r="AM706" s="20"/>
    </row>
    <row r="707" spans="1:39">
      <c r="A707" s="1707" t="s">
        <v>311</v>
      </c>
      <c r="B707" s="1708"/>
      <c r="C707" s="1708"/>
      <c r="D707" s="1708"/>
      <c r="E707" s="1708"/>
      <c r="F707" s="1708"/>
      <c r="G707" s="1708"/>
      <c r="H707" s="1708"/>
      <c r="I707" s="1708"/>
      <c r="J707" s="1708"/>
      <c r="K707" s="1708"/>
      <c r="L707" s="1708"/>
      <c r="M707" s="1708"/>
      <c r="N707" s="1708"/>
      <c r="O707" s="1708"/>
      <c r="P707" s="1708"/>
      <c r="Q707" s="1708"/>
      <c r="R707" s="1708"/>
      <c r="S707" s="1709"/>
      <c r="T707" s="1417"/>
      <c r="U707" s="1417"/>
      <c r="V707" s="1417"/>
      <c r="W707" s="1417"/>
      <c r="X707" s="1417"/>
      <c r="Y707" s="1417"/>
      <c r="Z707" s="1736" t="s">
        <v>310</v>
      </c>
      <c r="AA707" s="1736"/>
      <c r="AB707" s="1736"/>
      <c r="AC707" s="1736"/>
      <c r="AD707" s="1736"/>
      <c r="AE707" s="1736"/>
      <c r="AF707" s="1384">
        <f>IF(T707&gt;0,T707,0)</f>
        <v>0</v>
      </c>
      <c r="AG707" s="1385"/>
      <c r="AH707" s="1385"/>
      <c r="AI707" s="1385"/>
      <c r="AJ707" s="1385"/>
      <c r="AK707" s="1386"/>
      <c r="AL707" s="18"/>
      <c r="AM707" s="20"/>
    </row>
    <row r="708" spans="1:39" ht="15.6">
      <c r="A708" s="1719" t="s">
        <v>755</v>
      </c>
      <c r="B708" s="1720"/>
      <c r="C708" s="1720"/>
      <c r="D708" s="1720"/>
      <c r="E708" s="1720"/>
      <c r="F708" s="1720"/>
      <c r="G708" s="1720"/>
      <c r="H708" s="1720"/>
      <c r="I708" s="1720"/>
      <c r="J708" s="1720"/>
      <c r="K708" s="1720"/>
      <c r="L708" s="1720"/>
      <c r="M708" s="1720"/>
      <c r="N708" s="1720"/>
      <c r="O708" s="1720"/>
      <c r="P708" s="1720"/>
      <c r="Q708" s="1720"/>
      <c r="R708" s="1720"/>
      <c r="S708" s="1720"/>
      <c r="T708" s="1720"/>
      <c r="U708" s="1720"/>
      <c r="V708" s="1720"/>
      <c r="W708" s="1720"/>
      <c r="X708" s="1720"/>
      <c r="Y708" s="1720"/>
      <c r="Z708" s="1720"/>
      <c r="AA708" s="1720"/>
      <c r="AB708" s="1720"/>
      <c r="AC708" s="1720"/>
      <c r="AD708" s="1720"/>
      <c r="AE708" s="1721"/>
      <c r="AF708" s="1814">
        <f>SUM(AF694:AK706)-AF707</f>
        <v>109</v>
      </c>
      <c r="AG708" s="1815"/>
      <c r="AH708" s="1815"/>
      <c r="AI708" s="1815"/>
      <c r="AJ708" s="1815"/>
      <c r="AK708" s="1816"/>
      <c r="AL708" s="786"/>
      <c r="AM708" s="4"/>
    </row>
    <row r="709" spans="1:39" ht="12.45" customHeight="1">
      <c r="A709" s="1722"/>
      <c r="B709" s="1723"/>
      <c r="C709" s="1723"/>
      <c r="D709" s="1723"/>
      <c r="E709" s="1723"/>
      <c r="F709" s="1723"/>
      <c r="G709" s="1723"/>
      <c r="H709" s="1723"/>
      <c r="I709" s="1723"/>
      <c r="J709" s="1723"/>
      <c r="K709" s="1723"/>
      <c r="L709" s="1723"/>
      <c r="M709" s="1723"/>
      <c r="N709" s="1723"/>
      <c r="O709" s="1723"/>
      <c r="P709" s="1723"/>
      <c r="Q709" s="1723"/>
      <c r="R709" s="1723"/>
      <c r="S709" s="1723"/>
      <c r="T709" s="1723"/>
      <c r="U709" s="1723"/>
      <c r="V709" s="1723"/>
      <c r="W709" s="1723"/>
      <c r="X709" s="1723"/>
      <c r="Y709" s="1723"/>
      <c r="Z709" s="1723"/>
      <c r="AA709" s="1723"/>
      <c r="AB709" s="1723"/>
      <c r="AC709" s="1723"/>
      <c r="AD709" s="1723"/>
      <c r="AE709" s="1724"/>
      <c r="AF709" s="1817"/>
      <c r="AG709" s="1818"/>
      <c r="AH709" s="1818"/>
      <c r="AI709" s="1818"/>
      <c r="AJ709" s="1818"/>
      <c r="AK709" s="1819"/>
      <c r="AL709" s="786"/>
      <c r="AM709" s="4"/>
    </row>
    <row r="710" spans="1:39" ht="56.25" customHeight="1">
      <c r="A710" s="975" t="s">
        <v>7</v>
      </c>
      <c r="B710" s="975"/>
      <c r="C710" s="975"/>
      <c r="D710" s="975"/>
      <c r="E710" s="975"/>
      <c r="F710" s="975"/>
      <c r="G710" s="975"/>
      <c r="H710" s="975"/>
      <c r="I710" s="975"/>
      <c r="J710" s="975"/>
      <c r="K710" s="975"/>
      <c r="L710" s="975"/>
      <c r="M710" s="975"/>
      <c r="N710" s="975"/>
      <c r="O710" s="975"/>
      <c r="P710" s="975"/>
      <c r="Q710" s="975"/>
      <c r="R710" s="975"/>
      <c r="S710" s="975"/>
      <c r="T710" s="975"/>
      <c r="U710" s="975"/>
      <c r="V710" s="975"/>
      <c r="W710" s="975"/>
      <c r="X710" s="975"/>
      <c r="Y710" s="975"/>
      <c r="Z710" s="975"/>
      <c r="AA710" s="975"/>
      <c r="AB710" s="975"/>
      <c r="AC710" s="975"/>
      <c r="AD710" s="975"/>
      <c r="AE710" s="975"/>
      <c r="AF710" s="975"/>
      <c r="AG710" s="975"/>
      <c r="AH710" s="975"/>
      <c r="AI710" s="975"/>
      <c r="AJ710" s="975"/>
      <c r="AK710" s="975"/>
      <c r="AL710" s="975"/>
      <c r="AM710" s="1860"/>
    </row>
    <row r="711" spans="1:39" ht="12.45" hidden="1" customHeight="1">
      <c r="A711" s="975"/>
      <c r="B711" s="975"/>
      <c r="C711" s="975"/>
      <c r="D711" s="975"/>
      <c r="E711" s="975"/>
      <c r="F711" s="975"/>
      <c r="G711" s="975"/>
      <c r="H711" s="975"/>
      <c r="I711" s="975"/>
      <c r="J711" s="975"/>
      <c r="K711" s="975"/>
      <c r="L711" s="975"/>
      <c r="M711" s="975"/>
      <c r="N711" s="975"/>
      <c r="O711" s="975"/>
      <c r="P711" s="975"/>
      <c r="Q711" s="975"/>
      <c r="R711" s="975"/>
      <c r="S711" s="975"/>
      <c r="T711" s="975"/>
      <c r="U711" s="975"/>
      <c r="V711" s="975"/>
      <c r="W711" s="975"/>
      <c r="X711" s="975"/>
      <c r="Y711" s="975"/>
      <c r="Z711" s="975"/>
      <c r="AA711" s="975"/>
      <c r="AB711" s="975"/>
      <c r="AC711" s="975"/>
      <c r="AD711" s="975"/>
      <c r="AE711" s="975"/>
      <c r="AF711" s="975"/>
      <c r="AG711" s="975"/>
      <c r="AH711" s="975"/>
      <c r="AI711" s="975"/>
      <c r="AJ711" s="975"/>
      <c r="AK711" s="975"/>
      <c r="AL711" s="975"/>
      <c r="AM711" s="1860"/>
    </row>
    <row r="712" spans="1:39" ht="12.45" hidden="1" customHeight="1">
      <c r="A712" s="975"/>
      <c r="B712" s="975"/>
      <c r="C712" s="975"/>
      <c r="D712" s="975"/>
      <c r="E712" s="975"/>
      <c r="F712" s="975"/>
      <c r="G712" s="975"/>
      <c r="H712" s="975"/>
      <c r="I712" s="975"/>
      <c r="J712" s="975"/>
      <c r="K712" s="975"/>
      <c r="L712" s="975"/>
      <c r="M712" s="975"/>
      <c r="N712" s="975"/>
      <c r="O712" s="975"/>
      <c r="P712" s="975"/>
      <c r="Q712" s="975"/>
      <c r="R712" s="975"/>
      <c r="S712" s="975"/>
      <c r="T712" s="975"/>
      <c r="U712" s="975"/>
      <c r="V712" s="975"/>
      <c r="W712" s="975"/>
      <c r="X712" s="975"/>
      <c r="Y712" s="975"/>
      <c r="Z712" s="975"/>
      <c r="AA712" s="975"/>
      <c r="AB712" s="975"/>
      <c r="AC712" s="975"/>
      <c r="AD712" s="975"/>
      <c r="AE712" s="975"/>
      <c r="AF712" s="975"/>
      <c r="AG712" s="975"/>
      <c r="AH712" s="975"/>
      <c r="AI712" s="975"/>
      <c r="AJ712" s="975"/>
      <c r="AK712" s="975"/>
      <c r="AL712" s="975"/>
      <c r="AM712" s="1860"/>
    </row>
    <row r="713" spans="1:39" ht="12.45" hidden="1" customHeight="1">
      <c r="A713" s="975"/>
      <c r="B713" s="975"/>
      <c r="C713" s="975"/>
      <c r="D713" s="975"/>
      <c r="E713" s="975"/>
      <c r="F713" s="975"/>
      <c r="G713" s="975"/>
      <c r="H713" s="975"/>
      <c r="I713" s="975"/>
      <c r="J713" s="975"/>
      <c r="K713" s="975"/>
      <c r="L713" s="975"/>
      <c r="M713" s="975"/>
      <c r="N713" s="975"/>
      <c r="O713" s="975"/>
      <c r="P713" s="975"/>
      <c r="Q713" s="975"/>
      <c r="R713" s="975"/>
      <c r="S713" s="975"/>
      <c r="T713" s="975"/>
      <c r="U713" s="975"/>
      <c r="V713" s="975"/>
      <c r="W713" s="975"/>
      <c r="X713" s="975"/>
      <c r="Y713" s="975"/>
      <c r="Z713" s="975"/>
      <c r="AA713" s="975"/>
      <c r="AB713" s="975"/>
      <c r="AC713" s="975"/>
      <c r="AD713" s="975"/>
      <c r="AE713" s="975"/>
      <c r="AF713" s="975"/>
      <c r="AG713" s="975"/>
      <c r="AH713" s="975"/>
      <c r="AI713" s="975"/>
      <c r="AJ713" s="975"/>
      <c r="AK713" s="975"/>
      <c r="AL713" s="975"/>
      <c r="AM713" s="1860"/>
    </row>
    <row r="714" spans="1:39" hidden="1">
      <c r="A714" s="975"/>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860"/>
    </row>
    <row r="715" spans="1:39">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860"/>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903" customWidth="1"/>
    <col min="11" max="11" width="2.5546875" style="904" customWidth="1"/>
    <col min="12" max="43" width="2.5546875" style="903" customWidth="1"/>
    <col min="44" max="47" width="2.5546875" style="903" hidden="1" customWidth="1"/>
    <col min="48" max="16384" width="9.109375" style="903" hidden="1"/>
  </cols>
  <sheetData>
    <row r="1" spans="1:57" ht="15" customHeight="1">
      <c r="A1" s="1881" t="s">
        <v>2131</v>
      </c>
      <c r="B1" s="1881"/>
      <c r="C1" s="1881"/>
      <c r="D1" s="1881"/>
      <c r="E1" s="1881"/>
      <c r="F1" s="1881"/>
      <c r="G1" s="1881"/>
      <c r="H1" s="1881"/>
      <c r="I1" s="1881"/>
      <c r="J1" s="1881"/>
      <c r="K1" s="1881"/>
      <c r="L1" s="1881"/>
      <c r="M1" s="1881"/>
      <c r="N1" s="1881"/>
      <c r="O1" s="1881"/>
      <c r="P1" s="1881"/>
      <c r="Q1" s="1881"/>
      <c r="R1" s="1881"/>
      <c r="S1" s="1881"/>
      <c r="T1" s="1881"/>
      <c r="U1" s="1881"/>
      <c r="V1" s="1881"/>
      <c r="W1" s="1881"/>
      <c r="X1" s="1881"/>
      <c r="Y1" s="1881"/>
      <c r="Z1" s="1881"/>
      <c r="AA1" s="1881"/>
      <c r="AB1" s="1881"/>
      <c r="AC1" s="1881"/>
      <c r="AD1" s="1881"/>
      <c r="AE1" s="1881"/>
      <c r="AF1" s="1881"/>
      <c r="AG1" s="1881"/>
      <c r="AH1" s="1881"/>
      <c r="AI1" s="1881"/>
      <c r="AJ1" s="1881"/>
      <c r="AK1" s="1881"/>
      <c r="AL1" s="1881"/>
      <c r="AM1" s="1881"/>
      <c r="AN1" s="1881"/>
      <c r="AO1" s="1881"/>
      <c r="AP1" s="1881"/>
      <c r="AQ1" s="1881"/>
    </row>
    <row r="2" spans="1:57" ht="15" customHeight="1">
      <c r="A2" s="1881"/>
      <c r="B2" s="1881"/>
      <c r="C2" s="1881"/>
      <c r="D2" s="1881"/>
      <c r="E2" s="1881"/>
      <c r="F2" s="1881"/>
      <c r="G2" s="1881"/>
      <c r="H2" s="1881"/>
      <c r="I2" s="1881"/>
      <c r="J2" s="1881"/>
      <c r="K2" s="1881"/>
      <c r="L2" s="1881"/>
      <c r="M2" s="1881"/>
      <c r="N2" s="1881"/>
      <c r="O2" s="1881"/>
      <c r="P2" s="1881"/>
      <c r="Q2" s="1881"/>
      <c r="R2" s="1881"/>
      <c r="S2" s="1881"/>
      <c r="T2" s="1881"/>
      <c r="U2" s="1881"/>
      <c r="V2" s="1881"/>
      <c r="W2" s="1881"/>
      <c r="X2" s="1881"/>
      <c r="Y2" s="1881"/>
      <c r="Z2" s="1881"/>
      <c r="AA2" s="1881"/>
      <c r="AB2" s="1881"/>
      <c r="AC2" s="1881"/>
      <c r="AD2" s="1881"/>
      <c r="AE2" s="1881"/>
      <c r="AF2" s="1881"/>
      <c r="AG2" s="1881"/>
      <c r="AH2" s="1881"/>
      <c r="AI2" s="1881"/>
      <c r="AJ2" s="1881"/>
      <c r="AK2" s="1881"/>
      <c r="AL2" s="1881"/>
      <c r="AM2" s="1881"/>
      <c r="AN2" s="1881"/>
      <c r="AO2" s="1881"/>
      <c r="AP2" s="1881"/>
      <c r="AQ2" s="1881"/>
    </row>
    <row r="3" spans="1:57">
      <c r="A3" s="905"/>
      <c r="B3" s="905"/>
      <c r="I3" s="906"/>
      <c r="K3" s="907"/>
    </row>
    <row r="4" spans="1:57" ht="14.25" customHeight="1">
      <c r="A4" s="1880" t="s">
        <v>2132</v>
      </c>
      <c r="B4" s="1880"/>
      <c r="C4" s="1880"/>
      <c r="D4" s="1880"/>
      <c r="E4" s="1880"/>
      <c r="F4" s="1880"/>
      <c r="G4" s="1880"/>
      <c r="H4" s="1880"/>
      <c r="I4" s="1880"/>
      <c r="J4" s="1880"/>
      <c r="K4" s="1880"/>
      <c r="L4" s="1880"/>
      <c r="M4" s="1880"/>
      <c r="N4" s="1880"/>
      <c r="O4" s="1880"/>
      <c r="P4" s="1880"/>
      <c r="Q4" s="1880"/>
      <c r="R4" s="1880"/>
      <c r="S4" s="1880"/>
      <c r="T4" s="1880"/>
      <c r="U4" s="1880"/>
      <c r="V4" s="1880"/>
      <c r="W4" s="1880"/>
      <c r="X4" s="1880"/>
      <c r="Y4" s="1880"/>
      <c r="Z4" s="1880"/>
      <c r="AA4" s="1880"/>
      <c r="AB4" s="1880"/>
      <c r="AC4" s="1880"/>
      <c r="AD4" s="1880"/>
      <c r="AE4" s="1880"/>
      <c r="AF4" s="1880"/>
      <c r="AG4" s="1880"/>
      <c r="AH4" s="1880"/>
      <c r="AI4" s="1880"/>
      <c r="AJ4" s="1880"/>
      <c r="AK4" s="1880"/>
      <c r="AL4" s="1880"/>
      <c r="AM4" s="1880"/>
      <c r="AN4" s="1880"/>
      <c r="AO4" s="1880"/>
      <c r="AP4" s="1880"/>
      <c r="AQ4" s="1880"/>
    </row>
    <row r="5" spans="1:57">
      <c r="A5" s="905"/>
      <c r="B5" s="905"/>
      <c r="I5" s="906"/>
      <c r="K5" s="907"/>
    </row>
    <row r="6" spans="1:57">
      <c r="A6" s="905"/>
      <c r="B6" s="905"/>
      <c r="D6" s="903" t="s">
        <v>2135</v>
      </c>
      <c r="I6" s="906"/>
      <c r="K6" s="907"/>
      <c r="U6" s="1879"/>
      <c r="V6" s="1879"/>
      <c r="W6" s="1879"/>
      <c r="BC6" s="903" t="s">
        <v>2133</v>
      </c>
    </row>
    <row r="7" spans="1:57">
      <c r="A7" s="905"/>
      <c r="B7" s="905"/>
      <c r="D7" s="508" t="s">
        <v>2136</v>
      </c>
      <c r="I7" s="906"/>
      <c r="K7" s="907"/>
      <c r="BC7" s="903" t="s">
        <v>2134</v>
      </c>
    </row>
    <row r="8" spans="1:57">
      <c r="A8" s="905"/>
      <c r="B8" s="905"/>
      <c r="D8" s="508"/>
      <c r="E8" s="903" t="s">
        <v>2148</v>
      </c>
      <c r="BC8" s="903" t="s">
        <v>2137</v>
      </c>
    </row>
    <row r="9" spans="1:57">
      <c r="A9" s="905"/>
      <c r="B9" s="905"/>
      <c r="E9" s="903" t="s">
        <v>2147</v>
      </c>
      <c r="I9" s="906"/>
      <c r="K9" s="907"/>
      <c r="P9" s="1887"/>
      <c r="Q9" s="1887"/>
      <c r="R9" s="1887"/>
      <c r="S9" s="1887"/>
      <c r="T9" s="1887"/>
    </row>
    <row r="10" spans="1:57">
      <c r="A10" s="905"/>
      <c r="B10" s="905"/>
      <c r="I10" s="906"/>
      <c r="K10" s="907"/>
    </row>
    <row r="11" spans="1:57">
      <c r="A11" s="1880" t="s">
        <v>2138</v>
      </c>
      <c r="B11" s="1880"/>
      <c r="C11" s="1880"/>
      <c r="D11" s="1880"/>
      <c r="E11" s="1880"/>
      <c r="F11" s="1880"/>
      <c r="G11" s="1880"/>
      <c r="H11" s="1880"/>
      <c r="I11" s="1880"/>
      <c r="J11" s="1880"/>
      <c r="K11" s="1880"/>
      <c r="L11" s="1880"/>
      <c r="M11" s="1880"/>
      <c r="N11" s="1880"/>
      <c r="O11" s="1880"/>
      <c r="P11" s="1880"/>
      <c r="Q11" s="1880"/>
      <c r="R11" s="1880"/>
      <c r="S11" s="1880"/>
      <c r="T11" s="1880"/>
      <c r="U11" s="1880"/>
      <c r="V11" s="1880"/>
      <c r="W11" s="1880"/>
      <c r="X11" s="1880"/>
      <c r="Y11" s="1880"/>
      <c r="Z11" s="1880"/>
      <c r="AA11" s="1880"/>
      <c r="AB11" s="1880"/>
      <c r="AC11" s="1880"/>
      <c r="AD11" s="1880"/>
      <c r="AE11" s="1880"/>
      <c r="AF11" s="1880"/>
      <c r="AG11" s="1880"/>
      <c r="AH11" s="1880"/>
      <c r="AI11" s="1880"/>
      <c r="AJ11" s="1880"/>
      <c r="AK11" s="1880"/>
      <c r="AL11" s="1880"/>
      <c r="AM11" s="1880"/>
      <c r="AN11" s="1880"/>
      <c r="AO11" s="1880"/>
      <c r="AP11" s="1880"/>
      <c r="AQ11" s="1880"/>
      <c r="BC11" s="903" t="s">
        <v>115</v>
      </c>
    </row>
    <row r="12" spans="1:57">
      <c r="A12" s="905"/>
      <c r="B12" s="905"/>
      <c r="I12" s="906"/>
      <c r="K12" s="907"/>
      <c r="BC12" s="903" t="s">
        <v>509</v>
      </c>
    </row>
    <row r="13" spans="1:57">
      <c r="A13" s="905"/>
      <c r="B13" s="905"/>
      <c r="D13" s="903" t="s">
        <v>2139</v>
      </c>
      <c r="I13" s="906"/>
      <c r="K13" s="907"/>
      <c r="T13" s="1879"/>
      <c r="U13" s="1879"/>
      <c r="V13" s="1879"/>
    </row>
    <row r="14" spans="1:57">
      <c r="A14" s="905"/>
      <c r="B14" s="905"/>
      <c r="E14" s="903" t="s">
        <v>2146</v>
      </c>
      <c r="I14" s="906"/>
      <c r="K14" s="907"/>
      <c r="N14" s="1885"/>
      <c r="O14" s="1885"/>
      <c r="P14" s="1885"/>
      <c r="Q14" s="1885"/>
      <c r="R14" s="1885"/>
      <c r="S14" s="1885"/>
      <c r="T14" s="1885"/>
      <c r="U14" s="1885"/>
      <c r="V14" s="1885"/>
      <c r="W14" s="1885"/>
      <c r="X14" s="1885"/>
      <c r="Y14" s="1885"/>
      <c r="Z14" s="1885"/>
      <c r="AA14" s="1885"/>
      <c r="AB14" s="1885"/>
      <c r="AC14" s="1885"/>
      <c r="AD14" s="1885"/>
      <c r="AE14" s="1885"/>
    </row>
    <row r="15" spans="1:57">
      <c r="A15" s="905"/>
      <c r="B15" s="905"/>
      <c r="E15" s="903" t="s">
        <v>2140</v>
      </c>
      <c r="I15" s="906"/>
      <c r="K15" s="907"/>
      <c r="N15" s="924"/>
      <c r="O15" s="924"/>
      <c r="P15" s="924"/>
      <c r="Q15" s="924"/>
      <c r="R15" s="924"/>
      <c r="S15" s="924"/>
      <c r="T15" s="924"/>
      <c r="U15" s="924"/>
      <c r="V15" s="924"/>
      <c r="W15" s="924"/>
      <c r="X15" s="924"/>
      <c r="Y15" s="924"/>
      <c r="Z15" s="924"/>
      <c r="AA15" s="924"/>
      <c r="AB15" s="924"/>
      <c r="AC15" s="924"/>
      <c r="AD15" s="924"/>
      <c r="AE15" s="924"/>
      <c r="BC15" s="903" t="s">
        <v>2149</v>
      </c>
      <c r="BE15" s="903">
        <f>'Basis &amp; Credits'!AB55</f>
        <v>1394722</v>
      </c>
    </row>
    <row r="16" spans="1:57">
      <c r="A16" s="905"/>
      <c r="B16" s="905"/>
      <c r="BC16" s="903" t="s">
        <v>2150</v>
      </c>
      <c r="BE16" s="903">
        <f>'Basis &amp; Credits'!T11+'Basis &amp; Credits'!AD11</f>
        <v>12895105</v>
      </c>
    </row>
    <row r="17" spans="1:43">
      <c r="A17" s="905"/>
      <c r="B17" s="905"/>
      <c r="D17" s="903" t="s">
        <v>2141</v>
      </c>
      <c r="I17" s="906"/>
      <c r="K17" s="907"/>
      <c r="U17" s="1886" t="str">
        <f>IF(T13="yes",(BE15/BE16)," ")</f>
        <v xml:space="preserve"> </v>
      </c>
      <c r="V17" s="1886"/>
      <c r="W17" s="1886"/>
      <c r="X17" s="1886"/>
      <c r="Y17" s="1886"/>
    </row>
    <row r="18" spans="1:43">
      <c r="A18" s="905"/>
      <c r="B18" s="905"/>
      <c r="I18" s="906"/>
      <c r="K18" s="907"/>
    </row>
    <row r="19" spans="1:43">
      <c r="A19" s="1880" t="s">
        <v>2143</v>
      </c>
      <c r="B19" s="1880"/>
      <c r="C19" s="1880"/>
      <c r="D19" s="1880"/>
      <c r="E19" s="1880"/>
      <c r="F19" s="1880"/>
      <c r="G19" s="1880"/>
      <c r="H19" s="1880"/>
      <c r="I19" s="1880"/>
      <c r="J19" s="1880"/>
      <c r="K19" s="1880"/>
      <c r="L19" s="1880"/>
      <c r="M19" s="1880"/>
      <c r="N19" s="1880"/>
      <c r="O19" s="1880"/>
      <c r="P19" s="1880"/>
      <c r="Q19" s="1880"/>
      <c r="R19" s="1880"/>
      <c r="S19" s="1880"/>
      <c r="T19" s="1880"/>
      <c r="U19" s="1880"/>
      <c r="V19" s="1880"/>
      <c r="W19" s="1880"/>
      <c r="X19" s="1880"/>
      <c r="Y19" s="1880"/>
      <c r="Z19" s="1880"/>
      <c r="AA19" s="1880"/>
      <c r="AB19" s="1880"/>
      <c r="AC19" s="1880"/>
      <c r="AD19" s="1880"/>
      <c r="AE19" s="1880"/>
      <c r="AF19" s="1880"/>
      <c r="AG19" s="1880"/>
      <c r="AH19" s="1880"/>
      <c r="AI19" s="1880"/>
      <c r="AJ19" s="1880"/>
      <c r="AK19" s="1880"/>
      <c r="AL19" s="1880"/>
      <c r="AM19" s="1880"/>
      <c r="AN19" s="1880"/>
      <c r="AO19" s="1880"/>
      <c r="AP19" s="1880"/>
      <c r="AQ19" s="1880"/>
    </row>
    <row r="20" spans="1:43">
      <c r="C20" s="905"/>
      <c r="D20" s="905"/>
      <c r="K20" s="906"/>
      <c r="M20" s="907"/>
    </row>
    <row r="21" spans="1:43">
      <c r="C21" s="905"/>
      <c r="D21" s="905"/>
      <c r="K21" s="906"/>
      <c r="M21" s="907"/>
    </row>
    <row r="22" spans="1:43">
      <c r="C22" s="908" t="s">
        <v>762</v>
      </c>
      <c r="D22" s="908"/>
      <c r="E22" s="903" t="s">
        <v>2144</v>
      </c>
      <c r="H22" s="909"/>
      <c r="K22" s="903"/>
      <c r="Q22" s="1888">
        <f>ROUND('Basis &amp; Credits'!AB55,0)</f>
        <v>1394722</v>
      </c>
      <c r="R22" s="1888"/>
      <c r="S22" s="1888"/>
      <c r="T22" s="1888"/>
      <c r="U22" s="1888"/>
      <c r="V22" s="1888"/>
      <c r="W22" s="1888"/>
      <c r="X22" s="1888"/>
      <c r="Y22" s="923"/>
    </row>
    <row r="23" spans="1:43">
      <c r="C23" s="905"/>
      <c r="D23" s="905"/>
      <c r="G23" s="910"/>
      <c r="H23" s="910"/>
      <c r="I23" s="911"/>
      <c r="J23" s="911"/>
      <c r="K23" s="910"/>
      <c r="M23" s="904"/>
    </row>
    <row r="24" spans="1:43">
      <c r="C24" s="912"/>
      <c r="D24" s="912"/>
      <c r="E24" s="913"/>
      <c r="J24" s="911"/>
      <c r="K24" s="903"/>
      <c r="L24" s="1891" t="s">
        <v>2121</v>
      </c>
      <c r="M24" s="1891"/>
      <c r="N24" s="1891"/>
      <c r="P24" s="1876" t="s">
        <v>2122</v>
      </c>
      <c r="Q24" s="1876"/>
      <c r="R24" s="1876"/>
      <c r="S24" s="1876"/>
      <c r="T24" s="1876"/>
      <c r="V24" s="1876" t="s">
        <v>2123</v>
      </c>
      <c r="W24" s="1876"/>
      <c r="X24" s="1876"/>
    </row>
    <row r="25" spans="1:43">
      <c r="C25" s="908" t="s">
        <v>200</v>
      </c>
      <c r="D25" s="908"/>
      <c r="E25" s="903" t="s">
        <v>1028</v>
      </c>
      <c r="J25" s="911"/>
      <c r="L25" s="1877" t="s">
        <v>2124</v>
      </c>
      <c r="M25" s="1877"/>
      <c r="N25" s="1877"/>
      <c r="P25" s="1877" t="s">
        <v>2125</v>
      </c>
      <c r="Q25" s="1877"/>
      <c r="R25" s="1877"/>
      <c r="S25" s="1877"/>
      <c r="T25" s="1877"/>
      <c r="V25" s="1877" t="s">
        <v>2124</v>
      </c>
      <c r="W25" s="1877"/>
      <c r="X25" s="1877"/>
    </row>
    <row r="26" spans="1:43">
      <c r="C26" s="905"/>
      <c r="D26" s="905"/>
      <c r="E26" s="914" t="s">
        <v>2126</v>
      </c>
      <c r="F26" s="914"/>
      <c r="J26" s="915"/>
      <c r="L26" s="1889">
        <f>Application!BN613</f>
        <v>0</v>
      </c>
      <c r="M26" s="1889"/>
      <c r="N26" s="1889"/>
      <c r="P26" s="1878">
        <v>0.9</v>
      </c>
      <c r="Q26" s="1878"/>
      <c r="R26" s="1878"/>
      <c r="S26" s="1878"/>
      <c r="T26" s="1878"/>
      <c r="V26" s="1878">
        <f>L26*P26</f>
        <v>0</v>
      </c>
      <c r="W26" s="1878"/>
      <c r="X26" s="1878"/>
    </row>
    <row r="27" spans="1:43">
      <c r="C27" s="905"/>
      <c r="D27" s="905"/>
      <c r="E27" s="903" t="s">
        <v>2127</v>
      </c>
      <c r="J27" s="915"/>
      <c r="L27" s="1869">
        <f>Application!BS613</f>
        <v>12</v>
      </c>
      <c r="M27" s="1869">
        <f>Application!BS621+Application!BS630+Application!CX644</f>
        <v>0</v>
      </c>
      <c r="N27" s="1869"/>
      <c r="P27" s="1874">
        <v>1</v>
      </c>
      <c r="Q27" s="1874"/>
      <c r="R27" s="1874"/>
      <c r="S27" s="1874"/>
      <c r="T27" s="1874"/>
      <c r="V27" s="1874">
        <f>L27*P27</f>
        <v>12</v>
      </c>
      <c r="W27" s="1874"/>
      <c r="X27" s="1874"/>
    </row>
    <row r="28" spans="1:43">
      <c r="C28" s="905"/>
      <c r="D28" s="905"/>
      <c r="E28" s="903" t="s">
        <v>2128</v>
      </c>
      <c r="J28" s="915"/>
      <c r="L28" s="1869">
        <f>Application!BX613</f>
        <v>7</v>
      </c>
      <c r="M28" s="1869">
        <f>Application!BX621+Application!BX630+Application!DC644</f>
        <v>0</v>
      </c>
      <c r="N28" s="1869"/>
      <c r="P28" s="1874">
        <v>1.25</v>
      </c>
      <c r="Q28" s="1874"/>
      <c r="R28" s="1874"/>
      <c r="S28" s="1874"/>
      <c r="T28" s="1874"/>
      <c r="V28" s="1874">
        <f>L28*P28</f>
        <v>8.75</v>
      </c>
      <c r="W28" s="1874"/>
      <c r="X28" s="1874"/>
    </row>
    <row r="29" spans="1:43">
      <c r="C29" s="905"/>
      <c r="D29" s="905"/>
      <c r="E29" s="903" t="s">
        <v>2129</v>
      </c>
      <c r="J29" s="915"/>
      <c r="L29" s="1869">
        <f>Application!CC613</f>
        <v>9</v>
      </c>
      <c r="M29" s="1869">
        <f>Application!CC621+Application!CC630+Application!DH644</f>
        <v>0</v>
      </c>
      <c r="N29" s="1869"/>
      <c r="P29" s="1874">
        <v>1.5</v>
      </c>
      <c r="Q29" s="1874"/>
      <c r="R29" s="1874"/>
      <c r="S29" s="1874"/>
      <c r="T29" s="1874"/>
      <c r="V29" s="1874">
        <f>L29*P29</f>
        <v>13.5</v>
      </c>
      <c r="W29" s="1874"/>
      <c r="X29" s="1874"/>
    </row>
    <row r="30" spans="1:43">
      <c r="C30" s="905"/>
      <c r="D30" s="905"/>
      <c r="E30" s="903" t="s">
        <v>2130</v>
      </c>
      <c r="J30" s="915"/>
      <c r="L30" s="1870">
        <f>Application!CH613+Application!CM613</f>
        <v>0</v>
      </c>
      <c r="M30" s="1870"/>
      <c r="N30" s="1870"/>
      <c r="P30" s="1874">
        <v>1.75</v>
      </c>
      <c r="Q30" s="1874"/>
      <c r="R30" s="1874">
        <f>1.75+0.25*0</f>
        <v>1.75</v>
      </c>
      <c r="S30" s="1874"/>
      <c r="T30" s="1874"/>
      <c r="V30" s="1875">
        <f>L30*P30</f>
        <v>0</v>
      </c>
      <c r="W30" s="1875"/>
      <c r="X30" s="1875"/>
    </row>
    <row r="31" spans="1:43">
      <c r="C31" s="905"/>
      <c r="D31" s="905"/>
      <c r="L31" s="1889">
        <f>SUM(L26:N30)</f>
        <v>28</v>
      </c>
      <c r="M31" s="1890"/>
      <c r="N31" s="1890"/>
      <c r="V31" s="1878">
        <f>SUM(V26:X30)</f>
        <v>34.25</v>
      </c>
      <c r="W31" s="1878"/>
      <c r="X31" s="1878"/>
    </row>
    <row r="32" spans="1:43">
      <c r="C32" s="905"/>
      <c r="D32" s="905"/>
      <c r="K32" s="916"/>
    </row>
    <row r="33" spans="1:27">
      <c r="C33" s="908" t="s">
        <v>201</v>
      </c>
      <c r="D33" s="908"/>
      <c r="E33" s="905" t="s">
        <v>2145</v>
      </c>
      <c r="H33" s="917"/>
      <c r="I33" s="918"/>
      <c r="J33" s="919"/>
      <c r="K33" s="916"/>
      <c r="M33" s="904"/>
      <c r="V33" s="1871">
        <f>IF(V31&gt;0,V31/Q22," ")</f>
        <v>2.4556865095696491E-5</v>
      </c>
      <c r="W33" s="1872"/>
      <c r="X33" s="1872"/>
      <c r="Y33" s="1872"/>
      <c r="Z33" s="1872"/>
      <c r="AA33" s="1873"/>
    </row>
    <row r="34" spans="1:27">
      <c r="K34" s="903"/>
      <c r="M34" s="904"/>
    </row>
    <row r="35" spans="1:27">
      <c r="E35" s="905" t="s">
        <v>2151</v>
      </c>
      <c r="F35" s="905"/>
      <c r="G35" s="905"/>
      <c r="H35" s="905"/>
      <c r="I35" s="905"/>
      <c r="J35" s="905"/>
      <c r="K35" s="905"/>
      <c r="L35" s="905"/>
      <c r="M35" s="925"/>
      <c r="N35" s="905"/>
      <c r="O35" s="905"/>
      <c r="P35" s="905"/>
      <c r="Q35" s="905"/>
      <c r="R35" s="905"/>
      <c r="V35" s="1882">
        <f>IF(V31&gt;0,1/V33," ")</f>
        <v>40721.810218978098</v>
      </c>
      <c r="W35" s="1883"/>
      <c r="X35" s="1883"/>
      <c r="Y35" s="1883"/>
      <c r="Z35" s="1883"/>
      <c r="AA35" s="1884"/>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cp:lastModifiedBy>
  <cp:lastPrinted>2023-08-03T17:06:06Z</cp:lastPrinted>
  <dcterms:created xsi:type="dcterms:W3CDTF">2007-12-27T18:26:28Z</dcterms:created>
  <dcterms:modified xsi:type="dcterms:W3CDTF">2023-08-08T19:26:16Z</dcterms:modified>
</cp:coreProperties>
</file>